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0B90360-4156-43FA-A23F-D71D713876B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5"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<sst xmlns="http://schemas.openxmlformats.org/spreadsheetml/2006/main" count="2417" uniqueCount="868">
  <si>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</si>
  <si>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</si>
  <si>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</si>
  <si>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</si>
  <si>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</si>
  <si>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</si>
  <si>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</si>
  <si>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</si>
  <si>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</si>
  <si>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</si>
  <si>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</si>
  <si>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</si>
  <si>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</si>
  <si>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</si>
  <si>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</si>
  <si>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</si>
  <si>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</si>
  <si>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</si>
  <si>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</si>
  <si>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</si>
  <si>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</si>
  <si>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</si>
  <si>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</si>
  <si>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</si>
  <si>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</si>
  <si>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</si>
  <si>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</si>
  <si>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</si>
  <si>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</si>
  <si>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</si>
  <si>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</si>
  <si>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</si>
  <si>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</si>
  <si>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</si>
  <si>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</si>
  <si>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</si>
  <si>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</si>
  <si>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</si>
  <si>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</si>
  <si>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</si>
  <si>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</si>
  <si>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</si>
  <si>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</si>
  <si>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</si>
  <si>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</si>
  <si>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</si>
  <si>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</si>
  <si>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</si>
  <si>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</si>
  <si>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</si>
  <si>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</si>
  <si>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</si>
  <si>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</si>
  <si>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</si>
  <si>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</si>
  <si>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</si>
  <si>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</si>
  <si>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</si>
  <si>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</si>
  <si>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</si>
  <si>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</si>
  <si>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</si>
  <si>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</si>
  <si>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</si>
  <si>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</si>
  <si>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</si>
  <si>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</si>
  <si>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</si>
  <si>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</si>
  <si>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</si>
  <si>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</si>
  <si>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</si>
  <si>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</si>
  <si>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</si>
  <si>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</si>
  <si>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</si>
  <si>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</si>
  <si>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</si>
  <si>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</si>
  <si>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</si>
  <si>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</si>
  <si>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</si>
  <si>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</si>
  <si>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</si>
  <si>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</si>
  <si>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</si>
  <si>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</si>
  <si>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</si>
  <si>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</si>
  <si>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</si>
  <si>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</si>
  <si>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</si>
  <si>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</si>
  <si>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</si>
  <si>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</si>
  <si>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</si>
  <si>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</si>
  <si>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</si>
  <si>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</si>
  <si>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</si>
  <si>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</si>
  <si>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</si>
  <si>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</si>
  <si>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</si>
  <si>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</si>
  <si>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</si>
  <si>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</si>
  <si>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</si>
  <si>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</si>
  <si>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</si>
  <si>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</si>
  <si>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</si>
  <si>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</si>
  <si>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</si>
  <si>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</si>
  <si>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</si>
  <si>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</si>
  <si>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</si>
  <si>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</si>
  <si>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</si>
  <si>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</si>
  <si>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</si>
  <si>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</si>
  <si>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</si>
  <si>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</si>
  <si>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</si>
  <si>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</si>
  <si>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</si>
  <si>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</si>
  <si>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</si>
  <si>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</si>
  <si>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</si>
  <si>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</si>
  <si>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</si>
  <si>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</si>
  <si>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</si>
  <si>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</si>
  <si>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</si>
  <si>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</si>
  <si>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</si>
  <si>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</si>
  <si>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</si>
  <si>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</si>
  <si>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</si>
  <si>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</si>
  <si>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</si>
  <si>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</si>
  <si>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</si>
  <si>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</si>
  <si>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</si>
  <si>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</si>
  <si>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</si>
  <si>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</si>
  <si>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</si>
  <si>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</si>
  <si>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</si>
  <si>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</si>
  <si>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</si>
  <si>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</si>
  <si>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</si>
  <si>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</si>
  <si>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</si>
  <si>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</si>
  <si>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</si>
  <si>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</si>
  <si>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</si>
  <si>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</si>
  <si>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</si>
  <si>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</si>
  <si>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</si>
  <si>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</si>
  <si>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</si>
  <si>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</si>
  <si>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</si>
  <si>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</si>
  <si>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</si>
  <si>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</si>
  <si>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</si>
  <si>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</si>
  <si>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</si>
  <si>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</si>
  <si>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</si>
  <si>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</si>
  <si>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</si>
  <si>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</si>
  <si>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</si>
  <si>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</si>
  <si>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</si>
  <si>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</si>
  <si>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</si>
  <si>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</si>
  <si>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</si>
  <si>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</si>
  <si>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</si>
  <si>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</si>
  <si>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</si>
  <si>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</si>
  <si>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</si>
  <si>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</si>
  <si>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</si>
  <si>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</si>
  <si>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</si>
  <si>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</si>
  <si>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</si>
  <si>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</si>
  <si>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</si>
  <si>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</si>
  <si>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</si>
  <si>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</si>
  <si>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</si>
  <si>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</si>
  <si>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</si>
  <si>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</si>
  <si>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</si>
  <si>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</si>
  <si>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</si>
  <si>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</si>
  <si>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</si>
  <si>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</si>
  <si>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</si>
  <si>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</si>
  <si>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</si>
  <si>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</si>
  <si>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</si>
  <si>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</si>
  <si>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</si>
  <si>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</si>
  <si>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</si>
  <si>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</si>
  <si>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</si>
  <si>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</si>
  <si>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</si>
  <si>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</si>
  <si>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</si>
  <si>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</si>
  <si>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</si>
  <si>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</si>
  <si>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</si>
  <si>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</si>
  <si>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</si>
  <si>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</si>
  <si>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</si>
  <si>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</si>
  <si>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</si>
  <si>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</si>
  <si>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</si>
  <si>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</si>
  <si>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</si>
  <si>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</si>
  <si>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</si>
  <si>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</si>
  <si>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</si>
  <si>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</si>
  <si>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</si>
  <si>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</si>
  <si>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</si>
  <si>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</si>
  <si>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</si>
  <si>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</si>
  <si>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</si>
  <si>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</si>
  <si>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</si>
  <si>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</si>
  <si>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</si>
  <si>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</si>
  <si>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</si>
  <si>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</si>
  <si>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</si>
  <si>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</si>
  <si>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</si>
  <si>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</si>
  <si>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</si>
  <si>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</si>
  <si>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</si>
  <si>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</si>
  <si>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</si>
  <si>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</si>
  <si>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</si>
  <si>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</si>
  <si>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</si>
  <si>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</si>
  <si>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</si>
  <si>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</si>
  <si>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</si>
  <si>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</si>
  <si>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</si>
  <si>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</si>
  <si>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</si>
  <si>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</si>
  <si>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</si>
  <si>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</si>
  <si>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</si>
  <si>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</si>
  <si>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</si>
  <si>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</si>
  <si>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</si>
  <si>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</si>
  <si>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</si>
  <si>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</si>
  <si>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</si>
  <si>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</si>
  <si>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</si>
  <si>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</si>
  <si>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</si>
  <si>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</si>
  <si>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</si>
  <si>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</si>
  <si>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</si>
  <si>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</si>
  <si>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</si>
  <si>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</si>
  <si>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</si>
  <si>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</si>
  <si>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</si>
  <si>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</si>
  <si>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</si>
  <si>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</si>
  <si>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</si>
  <si>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</si>
  <si>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</si>
  <si>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</si>
  <si>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</si>
  <si>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</si>
  <si>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</si>
  <si>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</si>
  <si>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</si>
  <si>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</si>
  <si>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</si>
  <si>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</si>
  <si>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</si>
  <si>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</si>
  <si>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</si>
  <si>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</si>
  <si>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</si>
  <si>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</si>
  <si>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</si>
  <si>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</si>
  <si>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</si>
  <si>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</si>
  <si>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</si>
  <si>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</si>
  <si>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</si>
  <si>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</si>
  <si>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</si>
  <si>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</si>
  <si>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</si>
  <si>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</si>
  <si>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</si>
  <si>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</si>
  <si>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</si>
  <si>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</si>
  <si>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</si>
  <si>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</si>
  <si>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</si>
  <si>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</si>
  <si>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</si>
  <si>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</si>
  <si>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</si>
  <si>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</si>
  <si>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</si>
  <si>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</si>
  <si>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</si>
  <si>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</si>
  <si>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</si>
  <si>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</si>
  <si>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</si>
  <si>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</si>
  <si>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</si>
  <si>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</si>
  <si>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</si>
  <si>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</si>
  <si>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</si>
  <si>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</si>
  <si>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</si>
  <si>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</si>
  <si>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</si>
  <si>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</si>
  <si>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</si>
  <si>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</si>
  <si>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</si>
  <si>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</si>
  <si>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</si>
  <si>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</si>
  <si>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</si>
  <si>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</si>
  <si>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</si>
  <si>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</si>
  <si>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</si>
  <si>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</si>
  <si>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</si>
  <si>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</si>
  <si>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</si>
  <si>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</si>
  <si>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</si>
  <si>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</si>
  <si>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</si>
  <si>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</si>
  <si>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</si>
  <si>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</si>
  <si>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</si>
  <si>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</si>
  <si>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</si>
  <si>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</si>
  <si>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</si>
  <si>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</si>
  <si>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</si>
  <si>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</si>
  <si>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</si>
  <si>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</si>
  <si>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</si>
  <si>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</si>
  <si>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</si>
  <si>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</si>
  <si>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</si>
  <si>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</si>
  <si>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</si>
  <si>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</si>
  <si>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</si>
  <si>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</si>
  <si>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</si>
  <si>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</si>
  <si>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</si>
  <si>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</si>
  <si>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</si>
  <si>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</si>
  <si>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</si>
  <si>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</si>
  <si>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</si>
  <si>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</si>
  <si>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</si>
  <si>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</si>
  <si>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</si>
  <si>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</si>
  <si>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</si>
  <si>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</si>
  <si>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</si>
  <si>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</si>
  <si>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</si>
  <si>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</si>
  <si>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</si>
  <si>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</si>
  <si>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</si>
  <si>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</si>
  <si>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</si>
  <si>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</si>
  <si>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</si>
  <si>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</si>
  <si>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</si>
  <si>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</si>
  <si>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</si>
  <si>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</si>
  <si>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</si>
  <si>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</si>
  <si>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</si>
  <si>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</si>
  <si>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</si>
  <si>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</si>
  <si>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</si>
  <si>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</si>
  <si>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</si>
  <si>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</si>
  <si>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</si>
  <si>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</si>
  <si>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</si>
  <si>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</si>
  <si>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</si>
  <si>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</si>
  <si>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</si>
  <si>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</si>
  <si>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</si>
  <si>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</si>
  <si>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</si>
  <si>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</si>
  <si>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</si>
  <si>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</si>
  <si>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</si>
  <si>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</si>
  <si>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</si>
  <si>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</si>
  <si>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</si>
  <si>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</si>
  <si>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</si>
  <si>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</si>
  <si>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</si>
  <si>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</si>
  <si>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</si>
  <si>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</si>
  <si>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</si>
  <si>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</si>
  <si>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</si>
  <si>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</si>
  <si>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</si>
  <si>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</si>
  <si>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</si>
  <si>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</si>
  <si>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</si>
  <si>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</si>
  <si>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</si>
  <si>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</si>
  <si>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</si>
  <si>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</si>
  <si>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</si>
  <si>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</si>
  <si>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</si>
  <si>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</si>
  <si>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</si>
  <si>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</si>
  <si>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</si>
  <si>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</si>
  <si>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</si>
  <si>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</si>
  <si>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</si>
  <si>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</si>
  <si>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</si>
  <si>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</si>
  <si>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</si>
  <si>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</si>
  <si>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</si>
  <si>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</si>
  <si>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</si>
  <si>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</si>
  <si>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</si>
  <si>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</si>
  <si>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</si>
  <si>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</si>
  <si>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</si>
  <si>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</si>
  <si>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</si>
  <si>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</si>
  <si>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</si>
  <si>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</si>
  <si>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</si>
  <si>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</si>
  <si>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</si>
  <si>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</si>
  <si>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</si>
  <si>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</si>
  <si>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</si>
  <si>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</si>
  <si>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</si>
  <si>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</si>
  <si>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</si>
  <si>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</si>
  <si>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</si>
  <si>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</si>
  <si>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</si>
  <si>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</si>
  <si>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</si>
  <si>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</si>
  <si>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</si>
  <si>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</si>
  <si>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</si>
  <si>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</si>
  <si>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</si>
  <si>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</si>
  <si>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</si>
  <si>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</si>
  <si>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</si>
  <si>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</si>
  <si>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</si>
  <si>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</si>
  <si>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</si>
  <si>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</si>
  <si>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</si>
  <si>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</si>
  <si>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</si>
  <si>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</si>
  <si>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</si>
  <si>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</si>
  <si>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</si>
  <si>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</si>
  <si>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</si>
  <si>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</si>
  <si>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</si>
  <si>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</si>
  <si>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</si>
  <si>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</si>
  <si>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</si>
  <si>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</si>
  <si>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</si>
  <si>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</si>
  <si>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</si>
  <si>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</si>
  <si>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</si>
  <si>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</si>
  <si>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</si>
  <si>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</si>
  <si>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</si>
  <si>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</si>
  <si>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</si>
  <si>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</si>
  <si>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</si>
  <si>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</si>
  <si>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</si>
  <si>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</si>
  <si>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</si>
  <si>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</si>
  <si>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</si>
  <si>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</si>
  <si>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</si>
  <si>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</si>
  <si>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</si>
  <si>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</si>
  <si>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</si>
  <si>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</si>
  <si>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</si>
  <si>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</si>
  <si>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</si>
  <si>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</si>
  <si>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</si>
  <si>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</si>
  <si>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</si>
  <si>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</si>
  <si>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</si>
  <si>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</si>
  <si>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</si>
  <si>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</si>
  <si>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</si>
  <si>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</si>
  <si>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</si>
  <si>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</si>
  <si>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</si>
  <si>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</si>
  <si>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</si>
  <si>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</si>
  <si>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</si>
  <si>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</si>
  <si>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</si>
  <si>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</si>
  <si>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</si>
  <si>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</si>
  <si>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</si>
  <si>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</si>
  <si>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</si>
  <si>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</si>
  <si>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</si>
  <si>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</si>
  <si>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</si>
  <si>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</si>
  <si>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</si>
  <si>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</si>
  <si>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</si>
  <si>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</si>
  <si>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</si>
  <si>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</si>
  <si>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</si>
  <si>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</si>
  <si>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</si>
  <si>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</si>
  <si>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</si>
  <si>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</si>
  <si>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</si>
  <si>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</si>
  <si>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</si>
  <si>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</si>
  <si>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</si>
  <si>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</si>
  <si>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</si>
  <si>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</si>
  <si>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</si>
  <si>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</si>
  <si>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</si>
  <si>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</si>
  <si>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</si>
  <si>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</si>
  <si>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</si>
  <si>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</si>
  <si>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</si>
  <si>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</si>
  <si>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</si>
  <si>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</si>
  <si>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</si>
  <si>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</si>
  <si>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</si>
  <si>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</si>
  <si>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</si>
  <si>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</si>
  <si>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</si>
  <si>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</si>
  <si>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</si>
  <si>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</si>
  <si>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</si>
  <si>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</si>
  <si>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</si>
  <si>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</si>
  <si>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</si>
  <si>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</si>
  <si>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</si>
  <si>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</si>
  <si>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</si>
  <si>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</si>
  <si>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</si>
  <si>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</si>
  <si>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</si>
  <si>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</si>
  <si>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</si>
  <si>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</si>
  <si>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</si>
  <si>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</si>
  <si>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</si>
  <si>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</si>
  <si>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</si>
  <si>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</si>
  <si>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</si>
  <si>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</si>
  <si>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</si>
  <si>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</si>
  <si>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</si>
  <si>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</si>
  <si>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</si>
  <si>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</si>
  <si>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</si>
  <si>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</si>
  <si>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</si>
  <si>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</si>
  <si>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</si>
  <si>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</si>
  <si>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</si>
  <si>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</si>
  <si>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</si>
  <si>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</si>
  <si>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</si>
  <si>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</si>
  <si>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</si>
  <si>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</si>
  <si>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</si>
  <si>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</si>
  <si>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</si>
  <si>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</si>
  <si>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</si>
  <si>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</si>
  <si>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</si>
  <si>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</si>
  <si>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</si>
  <si>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</si>
  <si>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</si>
  <si>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</si>
  <si>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</si>
  <si>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</si>
  <si>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</si>
  <si>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</si>
  <si>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</si>
  <si>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</si>
  <si>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</si>
  <si>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</si>
  <si>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</si>
  <si>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</si>
  <si>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</si>
  <si>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</si>
  <si>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</si>
  <si>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</si>
  <si>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</si>
  <si>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</si>
  <si>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</si>
  <si>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</si>
  <si>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</si>
  <si>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</si>
  <si>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</si>
  <si>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</si>
  <si>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</si>
  <si>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</si>
  <si>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</si>
  <si>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</si>
  <si>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</si>
  <si>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</si>
  <si>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</si>
  <si>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</si>
  <si>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</si>
  <si>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</si>
  <si>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</si>
  <si>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</si>
  <si>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</si>
  <si>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</si>
  <si>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</si>
  <si>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</si>
  <si>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</si>
  <si>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</si>
  <si>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</si>
  <si>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</si>
  <si>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</si>
  <si>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</si>
  <si>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</si>
  <si>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</si>
  <si>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</si>
  <si>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</si>
  <si>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</si>
  <si>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</si>
  <si>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</si>
  <si>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</si>
  <si>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</si>
  <si>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</si>
  <si>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</si>
  <si>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</si>
  <si>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</si>
  <si>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</si>
  <si>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</si>
  <si>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</si>
  <si>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</si>
  <si>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</si>
  <si>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</si>
  <si>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</si>
  <si>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</si>
  <si>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</si>
  <si>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</si>
  <si>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</si>
  <si>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</si>
  <si>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</si>
  <si>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</si>
  <si>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</si>
  <si>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</si>
  <si>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</si>
  <si>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</si>
  <si>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</si>
  <si>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</si>
  <si>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</si>
  <si>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</si>
  <si>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</si>
  <si>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</si>
  <si>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</si>
  <si>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</si>
  <si>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</si>
  <si>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</si>
  <si>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</si>
  <si>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</si>
  <si>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</si>
  <si>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</si>
  <si>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</si>
  <si>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</si>
  <si>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</si>
  <si>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</si>
  <si>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</si>
  <si>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</si>
  <si>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</si>
  <si>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</si>
  <si>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</si>
  <si>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</si>
  <si>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</si>
  <si>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</si>
  <si>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</si>
  <si>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</si>
  <si>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</si>
  <si>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</si>
  <si>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</si>
  <si>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</si>
  <si>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</si>
  <si>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</si>
  <si>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</si>
  <si>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</si>
  <si>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</si>
  <si>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</si>
  <si>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</si>
  <si>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</si>
  <si>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</si>
  <si>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</si>
  <si>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</si>
  <si>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</si>
  <si>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</si>
  <si>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</si>
  <si>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</si>
  <si>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</si>
  <si>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</si>
  <si>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</si>
  <si>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</si>
  <si>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</si>
  <si>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73098</t>
  </si>
  <si>
    <t>WELLEN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</si>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</sst>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4F79C3A-514A-4986-80E9-D9EB0ACF4E2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63116.211280010517</c:v>
                </c:pt>
                <c:pt idx="1">
                  <c:v>11153.324538333853</c:v>
                </c:pt>
                <c:pt idx="2">
                  <c:v>534.556647</c:v>
                </c:pt>
                <c:pt idx="3">
                  <c:v>11321.813769107044</c:v>
                </c:pt>
                <c:pt idx="4">
                  <c:v>70538.917292055237</c:v>
                </c:pt>
                <c:pt idx="5">
                  <c:v>29170.248522005935</c:v>
                </c:pt>
                <c:pt idx="6">
                  <c:v>408.81992592753255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63116.211280010517</c:v>
                </c:pt>
                <c:pt idx="1">
                  <c:v>11153.324538333853</c:v>
                </c:pt>
                <c:pt idx="2">
                  <c:v>534.556647</c:v>
                </c:pt>
                <c:pt idx="3">
                  <c:v>11321.813769107044</c:v>
                </c:pt>
                <c:pt idx="4">
                  <c:v>70538.917292055237</c:v>
                </c:pt>
                <c:pt idx="5">
                  <c:v>29170.248522005935</c:v>
                </c:pt>
                <c:pt idx="6">
                  <c:v>408.81992592753255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13346.129421717711</c:v>
                </c:pt>
                <c:pt idx="1">
                  <c:v>2243.3852260807689</c:v>
                </c:pt>
                <c:pt idx="2">
                  <c:v>107.29976578876675</c:v>
                </c:pt>
                <c:pt idx="3">
                  <c:v>2731.2672294820904</c:v>
                </c:pt>
                <c:pt idx="4">
                  <c:v>15459.547249696536</c:v>
                </c:pt>
                <c:pt idx="5">
                  <c:v>7216.0990500582502</c:v>
                </c:pt>
                <c:pt idx="6">
                  <c:v>102.91281512404144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13346.129421717711</c:v>
                </c:pt>
                <c:pt idx="1">
                  <c:v>2243.3852260807689</c:v>
                </c:pt>
                <c:pt idx="2">
                  <c:v>107.29976578876675</c:v>
                </c:pt>
                <c:pt idx="3">
                  <c:v>2731.2672294820904</c:v>
                </c:pt>
                <c:pt idx="4">
                  <c:v>15459.547249696536</c:v>
                </c:pt>
                <c:pt idx="5">
                  <c:v>7216.0990500582502</c:v>
                </c:pt>
                <c:pt idx="6">
                  <c:v>102.91281512404144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73098</v>
      </c>
      <c r="B6" s="384"/>
      <c r="C6" s="385"/>
    </row>
    <row r="7" spans="1:7" s="382" customFormat="1" ht="15.75" customHeight="1">
      <c r="A7" s="386" t="str">
        <f>txtMunicipality</f>
        <v>WELLEN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5453.8562470000006</v>
      </c>
      <c r="D10" s="681">
        <f ca="1">tertiair!C16</f>
        <v>0</v>
      </c>
      <c r="E10" s="681">
        <f ca="1">tertiair!D16</f>
        <v>4604.8529743650015</v>
      </c>
      <c r="F10" s="681">
        <f>tertiair!E16</f>
        <v>24.753468481006156</v>
      </c>
      <c r="G10" s="681">
        <f ca="1">tertiair!F16</f>
        <v>1199.0565098661211</v>
      </c>
      <c r="H10" s="681">
        <f>tertiair!G16</f>
        <v>0</v>
      </c>
      <c r="I10" s="681">
        <f>tertiair!H16</f>
        <v>0</v>
      </c>
      <c r="J10" s="681">
        <f>tertiair!I16</f>
        <v>0</v>
      </c>
      <c r="K10" s="681">
        <f>tertiair!J16</f>
        <v>9.2185082680825356E-3</v>
      </c>
      <c r="L10" s="681">
        <f>tertiair!K16</f>
        <v>0</v>
      </c>
      <c r="M10" s="681">
        <f ca="1">tertiair!L16</f>
        <v>0</v>
      </c>
      <c r="N10" s="681">
        <f>tertiair!M16</f>
        <v>0</v>
      </c>
      <c r="O10" s="681">
        <f ca="1">tertiair!N16</f>
        <v>352.81362880696241</v>
      </c>
      <c r="P10" s="681">
        <f>tertiair!O16</f>
        <v>0</v>
      </c>
      <c r="Q10" s="682">
        <f>tertiair!P16</f>
        <v>52.539138306495019</v>
      </c>
      <c r="R10" s="684">
        <f ca="1">SUM(C10:Q10)</f>
        <v>11687.881185333854</v>
      </c>
      <c r="S10" s="67"/>
    </row>
    <row r="11" spans="1:19" s="443" customFormat="1">
      <c r="A11" s="802" t="s">
        <v>214</v>
      </c>
      <c r="B11" s="807"/>
      <c r="C11" s="681">
        <f>huishoudens!B8</f>
        <v>13350.343735632001</v>
      </c>
      <c r="D11" s="681">
        <f>huishoudens!C8</f>
        <v>0</v>
      </c>
      <c r="E11" s="681">
        <f>huishoudens!D8</f>
        <v>19048.852389987002</v>
      </c>
      <c r="F11" s="681">
        <f>huishoudens!E8</f>
        <v>1114.0852858725746</v>
      </c>
      <c r="G11" s="681">
        <f>huishoudens!F8</f>
        <v>24405.82660086191</v>
      </c>
      <c r="H11" s="681">
        <f>huishoudens!G8</f>
        <v>0</v>
      </c>
      <c r="I11" s="681">
        <f>huishoudens!H8</f>
        <v>0</v>
      </c>
      <c r="J11" s="681">
        <f>huishoudens!I8</f>
        <v>0</v>
      </c>
      <c r="K11" s="681">
        <f>huishoudens!J8</f>
        <v>139.09147515529048</v>
      </c>
      <c r="L11" s="681">
        <f>huishoudens!K8</f>
        <v>0</v>
      </c>
      <c r="M11" s="681">
        <f>huishoudens!L8</f>
        <v>0</v>
      </c>
      <c r="N11" s="681">
        <f>huishoudens!M8</f>
        <v>0</v>
      </c>
      <c r="O11" s="681">
        <f>huishoudens!N8</f>
        <v>4386.0605163408218</v>
      </c>
      <c r="P11" s="681">
        <f>huishoudens!O8</f>
        <v>240.05894454583088</v>
      </c>
      <c r="Q11" s="682">
        <f>huishoudens!P8</f>
        <v>431.89233161508594</v>
      </c>
      <c r="R11" s="684">
        <f>SUM(C11:Q11)</f>
        <v>63116.211280010517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39997.895897000002</v>
      </c>
      <c r="D13" s="681">
        <f>industrie!C18</f>
        <v>0</v>
      </c>
      <c r="E13" s="681">
        <f>industrie!D18</f>
        <v>4470.1941947039995</v>
      </c>
      <c r="F13" s="681">
        <f>industrie!E18</f>
        <v>224.81197911954183</v>
      </c>
      <c r="G13" s="681">
        <f>industrie!F18</f>
        <v>24245.127835966807</v>
      </c>
      <c r="H13" s="681">
        <f>industrie!G18</f>
        <v>0</v>
      </c>
      <c r="I13" s="681">
        <f>industrie!H18</f>
        <v>0</v>
      </c>
      <c r="J13" s="681">
        <f>industrie!I18</f>
        <v>0</v>
      </c>
      <c r="K13" s="681">
        <f>industrie!J18</f>
        <v>9.725594628125446</v>
      </c>
      <c r="L13" s="681">
        <f>industrie!K18</f>
        <v>0</v>
      </c>
      <c r="M13" s="681">
        <f>industrie!L18</f>
        <v>0</v>
      </c>
      <c r="N13" s="681">
        <f>industrie!M18</f>
        <v>0</v>
      </c>
      <c r="O13" s="681">
        <f>industrie!N18</f>
        <v>1591.1617906367619</v>
      </c>
      <c r="P13" s="681">
        <f>industrie!O18</f>
        <v>0</v>
      </c>
      <c r="Q13" s="682">
        <f>industrie!P18</f>
        <v>0</v>
      </c>
      <c r="R13" s="684">
        <f>SUM(C13:Q13)</f>
        <v>70538.917292055237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58802.095879632005</v>
      </c>
      <c r="D16" s="717">
        <f t="shared" ref="D16:R16" ca="1" si="0">SUM(D9:D15)</f>
        <v>0</v>
      </c>
      <c r="E16" s="717">
        <f t="shared" ca="1" si="0"/>
        <v>28123.899559056004</v>
      </c>
      <c r="F16" s="717">
        <f t="shared" si="0"/>
        <v>1363.6507334731225</v>
      </c>
      <c r="G16" s="717">
        <f t="shared" ca="1" si="0"/>
        <v>49850.010946694834</v>
      </c>
      <c r="H16" s="717">
        <f t="shared" si="0"/>
        <v>0</v>
      </c>
      <c r="I16" s="717">
        <f t="shared" si="0"/>
        <v>0</v>
      </c>
      <c r="J16" s="717">
        <f t="shared" si="0"/>
        <v>0</v>
      </c>
      <c r="K16" s="717">
        <f t="shared" si="0"/>
        <v>148.82628829168399</v>
      </c>
      <c r="L16" s="717">
        <f t="shared" si="0"/>
        <v>0</v>
      </c>
      <c r="M16" s="717">
        <f t="shared" ca="1" si="0"/>
        <v>0</v>
      </c>
      <c r="N16" s="717">
        <f t="shared" si="0"/>
        <v>0</v>
      </c>
      <c r="O16" s="717">
        <f t="shared" ca="1" si="0"/>
        <v>6330.0359357845464</v>
      </c>
      <c r="P16" s="717">
        <f t="shared" si="0"/>
        <v>240.05894454583088</v>
      </c>
      <c r="Q16" s="717">
        <f t="shared" si="0"/>
        <v>484.43146992158097</v>
      </c>
      <c r="R16" s="717">
        <f t="shared" ca="1" si="0"/>
        <v>145343.00975739962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6.0838516402840286</v>
      </c>
      <c r="D19" s="681">
        <f>transport!C54</f>
        <v>0</v>
      </c>
      <c r="E19" s="681">
        <f>transport!D54</f>
        <v>0</v>
      </c>
      <c r="F19" s="681">
        <f>transport!E54</f>
        <v>0</v>
      </c>
      <c r="G19" s="681">
        <f>transport!F54</f>
        <v>0</v>
      </c>
      <c r="H19" s="681">
        <f>transport!G54</f>
        <v>380.86750545345092</v>
      </c>
      <c r="I19" s="681">
        <f>transport!H54</f>
        <v>0</v>
      </c>
      <c r="J19" s="681">
        <f>transport!I54</f>
        <v>0</v>
      </c>
      <c r="K19" s="681">
        <f>transport!J54</f>
        <v>0</v>
      </c>
      <c r="L19" s="681">
        <f>transport!K54</f>
        <v>0</v>
      </c>
      <c r="M19" s="681">
        <f>transport!L54</f>
        <v>0</v>
      </c>
      <c r="N19" s="681">
        <f>transport!M54</f>
        <v>21.868568833797593</v>
      </c>
      <c r="O19" s="681">
        <f>transport!N54</f>
        <v>0</v>
      </c>
      <c r="P19" s="681">
        <f>transport!O54</f>
        <v>0</v>
      </c>
      <c r="Q19" s="682">
        <f>transport!P54</f>
        <v>0</v>
      </c>
      <c r="R19" s="684">
        <f>SUM(C19:Q19)</f>
        <v>408.81992592753255</v>
      </c>
      <c r="S19" s="67"/>
    </row>
    <row r="20" spans="1:19" s="443" customFormat="1">
      <c r="A20" s="802" t="s">
        <v>296</v>
      </c>
      <c r="B20" s="807"/>
      <c r="C20" s="681">
        <f>transport!B14</f>
        <v>72.23027795273407</v>
      </c>
      <c r="D20" s="681">
        <f>transport!C14</f>
        <v>0</v>
      </c>
      <c r="E20" s="681">
        <f>transport!D14</f>
        <v>131.62760754851743</v>
      </c>
      <c r="F20" s="681">
        <f>transport!E14</f>
        <v>51.470739140676379</v>
      </c>
      <c r="G20" s="681">
        <f>transport!F14</f>
        <v>0</v>
      </c>
      <c r="H20" s="681">
        <f>transport!G14</f>
        <v>20826.938391377131</v>
      </c>
      <c r="I20" s="681">
        <f>transport!H14</f>
        <v>6435.8848322109952</v>
      </c>
      <c r="J20" s="681">
        <f>transport!I14</f>
        <v>0</v>
      </c>
      <c r="K20" s="681">
        <f>transport!J14</f>
        <v>0</v>
      </c>
      <c r="L20" s="681">
        <f>transport!K14</f>
        <v>0</v>
      </c>
      <c r="M20" s="681">
        <f>transport!L14</f>
        <v>0</v>
      </c>
      <c r="N20" s="681">
        <f>transport!M14</f>
        <v>1652.0966737758811</v>
      </c>
      <c r="O20" s="681">
        <f>transport!N14</f>
        <v>0</v>
      </c>
      <c r="P20" s="681">
        <f>transport!O14</f>
        <v>0</v>
      </c>
      <c r="Q20" s="682">
        <f>transport!P14</f>
        <v>0</v>
      </c>
      <c r="R20" s="684">
        <f>SUM(C20:Q20)</f>
        <v>29170.248522005935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78.314129593018095</v>
      </c>
      <c r="D22" s="805">
        <f t="shared" ref="D22:R22" si="1">SUM(D18:D21)</f>
        <v>0</v>
      </c>
      <c r="E22" s="805">
        <f t="shared" si="1"/>
        <v>131.62760754851743</v>
      </c>
      <c r="F22" s="805">
        <f t="shared" si="1"/>
        <v>51.470739140676379</v>
      </c>
      <c r="G22" s="805">
        <f t="shared" si="1"/>
        <v>0</v>
      </c>
      <c r="H22" s="805">
        <f t="shared" si="1"/>
        <v>21207.805896830581</v>
      </c>
      <c r="I22" s="805">
        <f t="shared" si="1"/>
        <v>6435.8848322109952</v>
      </c>
      <c r="J22" s="805">
        <f t="shared" si="1"/>
        <v>0</v>
      </c>
      <c r="K22" s="805">
        <f t="shared" si="1"/>
        <v>0</v>
      </c>
      <c r="L22" s="805">
        <f t="shared" si="1"/>
        <v>0</v>
      </c>
      <c r="M22" s="805">
        <f t="shared" si="1"/>
        <v>0</v>
      </c>
      <c r="N22" s="805">
        <f t="shared" si="1"/>
        <v>1673.9652426096786</v>
      </c>
      <c r="O22" s="805">
        <f t="shared" si="1"/>
        <v>0</v>
      </c>
      <c r="P22" s="805">
        <f t="shared" si="1"/>
        <v>0</v>
      </c>
      <c r="Q22" s="805">
        <f t="shared" si="1"/>
        <v>0</v>
      </c>
      <c r="R22" s="805">
        <f t="shared" si="1"/>
        <v>29579.068447933467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1821.876538</v>
      </c>
      <c r="D24" s="681">
        <f>+landbouw!C8</f>
        <v>0</v>
      </c>
      <c r="E24" s="681">
        <f>+landbouw!D8</f>
        <v>3217.3896059130002</v>
      </c>
      <c r="F24" s="681">
        <f>+landbouw!E8</f>
        <v>52.18162722788913</v>
      </c>
      <c r="G24" s="681">
        <f>+landbouw!F8</f>
        <v>5767.1200056339694</v>
      </c>
      <c r="H24" s="681">
        <f>+landbouw!G8</f>
        <v>0</v>
      </c>
      <c r="I24" s="681">
        <f>+landbouw!H8</f>
        <v>0</v>
      </c>
      <c r="J24" s="681">
        <f>+landbouw!I8</f>
        <v>0</v>
      </c>
      <c r="K24" s="681">
        <f>+landbouw!J8</f>
        <v>463.24599233218373</v>
      </c>
      <c r="L24" s="681">
        <f>+landbouw!K8</f>
        <v>0</v>
      </c>
      <c r="M24" s="681">
        <f>+landbouw!L8</f>
        <v>0</v>
      </c>
      <c r="N24" s="681">
        <f>+landbouw!M8</f>
        <v>0</v>
      </c>
      <c r="O24" s="681">
        <f>+landbouw!N8</f>
        <v>0</v>
      </c>
      <c r="P24" s="681">
        <f>+landbouw!O8</f>
        <v>0</v>
      </c>
      <c r="Q24" s="682">
        <f>+landbouw!P8</f>
        <v>0</v>
      </c>
      <c r="R24" s="684">
        <f>SUM(C24:Q24)</f>
        <v>11321.813769107044</v>
      </c>
      <c r="S24" s="67"/>
    </row>
    <row r="25" spans="1:19" s="443" customFormat="1" ht="15" thickBot="1">
      <c r="A25" s="824" t="s">
        <v>690</v>
      </c>
      <c r="B25" s="937"/>
      <c r="C25" s="938">
        <f>IF(Onbekend_ele_kWh="---",0,Onbekend_ele_kWh)/1000+IF(REST_rest_ele_kWh="---",0,REST_rest_ele_kWh)/1000</f>
        <v>168.97591299999999</v>
      </c>
      <c r="D25" s="938"/>
      <c r="E25" s="938">
        <f>IF(onbekend_gas_kWh="---",0,onbekend_gas_kWh)/1000+IF(REST_rest_gas_kWh="---",0,REST_rest_gas_kWh)/1000</f>
        <v>116.607765</v>
      </c>
      <c r="F25" s="938"/>
      <c r="G25" s="938"/>
      <c r="H25" s="938"/>
      <c r="I25" s="938"/>
      <c r="J25" s="938"/>
      <c r="K25" s="938"/>
      <c r="L25" s="938"/>
      <c r="M25" s="938"/>
      <c r="N25" s="938"/>
      <c r="O25" s="938"/>
      <c r="P25" s="938"/>
      <c r="Q25" s="939"/>
      <c r="R25" s="684">
        <f>SUM(C25:Q25)</f>
        <v>285.58367799999996</v>
      </c>
      <c r="S25" s="67"/>
    </row>
    <row r="26" spans="1:19" s="443" customFormat="1" ht="15.75" thickBot="1">
      <c r="A26" s="689" t="s">
        <v>691</v>
      </c>
      <c r="B26" s="810"/>
      <c r="C26" s="805">
        <f>SUM(C24:C25)</f>
        <v>1990.852451</v>
      </c>
      <c r="D26" s="805">
        <f t="shared" ref="D26:R26" si="2">SUM(D24:D25)</f>
        <v>0</v>
      </c>
      <c r="E26" s="805">
        <f t="shared" si="2"/>
        <v>3333.9973709130004</v>
      </c>
      <c r="F26" s="805">
        <f t="shared" si="2"/>
        <v>52.18162722788913</v>
      </c>
      <c r="G26" s="805">
        <f t="shared" si="2"/>
        <v>5767.1200056339694</v>
      </c>
      <c r="H26" s="805">
        <f t="shared" si="2"/>
        <v>0</v>
      </c>
      <c r="I26" s="805">
        <f t="shared" si="2"/>
        <v>0</v>
      </c>
      <c r="J26" s="805">
        <f t="shared" si="2"/>
        <v>0</v>
      </c>
      <c r="K26" s="805">
        <f t="shared" si="2"/>
        <v>463.24599233218373</v>
      </c>
      <c r="L26" s="805">
        <f t="shared" si="2"/>
        <v>0</v>
      </c>
      <c r="M26" s="805">
        <f t="shared" si="2"/>
        <v>0</v>
      </c>
      <c r="N26" s="805">
        <f t="shared" si="2"/>
        <v>0</v>
      </c>
      <c r="O26" s="805">
        <f t="shared" si="2"/>
        <v>0</v>
      </c>
      <c r="P26" s="805">
        <f t="shared" si="2"/>
        <v>0</v>
      </c>
      <c r="Q26" s="805">
        <f t="shared" si="2"/>
        <v>0</v>
      </c>
      <c r="R26" s="805">
        <f t="shared" si="2"/>
        <v>11607.397447107043</v>
      </c>
      <c r="S26" s="67"/>
    </row>
    <row r="27" spans="1:19" s="443" customFormat="1" ht="17.25" thickTop="1" thickBot="1">
      <c r="A27" s="690" t="s">
        <v>109</v>
      </c>
      <c r="B27" s="797"/>
      <c r="C27" s="691">
        <f ca="1">C22+C16+C26</f>
        <v>60871.262460225022</v>
      </c>
      <c r="D27" s="691">
        <f t="shared" ref="D27:R27" ca="1" si="3">D22+D16+D26</f>
        <v>0</v>
      </c>
      <c r="E27" s="691">
        <f t="shared" ca="1" si="3"/>
        <v>31589.524537517522</v>
      </c>
      <c r="F27" s="691">
        <f t="shared" si="3"/>
        <v>1467.303099841688</v>
      </c>
      <c r="G27" s="691">
        <f t="shared" ca="1" si="3"/>
        <v>55617.130952328807</v>
      </c>
      <c r="H27" s="691">
        <f t="shared" si="3"/>
        <v>21207.805896830581</v>
      </c>
      <c r="I27" s="691">
        <f t="shared" si="3"/>
        <v>6435.8848322109952</v>
      </c>
      <c r="J27" s="691">
        <f t="shared" si="3"/>
        <v>0</v>
      </c>
      <c r="K27" s="691">
        <f t="shared" si="3"/>
        <v>612.07228062386775</v>
      </c>
      <c r="L27" s="691">
        <f t="shared" si="3"/>
        <v>0</v>
      </c>
      <c r="M27" s="691">
        <f t="shared" ca="1" si="3"/>
        <v>0</v>
      </c>
      <c r="N27" s="691">
        <f t="shared" si="3"/>
        <v>1673.9652426096786</v>
      </c>
      <c r="O27" s="691">
        <f t="shared" ca="1" si="3"/>
        <v>6330.0359357845464</v>
      </c>
      <c r="P27" s="691">
        <f t="shared" si="3"/>
        <v>240.05894454583088</v>
      </c>
      <c r="Q27" s="691">
        <f t="shared" si="3"/>
        <v>484.43146992158097</v>
      </c>
      <c r="R27" s="691">
        <f t="shared" ca="1" si="3"/>
        <v>186529.47565244013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1094.7343022164355</v>
      </c>
      <c r="D40" s="681">
        <f ca="1">tertiair!C20</f>
        <v>0</v>
      </c>
      <c r="E40" s="681">
        <f ca="1">tertiair!D20</f>
        <v>930.18030082173038</v>
      </c>
      <c r="F40" s="681">
        <f>tertiair!E20</f>
        <v>5.6190373451883975</v>
      </c>
      <c r="G40" s="681">
        <f ca="1">tertiair!F20</f>
        <v>320.14808813425435</v>
      </c>
      <c r="H40" s="681">
        <f>tertiair!G20</f>
        <v>0</v>
      </c>
      <c r="I40" s="681">
        <f>tertiair!H20</f>
        <v>0</v>
      </c>
      <c r="J40" s="681">
        <f>tertiair!I20</f>
        <v>0</v>
      </c>
      <c r="K40" s="681">
        <f>tertiair!J20</f>
        <v>3.2633519269012175E-3</v>
      </c>
      <c r="L40" s="681">
        <f>tertiair!K20</f>
        <v>0</v>
      </c>
      <c r="M40" s="681">
        <f ca="1">tertiair!L20</f>
        <v>0</v>
      </c>
      <c r="N40" s="681">
        <f>tertiair!M20</f>
        <v>0</v>
      </c>
      <c r="O40" s="681">
        <f ca="1">tertiair!N20</f>
        <v>0</v>
      </c>
      <c r="P40" s="681">
        <f>tertiair!O20</f>
        <v>0</v>
      </c>
      <c r="Q40" s="764">
        <f>tertiair!P20</f>
        <v>0</v>
      </c>
      <c r="R40" s="843">
        <f t="shared" ca="1" si="4"/>
        <v>2350.6849918695352</v>
      </c>
    </row>
    <row r="41" spans="1:18">
      <c r="A41" s="815" t="s">
        <v>214</v>
      </c>
      <c r="B41" s="822"/>
      <c r="C41" s="681">
        <f ca="1">huishoudens!B12</f>
        <v>2679.7697944121592</v>
      </c>
      <c r="D41" s="681">
        <f ca="1">huishoudens!C12</f>
        <v>0</v>
      </c>
      <c r="E41" s="681">
        <f>huishoudens!D12</f>
        <v>3847.8681827773744</v>
      </c>
      <c r="F41" s="681">
        <f>huishoudens!E12</f>
        <v>252.89735989307442</v>
      </c>
      <c r="G41" s="681">
        <f>huishoudens!F12</f>
        <v>6516.3557024301308</v>
      </c>
      <c r="H41" s="681">
        <f>huishoudens!G12</f>
        <v>0</v>
      </c>
      <c r="I41" s="681">
        <f>huishoudens!H12</f>
        <v>0</v>
      </c>
      <c r="J41" s="681">
        <f>huishoudens!I12</f>
        <v>0</v>
      </c>
      <c r="K41" s="681">
        <f>huishoudens!J12</f>
        <v>49.238382204972829</v>
      </c>
      <c r="L41" s="681">
        <f>huishoudens!K12</f>
        <v>0</v>
      </c>
      <c r="M41" s="681">
        <f>huishoudens!L12</f>
        <v>0</v>
      </c>
      <c r="N41" s="681">
        <f>huishoudens!M12</f>
        <v>0</v>
      </c>
      <c r="O41" s="681">
        <f>huishoudens!N12</f>
        <v>0</v>
      </c>
      <c r="P41" s="681">
        <f>huishoudens!O12</f>
        <v>0</v>
      </c>
      <c r="Q41" s="764">
        <f>huishoudens!P12</f>
        <v>0</v>
      </c>
      <c r="R41" s="843">
        <f t="shared" ca="1" si="4"/>
        <v>13346.129421717711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8028.643710404699</v>
      </c>
      <c r="D43" s="681">
        <f ca="1">industrie!C22</f>
        <v>0</v>
      </c>
      <c r="E43" s="681">
        <f>industrie!D22</f>
        <v>902.979227330208</v>
      </c>
      <c r="F43" s="681">
        <f>industrie!E22</f>
        <v>51.032319260135999</v>
      </c>
      <c r="G43" s="681">
        <f>industrie!F22</f>
        <v>6473.4491322031381</v>
      </c>
      <c r="H43" s="681">
        <f>industrie!G22</f>
        <v>0</v>
      </c>
      <c r="I43" s="681">
        <f>industrie!H22</f>
        <v>0</v>
      </c>
      <c r="J43" s="681">
        <f>industrie!I22</f>
        <v>0</v>
      </c>
      <c r="K43" s="681">
        <f>industrie!J22</f>
        <v>3.4428604983564077</v>
      </c>
      <c r="L43" s="681">
        <f>industrie!K22</f>
        <v>0</v>
      </c>
      <c r="M43" s="681">
        <f>industrie!L22</f>
        <v>0</v>
      </c>
      <c r="N43" s="681">
        <f>industrie!M22</f>
        <v>0</v>
      </c>
      <c r="O43" s="681">
        <f>industrie!N22</f>
        <v>0</v>
      </c>
      <c r="P43" s="681">
        <f>industrie!O22</f>
        <v>0</v>
      </c>
      <c r="Q43" s="764">
        <f>industrie!P22</f>
        <v>0</v>
      </c>
      <c r="R43" s="842">
        <f t="shared" ca="1" si="4"/>
        <v>15459.547249696536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11803.147807033294</v>
      </c>
      <c r="D46" s="717">
        <f t="shared" ref="D46:Q46" ca="1" si="5">SUM(D39:D45)</f>
        <v>0</v>
      </c>
      <c r="E46" s="717">
        <f t="shared" ca="1" si="5"/>
        <v>5681.0277109293129</v>
      </c>
      <c r="F46" s="717">
        <f t="shared" si="5"/>
        <v>309.54871649839879</v>
      </c>
      <c r="G46" s="717">
        <f t="shared" ca="1" si="5"/>
        <v>13309.952922767523</v>
      </c>
      <c r="H46" s="717">
        <f t="shared" si="5"/>
        <v>0</v>
      </c>
      <c r="I46" s="717">
        <f t="shared" si="5"/>
        <v>0</v>
      </c>
      <c r="J46" s="717">
        <f t="shared" si="5"/>
        <v>0</v>
      </c>
      <c r="K46" s="717">
        <f t="shared" si="5"/>
        <v>52.684506055256143</v>
      </c>
      <c r="L46" s="717">
        <f t="shared" si="5"/>
        <v>0</v>
      </c>
      <c r="M46" s="717">
        <f t="shared" ca="1" si="5"/>
        <v>0</v>
      </c>
      <c r="N46" s="717">
        <f t="shared" si="5"/>
        <v>0</v>
      </c>
      <c r="O46" s="717">
        <f t="shared" ca="1" si="5"/>
        <v>0</v>
      </c>
      <c r="P46" s="717">
        <f t="shared" si="5"/>
        <v>0</v>
      </c>
      <c r="Q46" s="717">
        <f t="shared" si="5"/>
        <v>0</v>
      </c>
      <c r="R46" s="717">
        <f ca="1">SUM(R39:R45)</f>
        <v>31156.36166328378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1.2211911679700445</v>
      </c>
      <c r="D49" s="681">
        <f ca="1">transport!C58</f>
        <v>0</v>
      </c>
      <c r="E49" s="681">
        <f>transport!D58</f>
        <v>0</v>
      </c>
      <c r="F49" s="681">
        <f>transport!E58</f>
        <v>0</v>
      </c>
      <c r="G49" s="681">
        <f>transport!F58</f>
        <v>0</v>
      </c>
      <c r="H49" s="681">
        <f>transport!G58</f>
        <v>101.6916239560714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102.91281512404144</v>
      </c>
    </row>
    <row r="50" spans="1:18">
      <c r="A50" s="818" t="s">
        <v>296</v>
      </c>
      <c r="B50" s="828"/>
      <c r="C50" s="687">
        <f ca="1">transport!B18</f>
        <v>14.498541830284058</v>
      </c>
      <c r="D50" s="687">
        <f>transport!C18</f>
        <v>0</v>
      </c>
      <c r="E50" s="687">
        <f>transport!D18</f>
        <v>26.588776724800525</v>
      </c>
      <c r="F50" s="687">
        <f>transport!E18</f>
        <v>11.683857784933538</v>
      </c>
      <c r="G50" s="687">
        <f>transport!F18</f>
        <v>0</v>
      </c>
      <c r="H50" s="687">
        <f>transport!G18</f>
        <v>5560.7925504976938</v>
      </c>
      <c r="I50" s="687">
        <f>transport!H18</f>
        <v>1602.5353232205377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7216.0990500582502</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15.719732998254102</v>
      </c>
      <c r="D52" s="717">
        <f t="shared" ref="D52:Q52" ca="1" si="6">SUM(D48:D51)</f>
        <v>0</v>
      </c>
      <c r="E52" s="717">
        <f t="shared" si="6"/>
        <v>26.588776724800525</v>
      </c>
      <c r="F52" s="717">
        <f t="shared" si="6"/>
        <v>11.683857784933538</v>
      </c>
      <c r="G52" s="717">
        <f t="shared" si="6"/>
        <v>0</v>
      </c>
      <c r="H52" s="717">
        <f t="shared" si="6"/>
        <v>5662.4841744537653</v>
      </c>
      <c r="I52" s="717">
        <f t="shared" si="6"/>
        <v>1602.5353232205377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7319.0118651822913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365.69917691707087</v>
      </c>
      <c r="D54" s="687">
        <f ca="1">+landbouw!C12</f>
        <v>0</v>
      </c>
      <c r="E54" s="687">
        <f>+landbouw!D12</f>
        <v>649.91270039442611</v>
      </c>
      <c r="F54" s="687">
        <f>+landbouw!E12</f>
        <v>11.845229380730833</v>
      </c>
      <c r="G54" s="687">
        <f>+landbouw!F12</f>
        <v>1539.8210415042699</v>
      </c>
      <c r="H54" s="687">
        <f>+landbouw!G12</f>
        <v>0</v>
      </c>
      <c r="I54" s="687">
        <f>+landbouw!H12</f>
        <v>0</v>
      </c>
      <c r="J54" s="687">
        <f>+landbouw!I12</f>
        <v>0</v>
      </c>
      <c r="K54" s="687">
        <f>+landbouw!J12</f>
        <v>163.98908128559304</v>
      </c>
      <c r="L54" s="687">
        <f>+landbouw!K12</f>
        <v>0</v>
      </c>
      <c r="M54" s="687">
        <f>+landbouw!L12</f>
        <v>0</v>
      </c>
      <c r="N54" s="687">
        <f>+landbouw!M12</f>
        <v>0</v>
      </c>
      <c r="O54" s="687">
        <f>+landbouw!N12</f>
        <v>0</v>
      </c>
      <c r="P54" s="687">
        <f>+landbouw!O12</f>
        <v>0</v>
      </c>
      <c r="Q54" s="688">
        <f>+landbouw!P12</f>
        <v>0</v>
      </c>
      <c r="R54" s="716">
        <f ca="1">SUM(C54:Q54)</f>
        <v>2731.2672294820904</v>
      </c>
    </row>
    <row r="55" spans="1:18" ht="15" thickBot="1">
      <c r="A55" s="818" t="s">
        <v>690</v>
      </c>
      <c r="B55" s="828"/>
      <c r="C55" s="687">
        <f ca="1">C25*'EF ele_warmte'!B12</f>
        <v>33.917969200452255</v>
      </c>
      <c r="D55" s="687"/>
      <c r="E55" s="687">
        <f>E25*EF_CO2_aardgas</f>
        <v>23.55476853</v>
      </c>
      <c r="F55" s="687"/>
      <c r="G55" s="687"/>
      <c r="H55" s="687"/>
      <c r="I55" s="687"/>
      <c r="J55" s="687"/>
      <c r="K55" s="687"/>
      <c r="L55" s="687"/>
      <c r="M55" s="687"/>
      <c r="N55" s="687"/>
      <c r="O55" s="687"/>
      <c r="P55" s="687"/>
      <c r="Q55" s="688"/>
      <c r="R55" s="716">
        <f ca="1">SUM(C55:Q55)</f>
        <v>57.472737730452252</v>
      </c>
    </row>
    <row r="56" spans="1:18" ht="15.75" thickBot="1">
      <c r="A56" s="816" t="s">
        <v>691</v>
      </c>
      <c r="B56" s="829"/>
      <c r="C56" s="717">
        <f ca="1">SUM(C54:C55)</f>
        <v>399.61714611752313</v>
      </c>
      <c r="D56" s="717">
        <f t="shared" ref="D56:Q56" ca="1" si="7">SUM(D54:D55)</f>
        <v>0</v>
      </c>
      <c r="E56" s="717">
        <f t="shared" si="7"/>
        <v>673.46746892442616</v>
      </c>
      <c r="F56" s="717">
        <f t="shared" si="7"/>
        <v>11.845229380730833</v>
      </c>
      <c r="G56" s="717">
        <f t="shared" si="7"/>
        <v>1539.8210415042699</v>
      </c>
      <c r="H56" s="717">
        <f t="shared" si="7"/>
        <v>0</v>
      </c>
      <c r="I56" s="717">
        <f t="shared" si="7"/>
        <v>0</v>
      </c>
      <c r="J56" s="717">
        <f t="shared" si="7"/>
        <v>0</v>
      </c>
      <c r="K56" s="717">
        <f t="shared" si="7"/>
        <v>163.98908128559304</v>
      </c>
      <c r="L56" s="717">
        <f t="shared" si="7"/>
        <v>0</v>
      </c>
      <c r="M56" s="717">
        <f t="shared" si="7"/>
        <v>0</v>
      </c>
      <c r="N56" s="717">
        <f t="shared" si="7"/>
        <v>0</v>
      </c>
      <c r="O56" s="717">
        <f t="shared" si="7"/>
        <v>0</v>
      </c>
      <c r="P56" s="717">
        <f t="shared" si="7"/>
        <v>0</v>
      </c>
      <c r="Q56" s="718">
        <f t="shared" si="7"/>
        <v>0</v>
      </c>
      <c r="R56" s="719">
        <f ca="1">SUM(R54:R55)</f>
        <v>2788.7399672125425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12218.484686149071</v>
      </c>
      <c r="D61" s="725">
        <f t="shared" ref="D61:Q61" ca="1" si="8">D46+D52+D56</f>
        <v>0</v>
      </c>
      <c r="E61" s="725">
        <f t="shared" ca="1" si="8"/>
        <v>6381.0839565785391</v>
      </c>
      <c r="F61" s="725">
        <f t="shared" si="8"/>
        <v>333.07780366406314</v>
      </c>
      <c r="G61" s="725">
        <f t="shared" ca="1" si="8"/>
        <v>14849.773964271793</v>
      </c>
      <c r="H61" s="725">
        <f t="shared" si="8"/>
        <v>5662.4841744537653</v>
      </c>
      <c r="I61" s="725">
        <f t="shared" si="8"/>
        <v>1602.5353232205377</v>
      </c>
      <c r="J61" s="725">
        <f t="shared" si="8"/>
        <v>0</v>
      </c>
      <c r="K61" s="725">
        <f t="shared" si="8"/>
        <v>216.6735873408492</v>
      </c>
      <c r="L61" s="725">
        <f t="shared" si="8"/>
        <v>0</v>
      </c>
      <c r="M61" s="725">
        <f t="shared" ca="1" si="8"/>
        <v>0</v>
      </c>
      <c r="N61" s="725">
        <f t="shared" si="8"/>
        <v>0</v>
      </c>
      <c r="O61" s="725">
        <f t="shared" ca="1" si="8"/>
        <v>0</v>
      </c>
      <c r="P61" s="725">
        <f t="shared" si="8"/>
        <v>0</v>
      </c>
      <c r="Q61" s="725">
        <f t="shared" si="8"/>
        <v>0</v>
      </c>
      <c r="R61" s="725">
        <f ca="1">R46+R52+R56</f>
        <v>41264.113495678612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0.20072665149885743</v>
      </c>
      <c r="D63" s="771">
        <f t="shared" ca="1" si="9"/>
        <v>0</v>
      </c>
      <c r="E63" s="963">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5584.0014369260543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5584.0014369260543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13350.343735632001</v>
      </c>
      <c r="C4" s="447">
        <f>huishoudens!C8</f>
        <v>0</v>
      </c>
      <c r="D4" s="447">
        <f>huishoudens!D8</f>
        <v>19048.852389987002</v>
      </c>
      <c r="E4" s="447">
        <f>huishoudens!E8</f>
        <v>1114.0852858725746</v>
      </c>
      <c r="F4" s="447">
        <f>huishoudens!F8</f>
        <v>24405.82660086191</v>
      </c>
      <c r="G4" s="447">
        <f>huishoudens!G8</f>
        <v>0</v>
      </c>
      <c r="H4" s="447">
        <f>huishoudens!H8</f>
        <v>0</v>
      </c>
      <c r="I4" s="447">
        <f>huishoudens!I8</f>
        <v>0</v>
      </c>
      <c r="J4" s="447">
        <f>huishoudens!J8</f>
        <v>139.09147515529048</v>
      </c>
      <c r="K4" s="447">
        <f>huishoudens!K8</f>
        <v>0</v>
      </c>
      <c r="L4" s="447">
        <f>huishoudens!L8</f>
        <v>0</v>
      </c>
      <c r="M4" s="447">
        <f>huishoudens!M8</f>
        <v>0</v>
      </c>
      <c r="N4" s="447">
        <f>huishoudens!N8</f>
        <v>4386.0605163408218</v>
      </c>
      <c r="O4" s="447">
        <f>huishoudens!O8</f>
        <v>240.05894454583088</v>
      </c>
      <c r="P4" s="448">
        <f>huishoudens!P8</f>
        <v>431.89233161508594</v>
      </c>
      <c r="Q4" s="449">
        <f>SUM(B4:P4)</f>
        <v>63116.211280010517</v>
      </c>
    </row>
    <row r="5" spans="1:17">
      <c r="A5" s="446" t="s">
        <v>149</v>
      </c>
      <c r="B5" s="447">
        <f ca="1">tertiair!B16</f>
        <v>4919.2996000000003</v>
      </c>
      <c r="C5" s="447">
        <f ca="1">tertiair!C16</f>
        <v>0</v>
      </c>
      <c r="D5" s="447">
        <f ca="1">tertiair!D16</f>
        <v>4604.8529743650015</v>
      </c>
      <c r="E5" s="447">
        <f>tertiair!E16</f>
        <v>24.753468481006156</v>
      </c>
      <c r="F5" s="447">
        <f ca="1">tertiair!F16</f>
        <v>1199.0565098661211</v>
      </c>
      <c r="G5" s="447">
        <f>tertiair!G16</f>
        <v>0</v>
      </c>
      <c r="H5" s="447">
        <f>tertiair!H16</f>
        <v>0</v>
      </c>
      <c r="I5" s="447">
        <f>tertiair!I16</f>
        <v>0</v>
      </c>
      <c r="J5" s="447">
        <f>tertiair!J16</f>
        <v>9.2185082680825356E-3</v>
      </c>
      <c r="K5" s="447">
        <f>tertiair!K16</f>
        <v>0</v>
      </c>
      <c r="L5" s="447">
        <f ca="1">tertiair!L16</f>
        <v>0</v>
      </c>
      <c r="M5" s="447">
        <f>tertiair!M16</f>
        <v>0</v>
      </c>
      <c r="N5" s="447">
        <f ca="1">tertiair!N16</f>
        <v>352.81362880696241</v>
      </c>
      <c r="O5" s="447">
        <f>tertiair!O16</f>
        <v>0</v>
      </c>
      <c r="P5" s="448">
        <f>tertiair!P16</f>
        <v>52.539138306495019</v>
      </c>
      <c r="Q5" s="446">
        <f t="shared" ref="Q5:Q14" ca="1" si="0">SUM(B5:P5)</f>
        <v>11153.324538333853</v>
      </c>
    </row>
    <row r="6" spans="1:17">
      <c r="A6" s="446" t="s">
        <v>187</v>
      </c>
      <c r="B6" s="447">
        <f>'openbare verlichting'!B8</f>
        <v>534.556647</v>
      </c>
      <c r="C6" s="447"/>
      <c r="D6" s="447"/>
      <c r="E6" s="447"/>
      <c r="F6" s="447"/>
      <c r="G6" s="447"/>
      <c r="H6" s="447"/>
      <c r="I6" s="447"/>
      <c r="J6" s="447"/>
      <c r="K6" s="447"/>
      <c r="L6" s="447"/>
      <c r="M6" s="447"/>
      <c r="N6" s="447"/>
      <c r="O6" s="447"/>
      <c r="P6" s="448"/>
      <c r="Q6" s="446">
        <f t="shared" si="0"/>
        <v>534.556647</v>
      </c>
    </row>
    <row r="7" spans="1:17">
      <c r="A7" s="446" t="s">
        <v>105</v>
      </c>
      <c r="B7" s="447">
        <f>landbouw!B8</f>
        <v>1821.876538</v>
      </c>
      <c r="C7" s="447">
        <f>landbouw!C8</f>
        <v>0</v>
      </c>
      <c r="D7" s="447">
        <f>landbouw!D8</f>
        <v>3217.3896059130002</v>
      </c>
      <c r="E7" s="447">
        <f>landbouw!E8</f>
        <v>52.18162722788913</v>
      </c>
      <c r="F7" s="447">
        <f>landbouw!F8</f>
        <v>5767.1200056339694</v>
      </c>
      <c r="G7" s="447">
        <f>landbouw!G8</f>
        <v>0</v>
      </c>
      <c r="H7" s="447">
        <f>landbouw!H8</f>
        <v>0</v>
      </c>
      <c r="I7" s="447">
        <f>landbouw!I8</f>
        <v>0</v>
      </c>
      <c r="J7" s="447">
        <f>landbouw!J8</f>
        <v>463.24599233218373</v>
      </c>
      <c r="K7" s="447">
        <f>landbouw!K8</f>
        <v>0</v>
      </c>
      <c r="L7" s="447">
        <f>landbouw!L8</f>
        <v>0</v>
      </c>
      <c r="M7" s="447">
        <f>landbouw!M8</f>
        <v>0</v>
      </c>
      <c r="N7" s="447">
        <f>landbouw!N8</f>
        <v>0</v>
      </c>
      <c r="O7" s="447">
        <f>landbouw!O8</f>
        <v>0</v>
      </c>
      <c r="P7" s="448">
        <f>landbouw!P8</f>
        <v>0</v>
      </c>
      <c r="Q7" s="446">
        <f t="shared" si="0"/>
        <v>11321.813769107044</v>
      </c>
    </row>
    <row r="8" spans="1:17">
      <c r="A8" s="446" t="s">
        <v>611</v>
      </c>
      <c r="B8" s="447">
        <f>industrie!B18</f>
        <v>39997.895897000002</v>
      </c>
      <c r="C8" s="447">
        <f>industrie!C18</f>
        <v>0</v>
      </c>
      <c r="D8" s="447">
        <f>industrie!D18</f>
        <v>4470.1941947039995</v>
      </c>
      <c r="E8" s="447">
        <f>industrie!E18</f>
        <v>224.81197911954183</v>
      </c>
      <c r="F8" s="447">
        <f>industrie!F18</f>
        <v>24245.127835966807</v>
      </c>
      <c r="G8" s="447">
        <f>industrie!G18</f>
        <v>0</v>
      </c>
      <c r="H8" s="447">
        <f>industrie!H18</f>
        <v>0</v>
      </c>
      <c r="I8" s="447">
        <f>industrie!I18</f>
        <v>0</v>
      </c>
      <c r="J8" s="447">
        <f>industrie!J18</f>
        <v>9.725594628125446</v>
      </c>
      <c r="K8" s="447">
        <f>industrie!K18</f>
        <v>0</v>
      </c>
      <c r="L8" s="447">
        <f>industrie!L18</f>
        <v>0</v>
      </c>
      <c r="M8" s="447">
        <f>industrie!M18</f>
        <v>0</v>
      </c>
      <c r="N8" s="447">
        <f>industrie!N18</f>
        <v>1591.1617906367619</v>
      </c>
      <c r="O8" s="447">
        <f>industrie!O18</f>
        <v>0</v>
      </c>
      <c r="P8" s="448">
        <f>industrie!P18</f>
        <v>0</v>
      </c>
      <c r="Q8" s="446">
        <f t="shared" si="0"/>
        <v>70538.917292055237</v>
      </c>
    </row>
    <row r="9" spans="1:17" s="452" customFormat="1">
      <c r="A9" s="450" t="s">
        <v>537</v>
      </c>
      <c r="B9" s="451">
        <f>transport!B14</f>
        <v>72.23027795273407</v>
      </c>
      <c r="C9" s="451">
        <f>transport!C14</f>
        <v>0</v>
      </c>
      <c r="D9" s="451">
        <f>transport!D14</f>
        <v>131.62760754851743</v>
      </c>
      <c r="E9" s="451">
        <f>transport!E14</f>
        <v>51.470739140676379</v>
      </c>
      <c r="F9" s="451">
        <f>transport!F14</f>
        <v>0</v>
      </c>
      <c r="G9" s="451">
        <f>transport!G14</f>
        <v>20826.938391377131</v>
      </c>
      <c r="H9" s="451">
        <f>transport!H14</f>
        <v>6435.8848322109952</v>
      </c>
      <c r="I9" s="451">
        <f>transport!I14</f>
        <v>0</v>
      </c>
      <c r="J9" s="451">
        <f>transport!J14</f>
        <v>0</v>
      </c>
      <c r="K9" s="451">
        <f>transport!K14</f>
        <v>0</v>
      </c>
      <c r="L9" s="451">
        <f>transport!L14</f>
        <v>0</v>
      </c>
      <c r="M9" s="451">
        <f>transport!M14</f>
        <v>1652.0966737758811</v>
      </c>
      <c r="N9" s="451">
        <f>transport!N14</f>
        <v>0</v>
      </c>
      <c r="O9" s="451">
        <f>transport!O14</f>
        <v>0</v>
      </c>
      <c r="P9" s="451">
        <f>transport!P14</f>
        <v>0</v>
      </c>
      <c r="Q9" s="450">
        <f>SUM(B9:P9)</f>
        <v>29170.248522005935</v>
      </c>
    </row>
    <row r="10" spans="1:17">
      <c r="A10" s="446" t="s">
        <v>527</v>
      </c>
      <c r="B10" s="447">
        <f>transport!B54</f>
        <v>6.0838516402840286</v>
      </c>
      <c r="C10" s="447">
        <f>transport!C54</f>
        <v>0</v>
      </c>
      <c r="D10" s="447">
        <f>transport!D54</f>
        <v>0</v>
      </c>
      <c r="E10" s="447">
        <f>transport!E54</f>
        <v>0</v>
      </c>
      <c r="F10" s="447">
        <f>transport!F54</f>
        <v>0</v>
      </c>
      <c r="G10" s="447">
        <f>transport!G54</f>
        <v>380.86750545345092</v>
      </c>
      <c r="H10" s="447">
        <f>transport!H54</f>
        <v>0</v>
      </c>
      <c r="I10" s="447">
        <f>transport!I54</f>
        <v>0</v>
      </c>
      <c r="J10" s="447">
        <f>transport!J54</f>
        <v>0</v>
      </c>
      <c r="K10" s="447">
        <f>transport!K54</f>
        <v>0</v>
      </c>
      <c r="L10" s="447">
        <f>transport!L54</f>
        <v>0</v>
      </c>
      <c r="M10" s="447">
        <f>transport!M54</f>
        <v>21.868568833797593</v>
      </c>
      <c r="N10" s="447">
        <f>transport!N54</f>
        <v>0</v>
      </c>
      <c r="O10" s="447">
        <f>transport!O54</f>
        <v>0</v>
      </c>
      <c r="P10" s="448">
        <f>transport!P54</f>
        <v>0</v>
      </c>
      <c r="Q10" s="446">
        <f t="shared" si="0"/>
        <v>408.81992592753255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168.97591299999999</v>
      </c>
      <c r="C14" s="454"/>
      <c r="D14" s="454">
        <f>'SEAP template'!E25</f>
        <v>116.607765</v>
      </c>
      <c r="E14" s="454"/>
      <c r="F14" s="454"/>
      <c r="G14" s="454"/>
      <c r="H14" s="454"/>
      <c r="I14" s="454"/>
      <c r="J14" s="454"/>
      <c r="K14" s="454"/>
      <c r="L14" s="454"/>
      <c r="M14" s="454"/>
      <c r="N14" s="454"/>
      <c r="O14" s="454"/>
      <c r="P14" s="455"/>
      <c r="Q14" s="446">
        <f t="shared" si="0"/>
        <v>285.58367799999996</v>
      </c>
    </row>
    <row r="15" spans="1:17" s="458" customFormat="1">
      <c r="A15" s="456" t="s">
        <v>531</v>
      </c>
      <c r="B15" s="457">
        <f ca="1">SUM(B4:B14)</f>
        <v>60871.262460225022</v>
      </c>
      <c r="C15" s="457">
        <f t="shared" ref="C15:Q15" ca="1" si="1">SUM(C4:C14)</f>
        <v>0</v>
      </c>
      <c r="D15" s="457">
        <f t="shared" ca="1" si="1"/>
        <v>31589.524537517522</v>
      </c>
      <c r="E15" s="457">
        <f t="shared" si="1"/>
        <v>1467.303099841688</v>
      </c>
      <c r="F15" s="457">
        <f t="shared" ca="1" si="1"/>
        <v>55617.130952328807</v>
      </c>
      <c r="G15" s="457">
        <f t="shared" si="1"/>
        <v>21207.805896830581</v>
      </c>
      <c r="H15" s="457">
        <f t="shared" si="1"/>
        <v>6435.8848322109952</v>
      </c>
      <c r="I15" s="457">
        <f t="shared" si="1"/>
        <v>0</v>
      </c>
      <c r="J15" s="457">
        <f t="shared" si="1"/>
        <v>612.07228062386775</v>
      </c>
      <c r="K15" s="457">
        <f t="shared" si="1"/>
        <v>0</v>
      </c>
      <c r="L15" s="457">
        <f t="shared" ca="1" si="1"/>
        <v>0</v>
      </c>
      <c r="M15" s="457">
        <f t="shared" si="1"/>
        <v>1673.9652426096786</v>
      </c>
      <c r="N15" s="457">
        <f t="shared" ca="1" si="1"/>
        <v>6330.0359357845464</v>
      </c>
      <c r="O15" s="457">
        <f t="shared" si="1"/>
        <v>240.05894454583088</v>
      </c>
      <c r="P15" s="457">
        <f t="shared" si="1"/>
        <v>484.43146992158097</v>
      </c>
      <c r="Q15" s="457">
        <f t="shared" ca="1" si="1"/>
        <v>186529.47565244013</v>
      </c>
    </row>
    <row r="17" spans="1:17">
      <c r="A17" s="459" t="s">
        <v>532</v>
      </c>
      <c r="B17" s="776">
        <f ca="1">huishoudens!B10</f>
        <v>0.20072665149885743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2679.7697944121592</v>
      </c>
      <c r="C22" s="447">
        <f t="shared" ref="C22:C32" ca="1" si="3">C4*$C$17</f>
        <v>0</v>
      </c>
      <c r="D22" s="447">
        <f t="shared" ref="D22:D32" si="4">D4*$D$17</f>
        <v>3847.8681827773744</v>
      </c>
      <c r="E22" s="447">
        <f t="shared" ref="E22:E32" si="5">E4*$E$17</f>
        <v>252.89735989307442</v>
      </c>
      <c r="F22" s="447">
        <f t="shared" ref="F22:F32" si="6">F4*$F$17</f>
        <v>6516.3557024301308</v>
      </c>
      <c r="G22" s="447">
        <f t="shared" ref="G22:G32" si="7">G4*$G$17</f>
        <v>0</v>
      </c>
      <c r="H22" s="447">
        <f t="shared" ref="H22:H32" si="8">H4*$H$17</f>
        <v>0</v>
      </c>
      <c r="I22" s="447">
        <f t="shared" ref="I22:I32" si="9">I4*$I$17</f>
        <v>0</v>
      </c>
      <c r="J22" s="447">
        <f t="shared" ref="J22:J32" si="10">J4*$J$17</f>
        <v>49.238382204972829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13346.129421717711</v>
      </c>
    </row>
    <row r="23" spans="1:17">
      <c r="A23" s="446" t="s">
        <v>149</v>
      </c>
      <c r="B23" s="447">
        <f t="shared" ca="1" si="2"/>
        <v>987.43453642766883</v>
      </c>
      <c r="C23" s="447">
        <f t="shared" ca="1" si="3"/>
        <v>0</v>
      </c>
      <c r="D23" s="447">
        <f t="shared" ca="1" si="4"/>
        <v>930.18030082173038</v>
      </c>
      <c r="E23" s="447">
        <f t="shared" si="5"/>
        <v>5.6190373451883975</v>
      </c>
      <c r="F23" s="447">
        <f t="shared" ca="1" si="6"/>
        <v>320.14808813425435</v>
      </c>
      <c r="G23" s="447">
        <f t="shared" si="7"/>
        <v>0</v>
      </c>
      <c r="H23" s="447">
        <f t="shared" si="8"/>
        <v>0</v>
      </c>
      <c r="I23" s="447">
        <f t="shared" si="9"/>
        <v>0</v>
      </c>
      <c r="J23" s="447">
        <f t="shared" si="10"/>
        <v>3.2633519269012175E-3</v>
      </c>
      <c r="K23" s="447">
        <f t="shared" si="11"/>
        <v>0</v>
      </c>
      <c r="L23" s="447">
        <f t="shared" ca="1" si="12"/>
        <v>0</v>
      </c>
      <c r="M23" s="447">
        <f t="shared" si="13"/>
        <v>0</v>
      </c>
      <c r="N23" s="447">
        <f t="shared" ca="1" si="14"/>
        <v>0</v>
      </c>
      <c r="O23" s="447">
        <f t="shared" si="15"/>
        <v>0</v>
      </c>
      <c r="P23" s="448">
        <f t="shared" si="16"/>
        <v>0</v>
      </c>
      <c r="Q23" s="446">
        <f t="shared" ref="Q23:Q31" ca="1" si="17">SUM(B23:P23)</f>
        <v>2243.3852260807689</v>
      </c>
    </row>
    <row r="24" spans="1:17">
      <c r="A24" s="446" t="s">
        <v>187</v>
      </c>
      <c r="B24" s="447">
        <f t="shared" ca="1" si="2"/>
        <v>107.29976578876675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107.29976578876675</v>
      </c>
    </row>
    <row r="25" spans="1:17">
      <c r="A25" s="446" t="s">
        <v>105</v>
      </c>
      <c r="B25" s="447">
        <f t="shared" ca="1" si="2"/>
        <v>365.69917691707087</v>
      </c>
      <c r="C25" s="447">
        <f t="shared" ca="1" si="3"/>
        <v>0</v>
      </c>
      <c r="D25" s="447">
        <f t="shared" si="4"/>
        <v>649.91270039442611</v>
      </c>
      <c r="E25" s="447">
        <f t="shared" si="5"/>
        <v>11.845229380730833</v>
      </c>
      <c r="F25" s="447">
        <f t="shared" si="6"/>
        <v>1539.8210415042699</v>
      </c>
      <c r="G25" s="447">
        <f t="shared" si="7"/>
        <v>0</v>
      </c>
      <c r="H25" s="447">
        <f t="shared" si="8"/>
        <v>0</v>
      </c>
      <c r="I25" s="447">
        <f t="shared" si="9"/>
        <v>0</v>
      </c>
      <c r="J25" s="447">
        <f t="shared" si="10"/>
        <v>163.98908128559304</v>
      </c>
      <c r="K25" s="447">
        <f t="shared" si="11"/>
        <v>0</v>
      </c>
      <c r="L25" s="447">
        <f t="shared" si="12"/>
        <v>0</v>
      </c>
      <c r="M25" s="447">
        <f t="shared" si="13"/>
        <v>0</v>
      </c>
      <c r="N25" s="447">
        <f t="shared" si="14"/>
        <v>0</v>
      </c>
      <c r="O25" s="447">
        <f t="shared" si="15"/>
        <v>0</v>
      </c>
      <c r="P25" s="448">
        <f t="shared" si="16"/>
        <v>0</v>
      </c>
      <c r="Q25" s="446">
        <f t="shared" ca="1" si="17"/>
        <v>2731.2672294820904</v>
      </c>
    </row>
    <row r="26" spans="1:17">
      <c r="A26" s="446" t="s">
        <v>611</v>
      </c>
      <c r="B26" s="447">
        <f t="shared" ca="1" si="2"/>
        <v>8028.643710404699</v>
      </c>
      <c r="C26" s="447">
        <f t="shared" ca="1" si="3"/>
        <v>0</v>
      </c>
      <c r="D26" s="447">
        <f t="shared" si="4"/>
        <v>902.979227330208</v>
      </c>
      <c r="E26" s="447">
        <f t="shared" si="5"/>
        <v>51.032319260135999</v>
      </c>
      <c r="F26" s="447">
        <f t="shared" si="6"/>
        <v>6473.4491322031381</v>
      </c>
      <c r="G26" s="447">
        <f t="shared" si="7"/>
        <v>0</v>
      </c>
      <c r="H26" s="447">
        <f t="shared" si="8"/>
        <v>0</v>
      </c>
      <c r="I26" s="447">
        <f t="shared" si="9"/>
        <v>0</v>
      </c>
      <c r="J26" s="447">
        <f t="shared" si="10"/>
        <v>3.4428604983564077</v>
      </c>
      <c r="K26" s="447">
        <f t="shared" si="11"/>
        <v>0</v>
      </c>
      <c r="L26" s="447">
        <f t="shared" si="12"/>
        <v>0</v>
      </c>
      <c r="M26" s="447">
        <f t="shared" si="13"/>
        <v>0</v>
      </c>
      <c r="N26" s="447">
        <f t="shared" si="14"/>
        <v>0</v>
      </c>
      <c r="O26" s="447">
        <f t="shared" si="15"/>
        <v>0</v>
      </c>
      <c r="P26" s="448">
        <f t="shared" si="16"/>
        <v>0</v>
      </c>
      <c r="Q26" s="446">
        <f t="shared" ca="1" si="17"/>
        <v>15459.547249696536</v>
      </c>
    </row>
    <row r="27" spans="1:17" s="452" customFormat="1">
      <c r="A27" s="450" t="s">
        <v>537</v>
      </c>
      <c r="B27" s="770">
        <f t="shared" ca="1" si="2"/>
        <v>14.498541830284058</v>
      </c>
      <c r="C27" s="451">
        <f t="shared" ca="1" si="3"/>
        <v>0</v>
      </c>
      <c r="D27" s="451">
        <f t="shared" si="4"/>
        <v>26.588776724800525</v>
      </c>
      <c r="E27" s="451">
        <f t="shared" si="5"/>
        <v>11.683857784933538</v>
      </c>
      <c r="F27" s="451">
        <f t="shared" si="6"/>
        <v>0</v>
      </c>
      <c r="G27" s="451">
        <f t="shared" si="7"/>
        <v>5560.7925504976938</v>
      </c>
      <c r="H27" s="451">
        <f t="shared" si="8"/>
        <v>1602.5353232205377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7216.0990500582502</v>
      </c>
    </row>
    <row r="28" spans="1:17" ht="16.5" customHeight="1">
      <c r="A28" s="446" t="s">
        <v>527</v>
      </c>
      <c r="B28" s="447">
        <f t="shared" ca="1" si="2"/>
        <v>1.2211911679700445</v>
      </c>
      <c r="C28" s="447">
        <f t="shared" ca="1" si="3"/>
        <v>0</v>
      </c>
      <c r="D28" s="447">
        <f t="shared" si="4"/>
        <v>0</v>
      </c>
      <c r="E28" s="447">
        <f t="shared" si="5"/>
        <v>0</v>
      </c>
      <c r="F28" s="447">
        <f t="shared" si="6"/>
        <v>0</v>
      </c>
      <c r="G28" s="447">
        <f t="shared" si="7"/>
        <v>101.6916239560714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102.91281512404144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33.917969200452255</v>
      </c>
      <c r="C32" s="447">
        <f t="shared" ca="1" si="3"/>
        <v>0</v>
      </c>
      <c r="D32" s="447">
        <f t="shared" si="4"/>
        <v>23.55476853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57.472737730452252</v>
      </c>
    </row>
    <row r="33" spans="1:17" s="458" customFormat="1">
      <c r="A33" s="456" t="s">
        <v>531</v>
      </c>
      <c r="B33" s="457">
        <f ca="1">SUM(B22:B32)</f>
        <v>12218.48468614907</v>
      </c>
      <c r="C33" s="457">
        <f t="shared" ref="C33:Q33" ca="1" si="19">SUM(C22:C32)</f>
        <v>0</v>
      </c>
      <c r="D33" s="457">
        <f t="shared" ca="1" si="19"/>
        <v>6381.0839565785391</v>
      </c>
      <c r="E33" s="457">
        <f t="shared" si="19"/>
        <v>333.07780366406314</v>
      </c>
      <c r="F33" s="457">
        <f t="shared" ca="1" si="19"/>
        <v>14849.773964271793</v>
      </c>
      <c r="G33" s="457">
        <f t="shared" si="19"/>
        <v>5662.4841744537653</v>
      </c>
      <c r="H33" s="457">
        <f t="shared" si="19"/>
        <v>1602.5353232205377</v>
      </c>
      <c r="I33" s="457">
        <f t="shared" si="19"/>
        <v>0</v>
      </c>
      <c r="J33" s="457">
        <f t="shared" si="19"/>
        <v>216.67358734084917</v>
      </c>
      <c r="K33" s="457">
        <f t="shared" si="19"/>
        <v>0</v>
      </c>
      <c r="L33" s="457">
        <f t="shared" ca="1" si="19"/>
        <v>0</v>
      </c>
      <c r="M33" s="457">
        <f t="shared" si="19"/>
        <v>0</v>
      </c>
      <c r="N33" s="457">
        <f t="shared" ca="1" si="19"/>
        <v>0</v>
      </c>
      <c r="O33" s="457">
        <f t="shared" si="19"/>
        <v>0</v>
      </c>
      <c r="P33" s="457">
        <f t="shared" si="19"/>
        <v>0</v>
      </c>
      <c r="Q33" s="457">
        <f t="shared" ca="1" si="19"/>
        <v>41264.113495678619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5584.0014369260543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5584.0014369260543</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0.20072665149885743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0.20072665149885743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0.20072665149885743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0.20072665149885743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3109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1542.22</v>
      </c>
      <c r="C14" s="326"/>
      <c r="D14" s="326"/>
      <c r="E14" s="326"/>
      <c r="F14" s="326"/>
    </row>
    <row r="15" spans="1:6">
      <c r="A15" s="1310" t="s">
        <v>177</v>
      </c>
      <c r="B15" s="1311">
        <v>8</v>
      </c>
      <c r="C15" s="326"/>
      <c r="D15" s="326"/>
      <c r="E15" s="326"/>
      <c r="F15" s="326"/>
    </row>
    <row r="16" spans="1:6">
      <c r="A16" s="1310" t="s">
        <v>6</v>
      </c>
      <c r="B16" s="1311">
        <v>283</v>
      </c>
      <c r="C16" s="326"/>
      <c r="D16" s="326"/>
      <c r="E16" s="326"/>
      <c r="F16" s="326"/>
    </row>
    <row r="17" spans="1:6">
      <c r="A17" s="1310" t="s">
        <v>7</v>
      </c>
      <c r="B17" s="1311">
        <v>61</v>
      </c>
      <c r="C17" s="326"/>
      <c r="D17" s="326"/>
      <c r="E17" s="326"/>
      <c r="F17" s="326"/>
    </row>
    <row r="18" spans="1:6">
      <c r="A18" s="1310" t="s">
        <v>8</v>
      </c>
      <c r="B18" s="1311">
        <v>140</v>
      </c>
      <c r="C18" s="326"/>
      <c r="D18" s="326"/>
      <c r="E18" s="326"/>
      <c r="F18" s="326"/>
    </row>
    <row r="19" spans="1:6">
      <c r="A19" s="1310" t="s">
        <v>9</v>
      </c>
      <c r="B19" s="1311">
        <v>111</v>
      </c>
      <c r="C19" s="326"/>
      <c r="D19" s="326"/>
      <c r="E19" s="326"/>
      <c r="F19" s="326"/>
    </row>
    <row r="20" spans="1:6">
      <c r="A20" s="1310" t="s">
        <v>10</v>
      </c>
      <c r="B20" s="1311">
        <v>118</v>
      </c>
      <c r="C20" s="326"/>
      <c r="D20" s="326"/>
      <c r="E20" s="326"/>
      <c r="F20" s="326"/>
    </row>
    <row r="21" spans="1:6">
      <c r="A21" s="1310" t="s">
        <v>11</v>
      </c>
      <c r="B21" s="1311">
        <v>551</v>
      </c>
      <c r="C21" s="326"/>
      <c r="D21" s="326"/>
      <c r="E21" s="326"/>
      <c r="F21" s="326"/>
    </row>
    <row r="22" spans="1:6">
      <c r="A22" s="1310" t="s">
        <v>12</v>
      </c>
      <c r="B22" s="1311">
        <v>1613</v>
      </c>
      <c r="C22" s="326"/>
      <c r="D22" s="326"/>
      <c r="E22" s="326"/>
      <c r="F22" s="326"/>
    </row>
    <row r="23" spans="1:6">
      <c r="A23" s="1310" t="s">
        <v>13</v>
      </c>
      <c r="B23" s="1311">
        <v>17</v>
      </c>
      <c r="C23" s="326"/>
      <c r="D23" s="326"/>
      <c r="E23" s="326"/>
      <c r="F23" s="326"/>
    </row>
    <row r="24" spans="1:6">
      <c r="A24" s="1310" t="s">
        <v>14</v>
      </c>
      <c r="B24" s="1311">
        <v>3</v>
      </c>
      <c r="C24" s="326"/>
      <c r="D24" s="326"/>
      <c r="E24" s="326"/>
      <c r="F24" s="326"/>
    </row>
    <row r="25" spans="1:6">
      <c r="A25" s="1310" t="s">
        <v>15</v>
      </c>
      <c r="B25" s="1311">
        <v>222</v>
      </c>
      <c r="C25" s="326"/>
      <c r="D25" s="326"/>
      <c r="E25" s="326"/>
      <c r="F25" s="326"/>
    </row>
    <row r="26" spans="1:6">
      <c r="A26" s="1310" t="s">
        <v>16</v>
      </c>
      <c r="B26" s="1311">
        <v>40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33</v>
      </c>
      <c r="C29" s="326"/>
      <c r="D29" s="326"/>
      <c r="E29" s="326"/>
      <c r="F29" s="326"/>
    </row>
    <row r="30" spans="1:6">
      <c r="A30" s="1305" t="s">
        <v>679</v>
      </c>
      <c r="B30" s="1313">
        <v>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1382</v>
      </c>
      <c r="D39" s="1311">
        <v>21095074.629000001</v>
      </c>
      <c r="E39" s="1311">
        <v>3084</v>
      </c>
      <c r="F39" s="1311">
        <v>9827958.0419999901</v>
      </c>
    </row>
    <row r="40" spans="1:6">
      <c r="A40" s="1310" t="s">
        <v>29</v>
      </c>
      <c r="B40" s="1310" t="s">
        <v>28</v>
      </c>
      <c r="C40" s="1311">
        <v>0</v>
      </c>
      <c r="D40" s="1311">
        <v>0</v>
      </c>
      <c r="E40" s="1311">
        <v>1</v>
      </c>
      <c r="F40" s="1311">
        <v>6998.4679999999998</v>
      </c>
    </row>
    <row r="41" spans="1:6">
      <c r="A41" s="1310" t="s">
        <v>31</v>
      </c>
      <c r="B41" s="1310" t="s">
        <v>32</v>
      </c>
      <c r="C41" s="1311">
        <v>44</v>
      </c>
      <c r="D41" s="1311">
        <v>4543545.682</v>
      </c>
      <c r="E41" s="1311">
        <v>82</v>
      </c>
      <c r="F41" s="1311">
        <v>37018025.063000001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41428.087</v>
      </c>
      <c r="E44" s="1311">
        <v>10</v>
      </c>
      <c r="F44" s="1311">
        <v>505735.23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155891.201</v>
      </c>
      <c r="E48" s="1311">
        <v>2</v>
      </c>
      <c r="F48" s="1311">
        <v>1714947.094</v>
      </c>
    </row>
    <row r="49" spans="1:6">
      <c r="A49" s="1310" t="s">
        <v>31</v>
      </c>
      <c r="B49" s="1310" t="s">
        <v>39</v>
      </c>
      <c r="C49" s="1311">
        <v>0</v>
      </c>
      <c r="D49" s="1311">
        <v>0</v>
      </c>
      <c r="E49" s="1311">
        <v>0</v>
      </c>
      <c r="F49" s="1311">
        <v>0</v>
      </c>
    </row>
    <row r="50" spans="1:6">
      <c r="A50" s="1310" t="s">
        <v>31</v>
      </c>
      <c r="B50" s="1310" t="s">
        <v>40</v>
      </c>
      <c r="C50" s="1311">
        <v>4</v>
      </c>
      <c r="D50" s="1311">
        <v>209516.198</v>
      </c>
      <c r="E50" s="1311">
        <v>6</v>
      </c>
      <c r="F50" s="1311">
        <v>759188.51</v>
      </c>
    </row>
    <row r="51" spans="1:6">
      <c r="A51" s="1310" t="s">
        <v>41</v>
      </c>
      <c r="B51" s="1310" t="s">
        <v>42</v>
      </c>
      <c r="C51" s="1311">
        <v>9</v>
      </c>
      <c r="D51" s="1311">
        <v>3563000.6710000001</v>
      </c>
      <c r="E51" s="1311">
        <v>60</v>
      </c>
      <c r="F51" s="1311">
        <v>1821876.5379999999</v>
      </c>
    </row>
    <row r="52" spans="1:6">
      <c r="A52" s="1310" t="s">
        <v>41</v>
      </c>
      <c r="B52" s="1310" t="s">
        <v>28</v>
      </c>
      <c r="C52" s="1311">
        <v>0</v>
      </c>
      <c r="D52" s="1311">
        <v>0</v>
      </c>
      <c r="E52" s="1311">
        <v>0</v>
      </c>
      <c r="F52" s="1311">
        <v>0</v>
      </c>
    </row>
    <row r="53" spans="1:6">
      <c r="A53" s="1310" t="s">
        <v>43</v>
      </c>
      <c r="B53" s="1310" t="s">
        <v>44</v>
      </c>
      <c r="C53" s="1311">
        <v>9</v>
      </c>
      <c r="D53" s="1311">
        <v>116607.765</v>
      </c>
      <c r="E53" s="1311">
        <v>46</v>
      </c>
      <c r="F53" s="1311">
        <v>168975.913</v>
      </c>
    </row>
    <row r="54" spans="1:6">
      <c r="A54" s="1310" t="s">
        <v>45</v>
      </c>
      <c r="B54" s="1310" t="s">
        <v>46</v>
      </c>
      <c r="C54" s="1311">
        <v>0</v>
      </c>
      <c r="D54" s="1311">
        <v>0</v>
      </c>
      <c r="E54" s="1311">
        <v>1</v>
      </c>
      <c r="F54" s="1311">
        <v>534556.647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17</v>
      </c>
      <c r="D57" s="1311">
        <v>771597.88600000006</v>
      </c>
      <c r="E57" s="1311">
        <v>35</v>
      </c>
      <c r="F57" s="1311">
        <v>911444.67</v>
      </c>
    </row>
    <row r="58" spans="1:6">
      <c r="A58" s="1310" t="s">
        <v>48</v>
      </c>
      <c r="B58" s="1310" t="s">
        <v>50</v>
      </c>
      <c r="C58" s="1311">
        <v>9</v>
      </c>
      <c r="D58" s="1311">
        <v>269438.04300000001</v>
      </c>
      <c r="E58" s="1311">
        <v>17</v>
      </c>
      <c r="F58" s="1311">
        <v>124423.817</v>
      </c>
    </row>
    <row r="59" spans="1:6">
      <c r="A59" s="1310" t="s">
        <v>48</v>
      </c>
      <c r="B59" s="1310" t="s">
        <v>51</v>
      </c>
      <c r="C59" s="1311">
        <v>33</v>
      </c>
      <c r="D59" s="1311">
        <v>966019.81200000003</v>
      </c>
      <c r="E59" s="1311">
        <v>80</v>
      </c>
      <c r="F59" s="1311">
        <v>1563929.959</v>
      </c>
    </row>
    <row r="60" spans="1:6">
      <c r="A60" s="1310" t="s">
        <v>48</v>
      </c>
      <c r="B60" s="1310" t="s">
        <v>52</v>
      </c>
      <c r="C60" s="1311">
        <v>21</v>
      </c>
      <c r="D60" s="1311">
        <v>561233.16</v>
      </c>
      <c r="E60" s="1311">
        <v>29</v>
      </c>
      <c r="F60" s="1311">
        <v>434529.33</v>
      </c>
    </row>
    <row r="61" spans="1:6">
      <c r="A61" s="1310" t="s">
        <v>48</v>
      </c>
      <c r="B61" s="1310" t="s">
        <v>53</v>
      </c>
      <c r="C61" s="1311">
        <v>41</v>
      </c>
      <c r="D61" s="1311">
        <v>2267565.4900000002</v>
      </c>
      <c r="E61" s="1311">
        <v>97</v>
      </c>
      <c r="F61" s="1311">
        <v>1828115.5330000001</v>
      </c>
    </row>
    <row r="62" spans="1:6">
      <c r="A62" s="1310" t="s">
        <v>48</v>
      </c>
      <c r="B62" s="1310" t="s">
        <v>54</v>
      </c>
      <c r="C62" s="1311">
        <v>4</v>
      </c>
      <c r="D62" s="1311">
        <v>263650.56400000001</v>
      </c>
      <c r="E62" s="1311">
        <v>9</v>
      </c>
      <c r="F62" s="1311">
        <v>56856.290999999997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8346.9609999999993</v>
      </c>
    </row>
    <row r="66" spans="1:6">
      <c r="A66" s="1310" t="s">
        <v>55</v>
      </c>
      <c r="B66" s="1310" t="s">
        <v>57</v>
      </c>
      <c r="C66" s="1311">
        <v>0</v>
      </c>
      <c r="D66" s="1311">
        <v>0</v>
      </c>
      <c r="E66" s="1311">
        <v>0</v>
      </c>
      <c r="F66" s="1311">
        <v>0</v>
      </c>
    </row>
    <row r="67" spans="1:6">
      <c r="A67" s="1310" t="s">
        <v>55</v>
      </c>
      <c r="B67" s="1310" t="s">
        <v>58</v>
      </c>
      <c r="C67" s="1311">
        <v>13</v>
      </c>
      <c r="D67" s="1311">
        <v>1015004.724</v>
      </c>
      <c r="E67" s="1311">
        <v>29</v>
      </c>
      <c r="F67" s="1311">
        <v>327143.56300000002</v>
      </c>
    </row>
    <row r="68" spans="1:6">
      <c r="A68" s="1305" t="s">
        <v>55</v>
      </c>
      <c r="B68" s="1305" t="s">
        <v>59</v>
      </c>
      <c r="C68" s="1313">
        <v>3</v>
      </c>
      <c r="D68" s="1313">
        <v>49356.673000000003</v>
      </c>
      <c r="E68" s="1313">
        <v>9</v>
      </c>
      <c r="F68" s="1313">
        <v>36578.010999999999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27481594</v>
      </c>
      <c r="E73" s="445"/>
      <c r="F73" s="326"/>
    </row>
    <row r="74" spans="1:6">
      <c r="A74" s="1310" t="s">
        <v>63</v>
      </c>
      <c r="B74" s="1310" t="s">
        <v>632</v>
      </c>
      <c r="C74" s="1323" t="s">
        <v>634</v>
      </c>
      <c r="D74" s="1311">
        <v>1908355.4579232065</v>
      </c>
      <c r="E74" s="445"/>
      <c r="F74" s="326"/>
    </row>
    <row r="75" spans="1:6">
      <c r="A75" s="1310" t="s">
        <v>64</v>
      </c>
      <c r="B75" s="1310" t="s">
        <v>631</v>
      </c>
      <c r="C75" s="1323" t="s">
        <v>635</v>
      </c>
      <c r="D75" s="1311">
        <v>7635728</v>
      </c>
      <c r="E75" s="445"/>
      <c r="F75" s="326"/>
    </row>
    <row r="76" spans="1:6">
      <c r="A76" s="1310" t="s">
        <v>64</v>
      </c>
      <c r="B76" s="1310" t="s">
        <v>632</v>
      </c>
      <c r="C76" s="1323" t="s">
        <v>636</v>
      </c>
      <c r="D76" s="1311">
        <v>189066.4579232065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113477.084153587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3515.3872256320105</v>
      </c>
      <c r="C91" s="326"/>
      <c r="D91" s="326"/>
      <c r="E91" s="326"/>
      <c r="F91" s="326"/>
    </row>
    <row r="92" spans="1:6">
      <c r="A92" s="1305" t="s">
        <v>68</v>
      </c>
      <c r="B92" s="1306">
        <v>2068.6142112940438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226</v>
      </c>
      <c r="C97" s="326"/>
      <c r="D97" s="326"/>
      <c r="E97" s="326"/>
      <c r="F97" s="326"/>
    </row>
    <row r="98" spans="1:6">
      <c r="A98" s="1310" t="s">
        <v>71</v>
      </c>
      <c r="B98" s="1311">
        <v>2</v>
      </c>
      <c r="C98" s="326"/>
      <c r="D98" s="326"/>
      <c r="E98" s="326"/>
      <c r="F98" s="326"/>
    </row>
    <row r="99" spans="1:6">
      <c r="A99" s="1310" t="s">
        <v>72</v>
      </c>
      <c r="B99" s="1311">
        <v>18</v>
      </c>
      <c r="C99" s="326"/>
      <c r="D99" s="326"/>
      <c r="E99" s="326"/>
      <c r="F99" s="326"/>
    </row>
    <row r="100" spans="1:6">
      <c r="A100" s="1310" t="s">
        <v>73</v>
      </c>
      <c r="B100" s="1311">
        <v>72</v>
      </c>
      <c r="C100" s="326"/>
      <c r="D100" s="326"/>
      <c r="E100" s="326"/>
      <c r="F100" s="326"/>
    </row>
    <row r="101" spans="1:6">
      <c r="A101" s="1310" t="s">
        <v>74</v>
      </c>
      <c r="B101" s="1311">
        <v>39</v>
      </c>
      <c r="C101" s="326"/>
      <c r="D101" s="326"/>
      <c r="E101" s="326"/>
      <c r="F101" s="326"/>
    </row>
    <row r="102" spans="1:6">
      <c r="A102" s="1310" t="s">
        <v>75</v>
      </c>
      <c r="B102" s="1311">
        <v>22</v>
      </c>
      <c r="C102" s="326"/>
      <c r="D102" s="326"/>
      <c r="E102" s="326"/>
      <c r="F102" s="326"/>
    </row>
    <row r="103" spans="1:6">
      <c r="A103" s="1310" t="s">
        <v>76</v>
      </c>
      <c r="B103" s="1311">
        <v>103</v>
      </c>
      <c r="C103" s="326"/>
      <c r="D103" s="326"/>
      <c r="E103" s="326"/>
      <c r="F103" s="326"/>
    </row>
    <row r="104" spans="1:6">
      <c r="A104" s="1310" t="s">
        <v>77</v>
      </c>
      <c r="B104" s="1311">
        <v>2047</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22</v>
      </c>
      <c r="C123" s="1311">
        <v>32</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88</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60871.262460225022</v>
      </c>
      <c r="C3" s="43" t="s">
        <v>163</v>
      </c>
      <c r="D3" s="43"/>
      <c r="E3" s="154"/>
      <c r="F3" s="43"/>
      <c r="G3" s="43"/>
      <c r="H3" s="43"/>
      <c r="I3" s="43"/>
      <c r="J3" s="43"/>
      <c r="K3" s="96"/>
    </row>
    <row r="4" spans="1:11">
      <c r="A4" s="352" t="s">
        <v>164</v>
      </c>
      <c r="B4" s="49">
        <f>IF(ISERROR('SEAP template'!B78+'SEAP template'!C78),0,'SEAP template'!B78+'SEAP template'!C78)</f>
        <v>5584.0014369260543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0.20072665149885743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534.556647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534.556647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0.20072665149885743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107.29976578876675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9834.9565099999909</v>
      </c>
      <c r="C5" s="17">
        <f>IF(ISERROR('Eigen informatie GS &amp; warmtenet'!B59),0,'Eigen informatie GS &amp; warmtenet'!B59)</f>
        <v>0</v>
      </c>
      <c r="D5" s="30">
        <f>(SUM(HH_hh_gas_kWh,HH_rest_gas_kWh)/1000)*0.903</f>
        <v>19048.852389987002</v>
      </c>
      <c r="E5" s="17">
        <f>B32*B41</f>
        <v>1114.0852858725746</v>
      </c>
      <c r="F5" s="17">
        <f>B36*B45</f>
        <v>24405.82660086191</v>
      </c>
      <c r="G5" s="18"/>
      <c r="H5" s="17"/>
      <c r="I5" s="17"/>
      <c r="J5" s="17">
        <f>B35*B44+C35*C44</f>
        <v>139.09147515529048</v>
      </c>
      <c r="K5" s="17"/>
      <c r="L5" s="17"/>
      <c r="M5" s="17"/>
      <c r="N5" s="17">
        <f>B34*B43+C34*C43</f>
        <v>4386.0605163408218</v>
      </c>
      <c r="O5" s="17">
        <f>B52*B53*B54</f>
        <v>240.05894454583088</v>
      </c>
      <c r="P5" s="17">
        <f>B60*B61*B62/1000-B60*B61*B62/1000/B63</f>
        <v>431.89233161508594</v>
      </c>
    </row>
    <row r="6" spans="1:16">
      <c r="A6" s="16" t="s">
        <v>597</v>
      </c>
      <c r="B6" s="778">
        <f>kWh_PV_kleiner_dan_10kW</f>
        <v>3515.3872256320105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13350.343735632001</v>
      </c>
      <c r="C8" s="21">
        <f>C5</f>
        <v>0</v>
      </c>
      <c r="D8" s="21">
        <f>D5</f>
        <v>19048.852389987002</v>
      </c>
      <c r="E8" s="21">
        <f>E5</f>
        <v>1114.0852858725746</v>
      </c>
      <c r="F8" s="21">
        <f>F5</f>
        <v>24405.82660086191</v>
      </c>
      <c r="G8" s="21"/>
      <c r="H8" s="21"/>
      <c r="I8" s="21"/>
      <c r="J8" s="21">
        <f>J5</f>
        <v>139.09147515529048</v>
      </c>
      <c r="K8" s="21"/>
      <c r="L8" s="21">
        <f>L5</f>
        <v>0</v>
      </c>
      <c r="M8" s="21">
        <f>M5</f>
        <v>0</v>
      </c>
      <c r="N8" s="21">
        <f>N5</f>
        <v>4386.0605163408218</v>
      </c>
      <c r="O8" s="21">
        <f>O5</f>
        <v>240.05894454583088</v>
      </c>
      <c r="P8" s="21">
        <f>P5</f>
        <v>431.89233161508594</v>
      </c>
    </row>
    <row r="9" spans="1:16">
      <c r="B9" s="19"/>
      <c r="C9" s="19"/>
      <c r="D9" s="254"/>
      <c r="E9" s="19"/>
      <c r="F9" s="19"/>
      <c r="G9" s="19"/>
      <c r="H9" s="19"/>
      <c r="I9" s="19"/>
      <c r="J9" s="19"/>
      <c r="K9" s="19"/>
      <c r="L9" s="19"/>
      <c r="M9" s="19"/>
      <c r="N9" s="19"/>
      <c r="O9" s="19"/>
      <c r="P9" s="19"/>
    </row>
    <row r="10" spans="1:16">
      <c r="A10" s="24" t="s">
        <v>207</v>
      </c>
      <c r="B10" s="25">
        <f ca="1">'EF ele_warmte'!B12</f>
        <v>0.20072665149885743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2679.7697944121592</v>
      </c>
      <c r="C12" s="23">
        <f ca="1">C10*C8</f>
        <v>0</v>
      </c>
      <c r="D12" s="23">
        <f>D8*D10</f>
        <v>3847.8681827773744</v>
      </c>
      <c r="E12" s="23">
        <f>E10*E8</f>
        <v>252.89735989307442</v>
      </c>
      <c r="F12" s="23">
        <f>F10*F8</f>
        <v>6516.3557024301308</v>
      </c>
      <c r="G12" s="23"/>
      <c r="H12" s="23"/>
      <c r="I12" s="23"/>
      <c r="J12" s="23">
        <f>J10*J8</f>
        <v>49.238382204972829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3109</v>
      </c>
      <c r="C26" s="36"/>
      <c r="D26" s="225"/>
    </row>
    <row r="27" spans="1:5" s="15" customFormat="1">
      <c r="A27" s="227" t="s">
        <v>860</v>
      </c>
      <c r="B27" s="37">
        <f>SUM(HH_hh_gas_aantal,HH_rest_gas_aantal)</f>
        <v>1382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1312.9</v>
      </c>
      <c r="C31" s="34" t="s">
        <v>104</v>
      </c>
      <c r="D31" s="171"/>
    </row>
    <row r="32" spans="1:5">
      <c r="A32" s="168" t="s">
        <v>72</v>
      </c>
      <c r="B32" s="33">
        <f>IF((B21*($B$26-($B$27-0.05*$B$27)-$B$60))&lt;0,0,(B21*($B$26-($B$27-0.05*$B$27)-$B$60)))</f>
        <v>27.862561227724786</v>
      </c>
      <c r="C32" s="34" t="s">
        <v>104</v>
      </c>
      <c r="D32" s="171"/>
    </row>
    <row r="33" spans="1:6">
      <c r="A33" s="168" t="s">
        <v>73</v>
      </c>
      <c r="B33" s="33">
        <f>IF((B22*($B$26-($B$27-0.05*$B$27)-$B$60))&lt;0,0,B22*($B$26-($B$27-0.05*$B$27)-$B$60))</f>
        <v>452.43281193006311</v>
      </c>
      <c r="C33" s="34" t="s">
        <v>104</v>
      </c>
      <c r="D33" s="171"/>
    </row>
    <row r="34" spans="1:6">
      <c r="A34" s="168" t="s">
        <v>74</v>
      </c>
      <c r="B34" s="33">
        <f>IF((B24*($B$26-($B$27-0.05*$B$27)-$B$60))&lt;0,0,B24*($B$26-($B$27-0.05*$B$27)-$B$60))</f>
        <v>86.737424712854562</v>
      </c>
      <c r="C34" s="33">
        <f>B26*C24</f>
        <v>637.05256685854579</v>
      </c>
      <c r="D34" s="230"/>
    </row>
    <row r="35" spans="1:6">
      <c r="A35" s="168" t="s">
        <v>76</v>
      </c>
      <c r="B35" s="33">
        <f>IF((B19*($B$26-($B$27-0.05*$B$27)-$B$60))&lt;0,0,B19*($B$26-($B$27-0.05*$B$27)-$B$60))</f>
        <v>12.111788939527822</v>
      </c>
      <c r="C35" s="33">
        <f>B35/2</f>
        <v>6.0558944697639108</v>
      </c>
      <c r="D35" s="230"/>
    </row>
    <row r="36" spans="1:6">
      <c r="A36" s="168" t="s">
        <v>77</v>
      </c>
      <c r="B36" s="33">
        <f>IF((B18*($B$26-($B$27-0.05*$B$27)-$B$60))&lt;0,0,B18*($B$26-($B$27-0.05*$B$27)-$B$60))</f>
        <v>1175.9554131898294</v>
      </c>
      <c r="C36" s="34" t="s">
        <v>104</v>
      </c>
      <c r="D36" s="171"/>
    </row>
    <row r="37" spans="1:6">
      <c r="A37" s="168" t="s">
        <v>78</v>
      </c>
      <c r="B37" s="33">
        <f>B60</f>
        <v>41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121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4919.2996000000003</v>
      </c>
      <c r="C5" s="17">
        <f>IF(ISERROR('Eigen informatie GS &amp; warmtenet'!B60),0,'Eigen informatie GS &amp; warmtenet'!B60)</f>
        <v>0</v>
      </c>
      <c r="D5" s="30">
        <f>SUM(D6:D12)</f>
        <v>4604.8529743650015</v>
      </c>
      <c r="E5" s="17">
        <f>SUM(E6:E12)</f>
        <v>24.753468481006156</v>
      </c>
      <c r="F5" s="17">
        <f>SUM(F6:F12)</f>
        <v>1199.0565098661211</v>
      </c>
      <c r="G5" s="18"/>
      <c r="H5" s="17"/>
      <c r="I5" s="17"/>
      <c r="J5" s="17">
        <f>SUM(J6:J12)</f>
        <v>9.2185082680825356E-3</v>
      </c>
      <c r="K5" s="17"/>
      <c r="L5" s="17"/>
      <c r="M5" s="17"/>
      <c r="N5" s="17">
        <f>SUM(N6:N12)</f>
        <v>352.81362880696241</v>
      </c>
      <c r="O5" s="17">
        <f>B38*B39*B40</f>
        <v>0</v>
      </c>
      <c r="P5" s="17">
        <f>B46*B47*B48/1000-B46*B47*B48/1000/B49</f>
        <v>52.539138306495019</v>
      </c>
      <c r="R5" s="32"/>
    </row>
    <row r="6" spans="1:18">
      <c r="A6" s="32" t="s">
        <v>53</v>
      </c>
      <c r="B6" s="37">
        <f>B26</f>
        <v>1828.1155330000001</v>
      </c>
      <c r="C6" s="33"/>
      <c r="D6" s="37">
        <f>IF(ISERROR(TER_kantoor_gas_kWh/1000),0,TER_kantoor_gas_kWh/1000)*0.903</f>
        <v>2047.6116374700005</v>
      </c>
      <c r="E6" s="33">
        <f>$C$26*'E Balans VL '!I12/100/3.6*1000000</f>
        <v>0.43558604839773735</v>
      </c>
      <c r="F6" s="33">
        <f>$C$26*('E Balans VL '!L12+'E Balans VL '!N12)/100/3.6*1000000</f>
        <v>158.78974253310827</v>
      </c>
      <c r="G6" s="34"/>
      <c r="H6" s="33"/>
      <c r="I6" s="33"/>
      <c r="J6" s="33">
        <f>$C$26*('E Balans VL '!D12+'E Balans VL '!E12)/100/3.6*1000000</f>
        <v>0</v>
      </c>
      <c r="K6" s="33"/>
      <c r="L6" s="33"/>
      <c r="M6" s="33"/>
      <c r="N6" s="33">
        <f>$C$26*'E Balans VL '!Y12/100/3.6*1000000</f>
        <v>2.4435321635814549</v>
      </c>
      <c r="O6" s="33"/>
      <c r="P6" s="33"/>
      <c r="R6" s="32"/>
    </row>
    <row r="7" spans="1:18">
      <c r="A7" s="32" t="s">
        <v>52</v>
      </c>
      <c r="B7" s="37">
        <f t="shared" ref="B7:B12" si="0">B27</f>
        <v>434.52933000000002</v>
      </c>
      <c r="C7" s="33"/>
      <c r="D7" s="37">
        <f>IF(ISERROR(TER_horeca_gas_kWh/1000),0,TER_horeca_gas_kWh/1000)*0.903</f>
        <v>506.79354348000004</v>
      </c>
      <c r="E7" s="33">
        <f>$C$27*'E Balans VL '!I9/100/3.6*1000000</f>
        <v>0</v>
      </c>
      <c r="F7" s="33">
        <f>$C$27*('E Balans VL '!L9+'E Balans VL '!N9)/100/3.6*1000000</f>
        <v>35.406276537453543</v>
      </c>
      <c r="G7" s="34"/>
      <c r="H7" s="33"/>
      <c r="I7" s="33"/>
      <c r="J7" s="33">
        <f>$C$27*('E Balans VL '!D9+'E Balans VL '!E9)/100/3.6*1000000</f>
        <v>0</v>
      </c>
      <c r="K7" s="33"/>
      <c r="L7" s="33"/>
      <c r="M7" s="33"/>
      <c r="N7" s="33">
        <f>$C$27*'E Balans VL '!Y9/100/3.6*1000000</f>
        <v>0.12035653462504237</v>
      </c>
      <c r="O7" s="33"/>
      <c r="P7" s="33"/>
      <c r="R7" s="32"/>
    </row>
    <row r="8" spans="1:18">
      <c r="A8" s="6" t="s">
        <v>51</v>
      </c>
      <c r="B8" s="37">
        <f t="shared" si="0"/>
        <v>1563.9299590000001</v>
      </c>
      <c r="C8" s="33"/>
      <c r="D8" s="37">
        <f>IF(ISERROR(TER_handel_gas_kWh/1000),0,TER_handel_gas_kWh/1000)*0.903</f>
        <v>872.31589023599997</v>
      </c>
      <c r="E8" s="33">
        <f>$C$28*'E Balans VL '!I13/100/3.6*1000000</f>
        <v>12.501453351480821</v>
      </c>
      <c r="F8" s="33">
        <f>$C$28*('E Balans VL '!L13+'E Balans VL '!N13)/100/3.6*1000000</f>
        <v>155.3667194707991</v>
      </c>
      <c r="G8" s="34"/>
      <c r="H8" s="33"/>
      <c r="I8" s="33"/>
      <c r="J8" s="33">
        <f>$C$28*('E Balans VL '!D13+'E Balans VL '!E13)/100/3.6*1000000</f>
        <v>0</v>
      </c>
      <c r="K8" s="33"/>
      <c r="L8" s="33"/>
      <c r="M8" s="33"/>
      <c r="N8" s="33">
        <f>$C$28*'E Balans VL '!Y13/100/3.6*1000000</f>
        <v>0.58422093099414263</v>
      </c>
      <c r="O8" s="33"/>
      <c r="P8" s="33"/>
      <c r="R8" s="32"/>
    </row>
    <row r="9" spans="1:18">
      <c r="A9" s="32" t="s">
        <v>50</v>
      </c>
      <c r="B9" s="37">
        <f t="shared" si="0"/>
        <v>124.423817</v>
      </c>
      <c r="C9" s="33"/>
      <c r="D9" s="37">
        <f>IF(ISERROR(TER_gezond_gas_kWh/1000),0,TER_gezond_gas_kWh/1000)*0.903</f>
        <v>243.30255282900001</v>
      </c>
      <c r="E9" s="33">
        <f>$C$29*'E Balans VL '!I10/100/3.6*1000000</f>
        <v>0</v>
      </c>
      <c r="F9" s="33">
        <f>$C$29*('E Balans VL '!L10+'E Balans VL '!N10)/100/3.6*1000000</f>
        <v>11.343258492328323</v>
      </c>
      <c r="G9" s="34"/>
      <c r="H9" s="33"/>
      <c r="I9" s="33"/>
      <c r="J9" s="33">
        <f>$C$29*('E Balans VL '!D10+'E Balans VL '!E10)/100/3.6*1000000</f>
        <v>0</v>
      </c>
      <c r="K9" s="33"/>
      <c r="L9" s="33"/>
      <c r="M9" s="33"/>
      <c r="N9" s="33">
        <f>$C$29*'E Balans VL '!Y10/100/3.6*1000000</f>
        <v>0.90942659861671482</v>
      </c>
      <c r="O9" s="33"/>
      <c r="P9" s="33"/>
      <c r="R9" s="32"/>
    </row>
    <row r="10" spans="1:18">
      <c r="A10" s="32" t="s">
        <v>49</v>
      </c>
      <c r="B10" s="37">
        <f t="shared" si="0"/>
        <v>911.44467000000009</v>
      </c>
      <c r="C10" s="33"/>
      <c r="D10" s="37">
        <f>IF(ISERROR(TER_ander_gas_kWh/1000),0,TER_ander_gas_kWh/1000)*0.903</f>
        <v>696.75289105800005</v>
      </c>
      <c r="E10" s="33">
        <f>$C$30*'E Balans VL '!I14/100/3.6*1000000</f>
        <v>11.816429081127596</v>
      </c>
      <c r="F10" s="33">
        <f>$C$30*('E Balans VL '!L14+'E Balans VL '!N14)/100/3.6*1000000</f>
        <v>835.92273165144707</v>
      </c>
      <c r="G10" s="34"/>
      <c r="H10" s="33"/>
      <c r="I10" s="33"/>
      <c r="J10" s="33">
        <f>$C$30*('E Balans VL '!D14+'E Balans VL '!E14)/100/3.6*1000000</f>
        <v>9.2185082680825356E-3</v>
      </c>
      <c r="K10" s="33"/>
      <c r="L10" s="33"/>
      <c r="M10" s="33"/>
      <c r="N10" s="33">
        <f>$C$30*'E Balans VL '!Y14/100/3.6*1000000</f>
        <v>348.57703807114154</v>
      </c>
      <c r="O10" s="33"/>
      <c r="P10" s="33"/>
      <c r="R10" s="32"/>
    </row>
    <row r="11" spans="1:18">
      <c r="A11" s="32" t="s">
        <v>54</v>
      </c>
      <c r="B11" s="37">
        <f t="shared" si="0"/>
        <v>56.856290999999999</v>
      </c>
      <c r="C11" s="33"/>
      <c r="D11" s="37">
        <f>IF(ISERROR(TER_onderwijs_gas_kWh/1000),0,TER_onderwijs_gas_kWh/1000)*0.903</f>
        <v>238.07645929200004</v>
      </c>
      <c r="E11" s="33">
        <f>$C$31*'E Balans VL '!I11/100/3.6*1000000</f>
        <v>0</v>
      </c>
      <c r="F11" s="33">
        <f>$C$31*('E Balans VL '!L11+'E Balans VL '!N11)/100/3.6*1000000</f>
        <v>2.227781180984806</v>
      </c>
      <c r="G11" s="34"/>
      <c r="H11" s="33"/>
      <c r="I11" s="33"/>
      <c r="J11" s="33">
        <f>$C$31*('E Balans VL '!D11+'E Balans VL '!E11)/100/3.6*1000000</f>
        <v>0</v>
      </c>
      <c r="K11" s="33"/>
      <c r="L11" s="33"/>
      <c r="M11" s="33"/>
      <c r="N11" s="33">
        <f>$C$31*'E Balans VL '!Y11/100/3.6*1000000</f>
        <v>0.17905450800351574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4919.2996000000003</v>
      </c>
      <c r="C16" s="21">
        <f t="shared" ca="1" si="1"/>
        <v>0</v>
      </c>
      <c r="D16" s="21">
        <f t="shared" ca="1" si="1"/>
        <v>4604.8529743650015</v>
      </c>
      <c r="E16" s="21">
        <f t="shared" si="1"/>
        <v>24.753468481006156</v>
      </c>
      <c r="F16" s="21">
        <f t="shared" ca="1" si="1"/>
        <v>1199.0565098661211</v>
      </c>
      <c r="G16" s="21">
        <f t="shared" si="1"/>
        <v>0</v>
      </c>
      <c r="H16" s="21">
        <f t="shared" si="1"/>
        <v>0</v>
      </c>
      <c r="I16" s="21">
        <f t="shared" si="1"/>
        <v>0</v>
      </c>
      <c r="J16" s="21">
        <f t="shared" si="1"/>
        <v>9.2185082680825356E-3</v>
      </c>
      <c r="K16" s="21">
        <f t="shared" si="1"/>
        <v>0</v>
      </c>
      <c r="L16" s="21">
        <f t="shared" ca="1" si="1"/>
        <v>0</v>
      </c>
      <c r="M16" s="21">
        <f t="shared" si="1"/>
        <v>0</v>
      </c>
      <c r="N16" s="21">
        <f t="shared" ca="1" si="1"/>
        <v>352.81362880696241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0.20072665149885743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987.43453642766883</v>
      </c>
      <c r="C20" s="23">
        <f t="shared" ref="C20:P20" ca="1" si="2">C16*C18</f>
        <v>0</v>
      </c>
      <c r="D20" s="23">
        <f t="shared" ca="1" si="2"/>
        <v>930.18030082173038</v>
      </c>
      <c r="E20" s="23">
        <f t="shared" si="2"/>
        <v>5.6190373451883975</v>
      </c>
      <c r="F20" s="23">
        <f t="shared" ca="1" si="2"/>
        <v>320.14808813425435</v>
      </c>
      <c r="G20" s="23">
        <f t="shared" si="2"/>
        <v>0</v>
      </c>
      <c r="H20" s="23">
        <f t="shared" si="2"/>
        <v>0</v>
      </c>
      <c r="I20" s="23">
        <f t="shared" si="2"/>
        <v>0</v>
      </c>
      <c r="J20" s="23">
        <f t="shared" si="2"/>
        <v>3.2633519269012175E-3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1828.1155330000001</v>
      </c>
      <c r="C26" s="39">
        <f>IF(ISERROR(B26*3.6/1000000/'E Balans VL '!Z12*100),0,B26*3.6/1000000/'E Balans VL '!Z12*100)</f>
        <v>5.2448462606763356E-2</v>
      </c>
      <c r="D26" s="233" t="s">
        <v>835</v>
      </c>
      <c r="F26" s="6"/>
    </row>
    <row r="27" spans="1:18" ht="30">
      <c r="A27" s="228" t="s">
        <v>52</v>
      </c>
      <c r="B27" s="33">
        <f>IF(ISERROR(TER_horeca_ele_kWh/1000),0,TER_horeca_ele_kWh/1000)</f>
        <v>434.52933000000002</v>
      </c>
      <c r="C27" s="39">
        <f>IF(ISERROR(B27*3.6/1000000/'E Balans VL '!Z9*100),0,B27*3.6/1000000/'E Balans VL '!Z9*100)</f>
        <v>3.1833772554634703E-2</v>
      </c>
      <c r="D27" s="233" t="s">
        <v>835</v>
      </c>
      <c r="F27" s="6"/>
    </row>
    <row r="28" spans="1:18" ht="30">
      <c r="A28" s="168" t="s">
        <v>51</v>
      </c>
      <c r="B28" s="33">
        <f>IF(ISERROR(TER_handel_ele_kWh/1000),0,TER_handel_ele_kWh/1000)</f>
        <v>1563.9299590000001</v>
      </c>
      <c r="C28" s="39">
        <f>IF(ISERROR(B28*3.6/1000000/'E Balans VL '!Z13*100),0,B28*3.6/1000000/'E Balans VL '!Z13*100)</f>
        <v>4.8326754831914419E-2</v>
      </c>
      <c r="D28" s="233" t="s">
        <v>835</v>
      </c>
      <c r="F28" s="6"/>
    </row>
    <row r="29" spans="1:18" ht="30">
      <c r="A29" s="228" t="s">
        <v>50</v>
      </c>
      <c r="B29" s="33">
        <f>IF(ISERROR(TER_gezond_ele_kWh/1000),0,TER_gezond_ele_kWh/1000)</f>
        <v>124.423817</v>
      </c>
      <c r="C29" s="39">
        <f>IF(ISERROR(B29*3.6/1000000/'E Balans VL '!Z10*100),0,B29*3.6/1000000/'E Balans VL '!Z10*100)</f>
        <v>1.2194299142451504E-2</v>
      </c>
      <c r="D29" s="233" t="s">
        <v>835</v>
      </c>
      <c r="F29" s="6"/>
    </row>
    <row r="30" spans="1:18" ht="30">
      <c r="A30" s="228" t="s">
        <v>49</v>
      </c>
      <c r="B30" s="33">
        <f>IF(ISERROR(TER_ander_ele_kWh/1000),0,TER_ander_ele_kWh/1000)</f>
        <v>911.44467000000009</v>
      </c>
      <c r="C30" s="39">
        <f>IF(ISERROR(B30*3.6/1000000/'E Balans VL '!Z14*100),0,B30*3.6/1000000/'E Balans VL '!Z14*100)</f>
        <v>3.775498266791482E-2</v>
      </c>
      <c r="D30" s="233" t="s">
        <v>835</v>
      </c>
      <c r="F30" s="6"/>
    </row>
    <row r="31" spans="1:18" ht="30">
      <c r="A31" s="228" t="s">
        <v>54</v>
      </c>
      <c r="B31" s="33">
        <f>IF(ISERROR(TER_onderwijs_ele_kWh/1000),0,TER_onderwijs_ele_kWh/1000)</f>
        <v>56.856290999999999</v>
      </c>
      <c r="C31" s="39">
        <f>IF(ISERROR(B31*3.6/1000000/'E Balans VL '!Z11*100),0,B31*3.6/1000000/'E Balans VL '!Z11*100)</f>
        <v>1.7470209644085261E-2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39997.895897000002</v>
      </c>
      <c r="C5" s="17">
        <f>IF(ISERROR('Eigen informatie GS &amp; warmtenet'!B61),0,'Eigen informatie GS &amp; warmtenet'!B61)</f>
        <v>0</v>
      </c>
      <c r="D5" s="30">
        <f>SUM(D6:D15)</f>
        <v>4470.1941947039995</v>
      </c>
      <c r="E5" s="17">
        <f>SUM(E6:E15)</f>
        <v>224.81197911954183</v>
      </c>
      <c r="F5" s="17">
        <f>SUM(F6:F15)</f>
        <v>24245.127835966807</v>
      </c>
      <c r="G5" s="18"/>
      <c r="H5" s="17"/>
      <c r="I5" s="17"/>
      <c r="J5" s="17">
        <f>SUM(J6:J15)</f>
        <v>9.725594628125446</v>
      </c>
      <c r="K5" s="17"/>
      <c r="L5" s="17"/>
      <c r="M5" s="17"/>
      <c r="N5" s="17">
        <f>SUM(N6:N15)</f>
        <v>1591.1617906367619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505.73523</v>
      </c>
      <c r="C8" s="33"/>
      <c r="D8" s="37">
        <f>IF( ISERROR(IND_metaal_Gas_kWH/1000),0,IND_metaal_Gas_kWH/1000)*0.903</f>
        <v>37.409562561000001</v>
      </c>
      <c r="E8" s="33">
        <f>C30*'E Balans VL '!I18/100/3.6*1000000</f>
        <v>2.756841611917983</v>
      </c>
      <c r="F8" s="33">
        <f>C30*'E Balans VL '!L18/100/3.6*1000000+C30*'E Balans VL '!N18/100/3.6*1000000</f>
        <v>32.569387441423125</v>
      </c>
      <c r="G8" s="34"/>
      <c r="H8" s="33"/>
      <c r="I8" s="33"/>
      <c r="J8" s="40">
        <f>C30*'E Balans VL '!D18/100/3.6*1000000+C30*'E Balans VL '!E18/100/3.6*1000000</f>
        <v>0.41425884214823111</v>
      </c>
      <c r="K8" s="33"/>
      <c r="L8" s="33"/>
      <c r="M8" s="33"/>
      <c r="N8" s="33">
        <f>C30*'E Balans VL '!Y18/100/3.6*1000000</f>
        <v>10.926075455879072</v>
      </c>
      <c r="O8" s="33"/>
      <c r="P8" s="33"/>
      <c r="R8" s="32"/>
    </row>
    <row r="9" spans="1:18">
      <c r="A9" s="6" t="s">
        <v>32</v>
      </c>
      <c r="B9" s="37">
        <f t="shared" si="0"/>
        <v>37018.025063000001</v>
      </c>
      <c r="C9" s="33"/>
      <c r="D9" s="37">
        <f>IF( ISERROR(IND_andere_gas_kWh/1000),0,IND_andere_gas_kWh/1000)*0.903</f>
        <v>4102.8217508460002</v>
      </c>
      <c r="E9" s="33">
        <f>C31*'E Balans VL '!I19/100/3.6*1000000</f>
        <v>119.50048909360083</v>
      </c>
      <c r="F9" s="33">
        <f>C31*'E Balans VL '!L19/100/3.6*1000000+C31*'E Balans VL '!N19/100/3.6*1000000</f>
        <v>23936.145599506141</v>
      </c>
      <c r="G9" s="34"/>
      <c r="H9" s="33"/>
      <c r="I9" s="33"/>
      <c r="J9" s="40">
        <f>C31*'E Balans VL '!D19/100/3.6*1000000+C31*'E Balans VL '!E19/100/3.6*1000000</f>
        <v>0</v>
      </c>
      <c r="K9" s="33"/>
      <c r="L9" s="33"/>
      <c r="M9" s="33"/>
      <c r="N9" s="33">
        <f>C31*'E Balans VL '!Y19/100/3.6*1000000</f>
        <v>1495.8556332268718</v>
      </c>
      <c r="O9" s="33"/>
      <c r="P9" s="33"/>
      <c r="R9" s="32"/>
    </row>
    <row r="10" spans="1:18">
      <c r="A10" s="6" t="s">
        <v>40</v>
      </c>
      <c r="B10" s="37">
        <f t="shared" si="0"/>
        <v>759.18851000000006</v>
      </c>
      <c r="C10" s="33"/>
      <c r="D10" s="37">
        <f>IF( ISERROR(IND_voed_gas_kWh/1000),0,IND_voed_gas_kWh/1000)*0.903</f>
        <v>189.19312679399999</v>
      </c>
      <c r="E10" s="33">
        <f>C32*'E Balans VL '!I20/100/3.6*1000000</f>
        <v>1.5914451739903608</v>
      </c>
      <c r="F10" s="33">
        <f>C32*'E Balans VL '!L20/100/3.6*1000000+C32*'E Balans VL '!N20/100/3.6*1000000</f>
        <v>14.791615837029035</v>
      </c>
      <c r="G10" s="34"/>
      <c r="H10" s="33"/>
      <c r="I10" s="33"/>
      <c r="J10" s="40">
        <f>C32*'E Balans VL '!D20/100/3.6*1000000+C32*'E Balans VL '!E20/100/3.6*1000000</f>
        <v>0</v>
      </c>
      <c r="K10" s="33"/>
      <c r="L10" s="33"/>
      <c r="M10" s="33"/>
      <c r="N10" s="33">
        <f>C32*'E Balans VL '!Y20/100/3.6*1000000</f>
        <v>30.198414148778198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1714.9470940000001</v>
      </c>
      <c r="C15" s="33"/>
      <c r="D15" s="37">
        <f>IF( ISERROR(IND_rest_gas_kWh/1000),0,IND_rest_gas_kWh/1000)*0.903</f>
        <v>140.769754503</v>
      </c>
      <c r="E15" s="33">
        <f>C37*'E Balans VL '!I15/100/3.6*1000000</f>
        <v>100.96320324003266</v>
      </c>
      <c r="F15" s="33">
        <f>C37*'E Balans VL '!L15/100/3.6*1000000+C37*'E Balans VL '!N15/100/3.6*1000000</f>
        <v>261.62123318221347</v>
      </c>
      <c r="G15" s="34"/>
      <c r="H15" s="33"/>
      <c r="I15" s="33"/>
      <c r="J15" s="40">
        <f>C37*'E Balans VL '!D15/100/3.6*1000000+C37*'E Balans VL '!E15/100/3.6*1000000</f>
        <v>9.3113357859772155</v>
      </c>
      <c r="K15" s="33"/>
      <c r="L15" s="33"/>
      <c r="M15" s="33"/>
      <c r="N15" s="33">
        <f>C37*'E Balans VL '!Y15/100/3.6*1000000</f>
        <v>54.181667805232877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39997.895897000002</v>
      </c>
      <c r="C18" s="21">
        <f>C5+C16</f>
        <v>0</v>
      </c>
      <c r="D18" s="21">
        <f>MAX((D5+D16),0)</f>
        <v>4470.1941947039995</v>
      </c>
      <c r="E18" s="21">
        <f>MAX((E5+E16),0)</f>
        <v>224.81197911954183</v>
      </c>
      <c r="F18" s="21">
        <f>MAX((F5+F16),0)</f>
        <v>24245.127835966807</v>
      </c>
      <c r="G18" s="21"/>
      <c r="H18" s="21"/>
      <c r="I18" s="21"/>
      <c r="J18" s="21">
        <f>MAX((J5+J16),0)</f>
        <v>9.725594628125446</v>
      </c>
      <c r="K18" s="21"/>
      <c r="L18" s="21">
        <f>MAX((L5+L16),0)</f>
        <v>0</v>
      </c>
      <c r="M18" s="21"/>
      <c r="N18" s="21">
        <f>MAX((N5+N16),0)</f>
        <v>1591.1617906367619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0.20072665149885743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8028.643710404699</v>
      </c>
      <c r="C22" s="23">
        <f ca="1">C18*C20</f>
        <v>0</v>
      </c>
      <c r="D22" s="23">
        <f>D18*D20</f>
        <v>902.979227330208</v>
      </c>
      <c r="E22" s="23">
        <f>E18*E20</f>
        <v>51.032319260135999</v>
      </c>
      <c r="F22" s="23">
        <f>F18*F20</f>
        <v>6473.4491322031381</v>
      </c>
      <c r="G22" s="23"/>
      <c r="H22" s="23"/>
      <c r="I22" s="23"/>
      <c r="J22" s="23">
        <f>J18*J20</f>
        <v>3.4428604983564077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505.73523</v>
      </c>
      <c r="C30" s="39">
        <f>IF(ISERROR(B30*3.6/1000000/'E Balans VL '!Z18*100),0,B30*3.6/1000000/'E Balans VL '!Z18*100)</f>
        <v>3.0453988804035874E-2</v>
      </c>
      <c r="D30" s="233" t="s">
        <v>835</v>
      </c>
    </row>
    <row r="31" spans="1:18" ht="30">
      <c r="A31" s="6" t="s">
        <v>32</v>
      </c>
      <c r="B31" s="37">
        <f>IF( ISERROR(IND_ander_ele_kWh/1000),0,IND_ander_ele_kWh/1000)</f>
        <v>37018.025063000001</v>
      </c>
      <c r="C31" s="39">
        <f>IF(ISERROR(B31*3.6/1000000/'E Balans VL '!Z19*100),0,B31*3.6/1000000/'E Balans VL '!Z19*100)</f>
        <v>1.5081909771978841</v>
      </c>
      <c r="D31" s="233" t="s">
        <v>835</v>
      </c>
    </row>
    <row r="32" spans="1:18" ht="30">
      <c r="A32" s="168" t="s">
        <v>40</v>
      </c>
      <c r="B32" s="37">
        <f>IF( ISERROR(IND_voed_ele_kWh/1000),0,IND_voed_ele_kWh/1000)</f>
        <v>759.18851000000006</v>
      </c>
      <c r="C32" s="39">
        <f>IF(ISERROR(B32*3.6/1000000/'E Balans VL '!Z20*100),0,B32*3.6/1000000/'E Balans VL '!Z20*100)</f>
        <v>2.1951195026957478E-2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1714.9470940000001</v>
      </c>
      <c r="C37" s="39">
        <f>IF(ISERROR(B37*3.6/1000000/'E Balans VL '!Z15*100),0,B37*3.6/1000000/'E Balans VL '!Z15*100)</f>
        <v>1.4081014579662494E-2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1821.876538</v>
      </c>
      <c r="C5" s="17">
        <f>'Eigen informatie GS &amp; warmtenet'!B62</f>
        <v>0</v>
      </c>
      <c r="D5" s="30">
        <f>IF(ISERROR(SUM(LB_lb_gas_kWh,LB_rest_gas_kWh)/1000),0,SUM(LB_lb_gas_kWh,LB_rest_gas_kWh)/1000)*0.903</f>
        <v>3217.3896059130002</v>
      </c>
      <c r="E5" s="17">
        <f>B17*'E Balans VL '!I25/3.6*1000000/100</f>
        <v>52.18162722788913</v>
      </c>
      <c r="F5" s="17">
        <f>B17*('E Balans VL '!L25/3.6*1000000+'E Balans VL '!N25/3.6*1000000)/100</f>
        <v>5767.1200056339694</v>
      </c>
      <c r="G5" s="18"/>
      <c r="H5" s="17"/>
      <c r="I5" s="17"/>
      <c r="J5" s="17">
        <f>('E Balans VL '!D25+'E Balans VL '!E25)/3.6*1000000*landbouw!B17/100</f>
        <v>463.24599233218373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1821.876538</v>
      </c>
      <c r="C8" s="21">
        <f>C5+C6</f>
        <v>0</v>
      </c>
      <c r="D8" s="21">
        <f>MAX((D5+D6),0)</f>
        <v>3217.3896059130002</v>
      </c>
      <c r="E8" s="21">
        <f>MAX((E5+E6),0)</f>
        <v>52.18162722788913</v>
      </c>
      <c r="F8" s="21">
        <f>MAX((F5+F6),0)</f>
        <v>5767.1200056339694</v>
      </c>
      <c r="G8" s="21"/>
      <c r="H8" s="21"/>
      <c r="I8" s="21"/>
      <c r="J8" s="21">
        <f>MAX((J5+J6),0)</f>
        <v>463.24599233218373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0.20072665149885743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365.69917691707087</v>
      </c>
      <c r="C12" s="23">
        <f ca="1">C8*C10</f>
        <v>0</v>
      </c>
      <c r="D12" s="23">
        <f>D8*D10</f>
        <v>649.91270039442611</v>
      </c>
      <c r="E12" s="23">
        <f>E8*E10</f>
        <v>11.845229380730833</v>
      </c>
      <c r="F12" s="23">
        <f>F8*F10</f>
        <v>1539.8210415042699</v>
      </c>
      <c r="G12" s="23"/>
      <c r="H12" s="23"/>
      <c r="I12" s="23"/>
      <c r="J12" s="23">
        <f>J8*J10</f>
        <v>163.98908128559304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0.25228857033324353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61.639158875305625</v>
      </c>
      <c r="C26" s="243">
        <f>B26*'GWP N2O_CH4'!B5</f>
        <v>1294.4223363814181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22.341088088872674</v>
      </c>
      <c r="C27" s="243">
        <f>B27*'GWP N2O_CH4'!B5</f>
        <v>469.16284986632616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0.73416196732227823</v>
      </c>
      <c r="C28" s="243">
        <f>B28*'GWP N2O_CH4'!B4</f>
        <v>227.59020986990626</v>
      </c>
      <c r="D28" s="50"/>
    </row>
    <row r="29" spans="1:4">
      <c r="A29" s="41" t="s">
        <v>266</v>
      </c>
      <c r="B29" s="243">
        <f>B34*'ha_N2O bodem landbouw'!B4</f>
        <v>10.057899983217917</v>
      </c>
      <c r="C29" s="243">
        <f>B29*'GWP N2O_CH4'!B4</f>
        <v>3117.9489947975544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2.2849748671581109E-3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2.6002900062984264E-4</v>
      </c>
      <c r="C5" s="432" t="s">
        <v>204</v>
      </c>
      <c r="D5" s="417">
        <f>SUM(D6:D11)</f>
        <v>4.7385938717466275E-4</v>
      </c>
      <c r="E5" s="417">
        <f>SUM(E6:E11)</f>
        <v>1.8529466090643496E-4</v>
      </c>
      <c r="F5" s="430" t="s">
        <v>204</v>
      </c>
      <c r="G5" s="417">
        <f>SUM(G6:G11)</f>
        <v>7.497697820895767E-2</v>
      </c>
      <c r="H5" s="417">
        <f>SUM(H6:H11)</f>
        <v>2.3169185395959583E-2</v>
      </c>
      <c r="I5" s="432" t="s">
        <v>204</v>
      </c>
      <c r="J5" s="432" t="s">
        <v>204</v>
      </c>
      <c r="K5" s="432" t="s">
        <v>204</v>
      </c>
      <c r="L5" s="432" t="s">
        <v>204</v>
      </c>
      <c r="M5" s="417">
        <f>SUM(M6:M11)</f>
        <v>5.9475480255931721E-3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1.9270658216813592E-4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3.2129703816904752E-4</v>
      </c>
      <c r="E6" s="884">
        <f>vkm_GW_PW*SUMIFS(TableVerdeelsleutelVkm[LPG],TableVerdeelsleutelVkm[Voertuigtype],"Lichte voertuigen")*SUMIFS(TableECFTransport[EnergieConsumptieFactor (PJ per km)],TableECFTransport[Index],CONCATENATE($A6,"_LPG_LPG"))</f>
        <v>1.2738120778295136E-4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3.828125281079469E-2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1.5756969100711064E-2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3.3150855507571644E-3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4.6429960490248469E-7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1.840512899135845E-2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1.358032114320549E-7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1.056791380956728E-3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6.6812119312353762E-5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1.525623490056152E-4</v>
      </c>
      <c r="E8" s="420">
        <f>vkm_NGW_PW*SUMIFS(TableVerdeelsleutelVkm[LPG],TableVerdeelsleutelVkm[Voertuigtype],"Lichte voertuigen")*SUMIFS(TableECFTransport[EnergieConsumptieFactor (PJ per km)],TableECFTransport[Index],CONCATENATE($A8,"_LPG_LPG"))</f>
        <v>5.7913453123483606E-5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1.5942420096981182E-2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7.4120642521986989E-3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1.4408428582854405E-3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4.599954445048124E-8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2.3481763098233445E-3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1.6239838387316727E-8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1.3482823559383974E-4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72.23027795273407</v>
      </c>
      <c r="C14" s="21"/>
      <c r="D14" s="21">
        <f t="shared" ref="D14:M14" si="0">((D5)*10^9/3600)+D12</f>
        <v>131.62760754851743</v>
      </c>
      <c r="E14" s="21">
        <f t="shared" si="0"/>
        <v>51.470739140676379</v>
      </c>
      <c r="F14" s="21"/>
      <c r="G14" s="21">
        <f t="shared" si="0"/>
        <v>20826.938391377131</v>
      </c>
      <c r="H14" s="21">
        <f t="shared" si="0"/>
        <v>6435.8848322109952</v>
      </c>
      <c r="I14" s="21"/>
      <c r="J14" s="21"/>
      <c r="K14" s="21"/>
      <c r="L14" s="21"/>
      <c r="M14" s="21">
        <f t="shared" si="0"/>
        <v>1652.0966737758811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0.20072665149885743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14.498541830284058</v>
      </c>
      <c r="C18" s="23"/>
      <c r="D18" s="23">
        <f t="shared" ref="D18:M18" si="1">D14*D16</f>
        <v>26.588776724800525</v>
      </c>
      <c r="E18" s="23">
        <f t="shared" si="1"/>
        <v>11.683857784933538</v>
      </c>
      <c r="F18" s="23"/>
      <c r="G18" s="23">
        <f t="shared" si="1"/>
        <v>5560.7925504976938</v>
      </c>
      <c r="H18" s="23">
        <f t="shared" si="1"/>
        <v>1602.5353232205377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2.1901865905022502E-5</v>
      </c>
      <c r="C50" s="315">
        <f t="shared" ref="C50:P50" si="2">SUM(C51:C52)</f>
        <v>0</v>
      </c>
      <c r="D50" s="315">
        <f t="shared" si="2"/>
        <v>0</v>
      </c>
      <c r="E50" s="315">
        <f t="shared" si="2"/>
        <v>0</v>
      </c>
      <c r="F50" s="315">
        <f t="shared" si="2"/>
        <v>0</v>
      </c>
      <c r="G50" s="315">
        <f t="shared" si="2"/>
        <v>1.3711230196324232E-3</v>
      </c>
      <c r="H50" s="315">
        <f t="shared" si="2"/>
        <v>0</v>
      </c>
      <c r="I50" s="315">
        <f t="shared" si="2"/>
        <v>0</v>
      </c>
      <c r="J50" s="315">
        <f t="shared" si="2"/>
        <v>0</v>
      </c>
      <c r="K50" s="315">
        <f t="shared" si="2"/>
        <v>0</v>
      </c>
      <c r="L50" s="315">
        <f t="shared" si="2"/>
        <v>0</v>
      </c>
      <c r="M50" s="315">
        <f t="shared" si="2"/>
        <v>7.8726847801671333E-5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2.1901865905022502E-5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1.3711230196324232E-3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7.8726847801671333E-5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6.0838516402840286</v>
      </c>
      <c r="C54" s="21">
        <f t="shared" ref="C54:P54" si="3">(C50)*10^9/3600</f>
        <v>0</v>
      </c>
      <c r="D54" s="21">
        <f t="shared" si="3"/>
        <v>0</v>
      </c>
      <c r="E54" s="21">
        <f t="shared" si="3"/>
        <v>0</v>
      </c>
      <c r="F54" s="21">
        <f t="shared" si="3"/>
        <v>0</v>
      </c>
      <c r="G54" s="21">
        <f t="shared" si="3"/>
        <v>380.86750545345092</v>
      </c>
      <c r="H54" s="21">
        <f t="shared" si="3"/>
        <v>0</v>
      </c>
      <c r="I54" s="21">
        <f t="shared" si="3"/>
        <v>0</v>
      </c>
      <c r="J54" s="21">
        <f t="shared" si="3"/>
        <v>0</v>
      </c>
      <c r="K54" s="21">
        <f t="shared" si="3"/>
        <v>0</v>
      </c>
      <c r="L54" s="21">
        <f t="shared" si="3"/>
        <v>0</v>
      </c>
      <c r="M54" s="21">
        <f t="shared" si="3"/>
        <v>21.868568833797593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0.20072665149885743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1.2211911679700445</v>
      </c>
      <c r="C58" s="23">
        <f t="shared" ref="C58:P58" ca="1" si="4">C54*C56</f>
        <v>0</v>
      </c>
      <c r="D58" s="23">
        <f t="shared" si="4"/>
        <v>0</v>
      </c>
      <c r="E58" s="23">
        <f t="shared" si="4"/>
        <v>0</v>
      </c>
      <c r="F58" s="23">
        <f t="shared" si="4"/>
        <v>0</v>
      </c>
      <c r="G58" s="23">
        <f t="shared" si="4"/>
        <v>101.6916239560714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5584.0014369260543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5584.0014369260543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2021-11-11T12:22:02Z</dcterms:modified>
</cp:coreProperties>
</file>