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9D72E83-2C51-4B0B-9286-81996F323EF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<sst xmlns="http://schemas.openxmlformats.org/spreadsheetml/2006/main" count="2417" uniqueCount="868">
  <si>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</si>
  <si>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</si>
  <si>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</si>
  <si>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</si>
  <si>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</si>
  <si>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</si>
  <si>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</si>
  <si>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</si>
  <si>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</si>
  <si>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</si>
  <si>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</si>
  <si>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</si>
  <si>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</si>
  <si>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</si>
  <si>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</si>
  <si>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</si>
  <si>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</si>
  <si>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</si>
  <si>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</si>
  <si>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</si>
  <si>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</si>
  <si>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</si>
  <si>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</si>
  <si>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</si>
  <si>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</si>
  <si>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</si>
  <si>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</si>
  <si>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</si>
  <si>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</si>
  <si>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</si>
  <si>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</si>
  <si>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</si>
  <si>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</si>
  <si>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</si>
  <si>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</si>
  <si>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</si>
  <si>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</si>
  <si>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</si>
  <si>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</si>
  <si>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</si>
  <si>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</si>
  <si>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</si>
  <si>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</si>
  <si>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</si>
  <si>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</si>
  <si>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</si>
  <si>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</si>
  <si>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</si>
  <si>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</si>
  <si>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</si>
  <si>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</si>
  <si>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</si>
  <si>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</si>
  <si>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</si>
  <si>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</si>
  <si>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</si>
  <si>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</si>
  <si>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</si>
  <si>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</si>
  <si>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</si>
  <si>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</si>
  <si>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</si>
  <si>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</si>
  <si>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</si>
  <si>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</si>
  <si>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</si>
  <si>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</si>
  <si>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</si>
  <si>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</si>
  <si>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</si>
  <si>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</si>
  <si>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</si>
  <si>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</si>
  <si>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</si>
  <si>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</si>
  <si>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</si>
  <si>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</si>
  <si>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</si>
  <si>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</si>
  <si>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</si>
  <si>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</si>
  <si>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</si>
  <si>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</si>
  <si>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</si>
  <si>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</si>
  <si>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</si>
  <si>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</si>
  <si>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</si>
  <si>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</si>
  <si>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</si>
  <si>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</si>
  <si>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</si>
  <si>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</si>
  <si>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</si>
  <si>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</si>
  <si>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</si>
  <si>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</si>
  <si>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</si>
  <si>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</si>
  <si>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</si>
  <si>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</si>
  <si>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</si>
  <si>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</si>
  <si>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</si>
  <si>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</si>
  <si>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</si>
  <si>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</si>
  <si>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</si>
  <si>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</si>
  <si>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</si>
  <si>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</si>
  <si>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</si>
  <si>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</si>
  <si>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</si>
  <si>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</si>
  <si>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</si>
  <si>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</si>
  <si>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</si>
  <si>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</si>
  <si>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</si>
  <si>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</si>
  <si>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</si>
  <si>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</si>
  <si>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</si>
  <si>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</si>
  <si>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</si>
  <si>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</si>
  <si>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</si>
  <si>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</si>
  <si>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</si>
  <si>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</si>
  <si>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</si>
  <si>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</si>
  <si>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</si>
  <si>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</si>
  <si>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</si>
  <si>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</si>
  <si>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</si>
  <si>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</si>
  <si>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</si>
  <si>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</si>
  <si>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</si>
  <si>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</si>
  <si>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</si>
  <si>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</si>
  <si>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</si>
  <si>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</si>
  <si>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</si>
  <si>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</si>
  <si>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</si>
  <si>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</si>
  <si>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</si>
  <si>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</si>
  <si>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</si>
  <si>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</si>
  <si>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</si>
  <si>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</si>
  <si>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</si>
  <si>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</si>
  <si>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</si>
  <si>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</si>
  <si>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</si>
  <si>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</si>
  <si>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</si>
  <si>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</si>
  <si>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</si>
  <si>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</si>
  <si>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</si>
  <si>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</si>
  <si>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</si>
  <si>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</si>
  <si>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</si>
  <si>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</si>
  <si>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</si>
  <si>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</si>
  <si>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</si>
  <si>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</si>
  <si>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</si>
  <si>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</si>
  <si>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</si>
  <si>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</si>
  <si>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</si>
  <si>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</si>
  <si>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</si>
  <si>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</si>
  <si>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</si>
  <si>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</si>
  <si>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</si>
  <si>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</si>
  <si>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</si>
  <si>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</si>
  <si>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</si>
  <si>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</si>
  <si>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</si>
  <si>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</si>
  <si>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</si>
  <si>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</si>
  <si>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</si>
  <si>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</si>
  <si>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</si>
  <si>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</si>
  <si>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</si>
  <si>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</si>
  <si>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</si>
  <si>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</si>
  <si>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</si>
  <si>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</si>
  <si>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</si>
  <si>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</si>
  <si>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</si>
  <si>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</si>
  <si>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</si>
  <si>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</si>
  <si>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</si>
  <si>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</si>
  <si>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</si>
  <si>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</si>
  <si>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</si>
  <si>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</si>
  <si>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</si>
  <si>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</si>
  <si>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</si>
  <si>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</si>
  <si>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</si>
  <si>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</si>
  <si>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</si>
  <si>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</si>
  <si>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</si>
  <si>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</si>
  <si>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</si>
  <si>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</si>
  <si>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</si>
  <si>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</si>
  <si>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</si>
  <si>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</si>
  <si>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</si>
  <si>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</si>
  <si>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</si>
  <si>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</si>
  <si>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</si>
  <si>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</si>
  <si>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</si>
  <si>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</si>
  <si>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</si>
  <si>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</si>
  <si>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</si>
  <si>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</si>
  <si>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</si>
  <si>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</si>
  <si>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</si>
  <si>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</si>
  <si>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</si>
  <si>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</si>
  <si>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</si>
  <si>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</si>
  <si>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</si>
  <si>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</si>
  <si>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</si>
  <si>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</si>
  <si>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</si>
  <si>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</si>
  <si>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</si>
  <si>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</si>
  <si>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</si>
  <si>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</si>
  <si>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</si>
  <si>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</si>
  <si>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</si>
  <si>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</si>
  <si>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</si>
  <si>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</si>
  <si>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</si>
  <si>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</si>
  <si>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</si>
  <si>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</si>
  <si>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</si>
  <si>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</si>
  <si>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</si>
  <si>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</si>
  <si>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</si>
  <si>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</si>
  <si>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</si>
  <si>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</si>
  <si>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</si>
  <si>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</si>
  <si>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</si>
  <si>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</si>
  <si>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</si>
  <si>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</si>
  <si>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</si>
  <si>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</si>
  <si>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</si>
  <si>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</si>
  <si>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</si>
  <si>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</si>
  <si>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</si>
  <si>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</si>
  <si>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</si>
  <si>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</si>
  <si>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</si>
  <si>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</si>
  <si>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</si>
  <si>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</si>
  <si>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</si>
  <si>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</si>
  <si>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</si>
  <si>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</si>
  <si>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</si>
  <si>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</si>
  <si>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</si>
  <si>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</si>
  <si>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</si>
  <si>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</si>
  <si>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</si>
  <si>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</si>
  <si>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</si>
  <si>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</si>
  <si>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</si>
  <si>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</si>
  <si>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</si>
  <si>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</si>
  <si>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</si>
  <si>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</si>
  <si>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</si>
  <si>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</si>
  <si>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</si>
  <si>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</si>
  <si>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</si>
  <si>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</si>
  <si>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</si>
  <si>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</si>
  <si>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</si>
  <si>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</si>
  <si>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</si>
  <si>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</si>
  <si>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</si>
  <si>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</si>
  <si>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</si>
  <si>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</si>
  <si>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</si>
  <si>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</si>
  <si>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</si>
  <si>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</si>
  <si>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</si>
  <si>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</si>
  <si>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</si>
  <si>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</si>
  <si>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</si>
  <si>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</si>
  <si>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</si>
  <si>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</si>
  <si>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</si>
  <si>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</si>
  <si>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</si>
  <si>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</si>
  <si>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</si>
  <si>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</si>
  <si>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</si>
  <si>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</si>
  <si>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</si>
  <si>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</si>
  <si>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</si>
  <si>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</si>
  <si>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</si>
  <si>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</si>
  <si>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</si>
  <si>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</si>
  <si>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</si>
  <si>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</si>
  <si>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</si>
  <si>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</si>
  <si>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</si>
  <si>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</si>
  <si>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</si>
  <si>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</si>
  <si>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</si>
  <si>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</si>
  <si>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</si>
  <si>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</si>
  <si>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</si>
  <si>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</si>
  <si>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</si>
  <si>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</si>
  <si>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</si>
  <si>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</si>
  <si>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</si>
  <si>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</si>
  <si>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</si>
  <si>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</si>
  <si>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</si>
  <si>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</si>
  <si>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</si>
  <si>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</si>
  <si>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</si>
  <si>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</si>
  <si>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</si>
  <si>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</si>
  <si>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</si>
  <si>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</si>
  <si>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</si>
  <si>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</si>
  <si>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</si>
  <si>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</si>
  <si>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</si>
  <si>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</si>
  <si>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</si>
  <si>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</si>
  <si>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</si>
  <si>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</si>
  <si>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</si>
  <si>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</si>
  <si>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</si>
  <si>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</si>
  <si>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</si>
  <si>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</si>
  <si>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</si>
  <si>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</si>
  <si>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</si>
  <si>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</si>
  <si>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</si>
  <si>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</si>
  <si>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</si>
  <si>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</si>
  <si>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</si>
  <si>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</si>
  <si>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</si>
  <si>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</si>
  <si>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</si>
  <si>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</si>
  <si>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</si>
  <si>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</si>
  <si>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</si>
  <si>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</si>
  <si>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</si>
  <si>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</si>
  <si>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</si>
  <si>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</si>
  <si>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</si>
  <si>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</si>
  <si>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</si>
  <si>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</si>
  <si>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</si>
  <si>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</si>
  <si>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</si>
  <si>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</si>
  <si>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</si>
  <si>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</si>
  <si>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</si>
  <si>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</si>
  <si>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</si>
  <si>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</si>
  <si>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</si>
  <si>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</si>
  <si>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</si>
  <si>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</si>
  <si>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</si>
  <si>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</si>
  <si>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</si>
  <si>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</si>
  <si>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</si>
  <si>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</si>
  <si>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</si>
  <si>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</si>
  <si>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</si>
  <si>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</si>
  <si>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</si>
  <si>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</si>
  <si>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</si>
  <si>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</si>
  <si>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</si>
  <si>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</si>
  <si>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</si>
  <si>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</si>
  <si>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</si>
  <si>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</si>
  <si>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</si>
  <si>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</si>
  <si>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</si>
  <si>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</si>
  <si>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</si>
  <si>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</si>
  <si>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</si>
  <si>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</si>
  <si>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</si>
  <si>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</si>
  <si>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</si>
  <si>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</si>
  <si>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</si>
  <si>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</si>
  <si>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</si>
  <si>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</si>
  <si>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</si>
  <si>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</si>
  <si>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</si>
  <si>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</si>
  <si>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</si>
  <si>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</si>
  <si>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</si>
  <si>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</si>
  <si>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</si>
  <si>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</si>
  <si>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</si>
  <si>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</si>
  <si>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</si>
  <si>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</si>
  <si>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</si>
  <si>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</si>
  <si>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</si>
  <si>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</si>
  <si>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</si>
  <si>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</si>
  <si>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</si>
  <si>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</si>
  <si>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</si>
  <si>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</si>
  <si>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</si>
  <si>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</si>
  <si>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</si>
  <si>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</si>
  <si>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</si>
  <si>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</si>
  <si>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</si>
  <si>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</si>
  <si>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</si>
  <si>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</si>
  <si>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</si>
  <si>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</si>
  <si>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</si>
  <si>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</si>
  <si>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</si>
  <si>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</si>
  <si>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</si>
  <si>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</si>
  <si>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</si>
  <si>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</si>
  <si>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</si>
  <si>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</si>
  <si>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</si>
  <si>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</si>
  <si>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</si>
  <si>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</si>
  <si>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</si>
  <si>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</si>
  <si>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</si>
  <si>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</si>
  <si>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</si>
  <si>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</si>
  <si>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</si>
  <si>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</si>
  <si>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</si>
  <si>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</si>
  <si>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</si>
  <si>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</si>
  <si>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</si>
  <si>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</si>
  <si>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</si>
  <si>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</si>
  <si>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</si>
  <si>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</si>
  <si>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</si>
  <si>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</si>
  <si>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</si>
  <si>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</si>
  <si>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</si>
  <si>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</si>
  <si>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</si>
  <si>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</si>
  <si>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</si>
  <si>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</si>
  <si>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</si>
  <si>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</si>
  <si>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</si>
  <si>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</si>
  <si>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</si>
  <si>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</si>
  <si>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</si>
  <si>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</si>
  <si>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</si>
  <si>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</si>
  <si>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</si>
  <si>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</si>
  <si>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</si>
  <si>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</si>
  <si>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</si>
  <si>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</si>
  <si>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</si>
  <si>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</si>
  <si>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</si>
  <si>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</si>
  <si>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</si>
  <si>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</si>
  <si>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</si>
  <si>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</si>
  <si>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</si>
  <si>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</si>
  <si>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</si>
  <si>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</si>
  <si>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</si>
  <si>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</si>
  <si>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</si>
  <si>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</si>
  <si>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</si>
  <si>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</si>
  <si>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</si>
  <si>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</si>
  <si>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</si>
  <si>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</si>
  <si>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</si>
  <si>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</si>
  <si>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</si>
  <si>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</si>
  <si>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</si>
  <si>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</si>
  <si>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</si>
  <si>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</si>
  <si>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</si>
  <si>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</si>
  <si>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</si>
  <si>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</si>
  <si>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</si>
  <si>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</si>
  <si>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</si>
  <si>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</si>
  <si>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</si>
  <si>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</si>
  <si>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</si>
  <si>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</si>
  <si>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</si>
  <si>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</si>
  <si>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</si>
  <si>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</si>
  <si>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</si>
  <si>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</si>
  <si>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</si>
  <si>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</si>
  <si>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</si>
  <si>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</si>
  <si>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</si>
  <si>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</si>
  <si>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</si>
  <si>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</si>
  <si>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</si>
  <si>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</si>
  <si>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</si>
  <si>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</si>
  <si>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</si>
  <si>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</si>
  <si>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</si>
  <si>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</si>
  <si>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</si>
  <si>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</si>
  <si>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</si>
  <si>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</si>
  <si>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</si>
  <si>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</si>
  <si>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</si>
  <si>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</si>
  <si>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</si>
  <si>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</si>
  <si>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</si>
  <si>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</si>
  <si>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</si>
  <si>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</si>
  <si>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</si>
  <si>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</si>
  <si>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</si>
  <si>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</si>
  <si>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</si>
  <si>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</si>
  <si>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</si>
  <si>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</si>
  <si>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</si>
  <si>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</si>
  <si>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</si>
  <si>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</si>
  <si>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</si>
  <si>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</si>
  <si>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</si>
  <si>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</si>
  <si>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</si>
  <si>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</si>
  <si>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</si>
  <si>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</si>
  <si>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</si>
  <si>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</si>
  <si>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</si>
  <si>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</si>
  <si>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</si>
  <si>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</si>
  <si>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</si>
  <si>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</si>
  <si>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</si>
  <si>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</si>
  <si>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</si>
  <si>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</si>
  <si>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</si>
  <si>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</si>
  <si>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</si>
  <si>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</si>
  <si>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</si>
  <si>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</si>
  <si>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</si>
  <si>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</si>
  <si>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</si>
  <si>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</si>
  <si>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</si>
  <si>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</si>
  <si>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</si>
  <si>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</si>
  <si>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</si>
  <si>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</si>
  <si>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</si>
  <si>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</si>
  <si>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</si>
  <si>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</si>
  <si>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</si>
  <si>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</si>
  <si>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</si>
  <si>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</si>
  <si>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</si>
  <si>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</si>
  <si>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</si>
  <si>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</si>
  <si>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</si>
  <si>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</si>
  <si>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</si>
  <si>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</si>
  <si>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</si>
  <si>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</si>
  <si>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</si>
  <si>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</si>
  <si>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</si>
  <si>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</si>
  <si>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</si>
  <si>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</si>
  <si>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</si>
  <si>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</si>
  <si>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</si>
  <si>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</si>
  <si>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</si>
  <si>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</si>
  <si>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</si>
  <si>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</si>
  <si>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</si>
  <si>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</si>
  <si>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</si>
  <si>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</si>
  <si>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</si>
  <si>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</si>
  <si>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</si>
  <si>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</si>
  <si>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</si>
  <si>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</si>
  <si>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</si>
  <si>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</si>
  <si>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</si>
  <si>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</si>
  <si>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</si>
  <si>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</si>
  <si>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</si>
  <si>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</si>
  <si>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</si>
  <si>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</si>
  <si>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</si>
  <si>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</si>
  <si>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</si>
  <si>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</si>
  <si>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</si>
  <si>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</si>
  <si>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</si>
  <si>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</si>
  <si>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</si>
  <si>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</si>
  <si>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</si>
  <si>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</si>
  <si>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</si>
  <si>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</si>
  <si>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</si>
  <si>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</si>
  <si>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</si>
  <si>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</si>
  <si>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</si>
  <si>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</si>
  <si>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</si>
  <si>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</si>
  <si>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</si>
  <si>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</si>
  <si>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</si>
  <si>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</si>
  <si>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</si>
  <si>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</si>
  <si>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</si>
  <si>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</si>
  <si>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</si>
  <si>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</si>
  <si>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</si>
  <si>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</si>
  <si>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</si>
  <si>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</si>
  <si>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</si>
  <si>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</si>
  <si>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</si>
  <si>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</si>
  <si>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</si>
  <si>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</si>
  <si>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</si>
  <si>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</si>
  <si>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</si>
  <si>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</si>
  <si>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</si>
  <si>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</si>
  <si>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</si>
  <si>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</si>
  <si>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</si>
  <si>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</si>
  <si>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</si>
  <si>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</si>
  <si>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</si>
  <si>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</si>
  <si>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</si>
  <si>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</si>
  <si>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</si>
  <si>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</si>
  <si>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</si>
  <si>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</si>
  <si>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</si>
  <si>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</si>
  <si>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</si>
  <si>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</si>
  <si>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</si>
  <si>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</si>
  <si>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</si>
  <si>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</si>
  <si>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</si>
  <si>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</si>
  <si>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</si>
  <si>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</si>
  <si>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</si>
  <si>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</si>
  <si>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</si>
  <si>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</si>
  <si>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</si>
  <si>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</si>
  <si>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</si>
  <si>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</si>
  <si>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</si>
  <si>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</si>
  <si>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</si>
  <si>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</si>
  <si>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</si>
  <si>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</si>
  <si>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</si>
  <si>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</si>
  <si>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</si>
  <si>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</si>
  <si>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</si>
  <si>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</si>
  <si>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</si>
  <si>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</si>
  <si>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</si>
  <si>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</si>
  <si>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</si>
  <si>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</si>
  <si>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</si>
  <si>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73032</t>
  </si>
  <si>
    <t>HOESELT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</si>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</sst>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84C0215-9250-480A-8CAF-B46B9B70821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78840.547346302381</c:v>
                </c:pt>
                <c:pt idx="1">
                  <c:v>22578.195350058373</c:v>
                </c:pt>
                <c:pt idx="2">
                  <c:v>520.53890999999999</c:v>
                </c:pt>
                <c:pt idx="3">
                  <c:v>4785.1842752008542</c:v>
                </c:pt>
                <c:pt idx="4">
                  <c:v>7310.1809329653906</c:v>
                </c:pt>
                <c:pt idx="5">
                  <c:v>91993.01279163266</c:v>
                </c:pt>
                <c:pt idx="6">
                  <c:v>483.16531935048414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78840.547346302381</c:v>
                </c:pt>
                <c:pt idx="1">
                  <c:v>22578.195350058373</c:v>
                </c:pt>
                <c:pt idx="2">
                  <c:v>520.53890999999999</c:v>
                </c:pt>
                <c:pt idx="3">
                  <c:v>4785.1842752008542</c:v>
                </c:pt>
                <c:pt idx="4">
                  <c:v>7310.1809329653906</c:v>
                </c:pt>
                <c:pt idx="5">
                  <c:v>91993.01279163266</c:v>
                </c:pt>
                <c:pt idx="6">
                  <c:v>483.16531935048414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16392.05066532733</c:v>
                </c:pt>
                <c:pt idx="1">
                  <c:v>4376.0705808568182</c:v>
                </c:pt>
                <c:pt idx="2">
                  <c:v>94.784135435078326</c:v>
                </c:pt>
                <c:pt idx="3">
                  <c:v>1200.1771521005128</c:v>
                </c:pt>
                <c:pt idx="4">
                  <c:v>1338.7849588107279</c:v>
                </c:pt>
                <c:pt idx="5">
                  <c:v>22813.627671486218</c:v>
                </c:pt>
                <c:pt idx="6">
                  <c:v>121.49387296422597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16392.05066532733</c:v>
                </c:pt>
                <c:pt idx="1">
                  <c:v>4376.0705808568182</c:v>
                </c:pt>
                <c:pt idx="2">
                  <c:v>94.784135435078326</c:v>
                </c:pt>
                <c:pt idx="3">
                  <c:v>1200.1771521005128</c:v>
                </c:pt>
                <c:pt idx="4">
                  <c:v>1338.7849588107279</c:v>
                </c:pt>
                <c:pt idx="5">
                  <c:v>22813.627671486218</c:v>
                </c:pt>
                <c:pt idx="6">
                  <c:v>121.49387296422597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73032</v>
      </c>
      <c r="B6" s="384"/>
      <c r="C6" s="385"/>
    </row>
    <row r="7" spans="1:7" s="382" customFormat="1" ht="15.75" customHeight="1">
      <c r="A7" s="386" t="str">
        <f>txtMunicipality</f>
        <v>HOESELT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11075.109931999999</v>
      </c>
      <c r="D10" s="681">
        <f ca="1">tertiair!C16</f>
        <v>0</v>
      </c>
      <c r="E10" s="681">
        <f ca="1">tertiair!D16</f>
        <v>9474.7441838279992</v>
      </c>
      <c r="F10" s="681">
        <f>tertiair!E16</f>
        <v>68.921560572044726</v>
      </c>
      <c r="G10" s="681">
        <f ca="1">tertiair!F16</f>
        <v>1965.0079612413099</v>
      </c>
      <c r="H10" s="681">
        <f>tertiair!G16</f>
        <v>0</v>
      </c>
      <c r="I10" s="681">
        <f>tertiair!H16</f>
        <v>0</v>
      </c>
      <c r="J10" s="681">
        <f>tertiair!I16</f>
        <v>0</v>
      </c>
      <c r="K10" s="681">
        <f>tertiair!J16</f>
        <v>1.1897417308723023E-2</v>
      </c>
      <c r="L10" s="681">
        <f>tertiair!K16</f>
        <v>0</v>
      </c>
      <c r="M10" s="681">
        <f ca="1">tertiair!L16</f>
        <v>0</v>
      </c>
      <c r="N10" s="681">
        <f>tertiair!M16</f>
        <v>0</v>
      </c>
      <c r="O10" s="681">
        <f ca="1">tertiair!N16</f>
        <v>457.50232592737405</v>
      </c>
      <c r="P10" s="681">
        <f>tertiair!O16</f>
        <v>4.8972607658411542</v>
      </c>
      <c r="Q10" s="682">
        <f>tertiair!P16</f>
        <v>52.539138306495019</v>
      </c>
      <c r="R10" s="684">
        <f ca="1">SUM(C10:Q10)</f>
        <v>23098.734260058372</v>
      </c>
      <c r="S10" s="67"/>
    </row>
    <row r="11" spans="1:19" s="443" customFormat="1">
      <c r="A11" s="802" t="s">
        <v>214</v>
      </c>
      <c r="B11" s="807"/>
      <c r="C11" s="681">
        <f>huishoudens!B8</f>
        <v>16447.889386131515</v>
      </c>
      <c r="D11" s="681">
        <f>huishoudens!C8</f>
        <v>0</v>
      </c>
      <c r="E11" s="681">
        <f>huishoudens!D8</f>
        <v>23901.117090018</v>
      </c>
      <c r="F11" s="681">
        <f>huishoudens!E8</f>
        <v>1400.1127656823758</v>
      </c>
      <c r="G11" s="681">
        <f>huishoudens!F8</f>
        <v>30671.717699003537</v>
      </c>
      <c r="H11" s="681">
        <f>huishoudens!G8</f>
        <v>0</v>
      </c>
      <c r="I11" s="681">
        <f>huishoudens!H8</f>
        <v>0</v>
      </c>
      <c r="J11" s="681">
        <f>huishoudens!I8</f>
        <v>0</v>
      </c>
      <c r="K11" s="681">
        <f>huishoudens!J8</f>
        <v>174.8014738476578</v>
      </c>
      <c r="L11" s="681">
        <f>huishoudens!K8</f>
        <v>0</v>
      </c>
      <c r="M11" s="681">
        <f>huishoudens!L8</f>
        <v>0</v>
      </c>
      <c r="N11" s="681">
        <f>huishoudens!M8</f>
        <v>0</v>
      </c>
      <c r="O11" s="681">
        <f>huishoudens!N8</f>
        <v>5602.57557516204</v>
      </c>
      <c r="P11" s="681">
        <f>huishoudens!O8</f>
        <v>242.04290276521789</v>
      </c>
      <c r="Q11" s="682">
        <f>huishoudens!P8</f>
        <v>400.29045369203089</v>
      </c>
      <c r="R11" s="684">
        <f>SUM(C11:Q11)</f>
        <v>78840.547346302381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3790.3767659999999</v>
      </c>
      <c r="D13" s="681">
        <f>industrie!C18</f>
        <v>0</v>
      </c>
      <c r="E13" s="681">
        <f>industrie!D18</f>
        <v>2592.7981096079998</v>
      </c>
      <c r="F13" s="681">
        <f>industrie!E18</f>
        <v>23.709340692808865</v>
      </c>
      <c r="G13" s="681">
        <f>industrie!F18</f>
        <v>414.18336396875452</v>
      </c>
      <c r="H13" s="681">
        <f>industrie!G18</f>
        <v>0</v>
      </c>
      <c r="I13" s="681">
        <f>industrie!H18</f>
        <v>0</v>
      </c>
      <c r="J13" s="681">
        <f>industrie!I18</f>
        <v>0</v>
      </c>
      <c r="K13" s="681">
        <f>industrie!J18</f>
        <v>25.104077556825203</v>
      </c>
      <c r="L13" s="681">
        <f>industrie!K18</f>
        <v>0</v>
      </c>
      <c r="M13" s="681">
        <f>industrie!L18</f>
        <v>0</v>
      </c>
      <c r="N13" s="681">
        <f>industrie!M18</f>
        <v>0</v>
      </c>
      <c r="O13" s="681">
        <f>industrie!N18</f>
        <v>464.00927513900217</v>
      </c>
      <c r="P13" s="681">
        <f>industrie!O18</f>
        <v>0</v>
      </c>
      <c r="Q13" s="682">
        <f>industrie!P18</f>
        <v>0</v>
      </c>
      <c r="R13" s="684">
        <f>SUM(C13:Q13)</f>
        <v>7310.1809329653906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31313.376084131516</v>
      </c>
      <c r="D16" s="717">
        <f t="shared" ref="D16:R16" ca="1" si="0">SUM(D9:D15)</f>
        <v>0</v>
      </c>
      <c r="E16" s="717">
        <f t="shared" ca="1" si="0"/>
        <v>35968.659383453996</v>
      </c>
      <c r="F16" s="717">
        <f t="shared" si="0"/>
        <v>1492.7436669472293</v>
      </c>
      <c r="G16" s="717">
        <f t="shared" ca="1" si="0"/>
        <v>33050.909024213601</v>
      </c>
      <c r="H16" s="717">
        <f t="shared" si="0"/>
        <v>0</v>
      </c>
      <c r="I16" s="717">
        <f t="shared" si="0"/>
        <v>0</v>
      </c>
      <c r="J16" s="717">
        <f t="shared" si="0"/>
        <v>0</v>
      </c>
      <c r="K16" s="717">
        <f t="shared" si="0"/>
        <v>199.91744882179171</v>
      </c>
      <c r="L16" s="717">
        <f t="shared" si="0"/>
        <v>0</v>
      </c>
      <c r="M16" s="717">
        <f t="shared" ca="1" si="0"/>
        <v>0</v>
      </c>
      <c r="N16" s="717">
        <f t="shared" si="0"/>
        <v>0</v>
      </c>
      <c r="O16" s="717">
        <f t="shared" ca="1" si="0"/>
        <v>6524.087176228416</v>
      </c>
      <c r="P16" s="717">
        <f t="shared" si="0"/>
        <v>246.94016353105906</v>
      </c>
      <c r="Q16" s="717">
        <f t="shared" si="0"/>
        <v>452.82959199852593</v>
      </c>
      <c r="R16" s="717">
        <f t="shared" ca="1" si="0"/>
        <v>109249.46253932614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7.1902222329051941</v>
      </c>
      <c r="D19" s="681">
        <f>transport!C54</f>
        <v>0</v>
      </c>
      <c r="E19" s="681">
        <f>transport!D54</f>
        <v>0</v>
      </c>
      <c r="F19" s="681">
        <f>transport!E54</f>
        <v>0</v>
      </c>
      <c r="G19" s="681">
        <f>transport!F54</f>
        <v>0</v>
      </c>
      <c r="H19" s="681">
        <f>transport!G54</f>
        <v>450.12964934409445</v>
      </c>
      <c r="I19" s="681">
        <f>transport!H54</f>
        <v>0</v>
      </c>
      <c r="J19" s="681">
        <f>transport!I54</f>
        <v>0</v>
      </c>
      <c r="K19" s="681">
        <f>transport!J54</f>
        <v>0</v>
      </c>
      <c r="L19" s="681">
        <f>transport!K54</f>
        <v>0</v>
      </c>
      <c r="M19" s="681">
        <f>transport!L54</f>
        <v>0</v>
      </c>
      <c r="N19" s="681">
        <f>transport!M54</f>
        <v>25.84544777348454</v>
      </c>
      <c r="O19" s="681">
        <f>transport!N54</f>
        <v>0</v>
      </c>
      <c r="P19" s="681">
        <f>transport!O54</f>
        <v>0</v>
      </c>
      <c r="Q19" s="682">
        <f>transport!P54</f>
        <v>0</v>
      </c>
      <c r="R19" s="684">
        <f>SUM(C19:Q19)</f>
        <v>483.16531935048414</v>
      </c>
      <c r="S19" s="67"/>
    </row>
    <row r="20" spans="1:19" s="443" customFormat="1">
      <c r="A20" s="802" t="s">
        <v>296</v>
      </c>
      <c r="B20" s="807"/>
      <c r="C20" s="681">
        <f>transport!B14</f>
        <v>217.34852159926555</v>
      </c>
      <c r="D20" s="681">
        <f>transport!C14</f>
        <v>0</v>
      </c>
      <c r="E20" s="681">
        <f>transport!D14</f>
        <v>350.93646383024407</v>
      </c>
      <c r="F20" s="681">
        <f>transport!E14</f>
        <v>154.79753884974701</v>
      </c>
      <c r="G20" s="681">
        <f>transport!F14</f>
        <v>0</v>
      </c>
      <c r="H20" s="681">
        <f>transport!G14</f>
        <v>68436.539343434124</v>
      </c>
      <c r="I20" s="681">
        <f>transport!H14</f>
        <v>17652.477105607872</v>
      </c>
      <c r="J20" s="681">
        <f>transport!I14</f>
        <v>0</v>
      </c>
      <c r="K20" s="681">
        <f>transport!J14</f>
        <v>0</v>
      </c>
      <c r="L20" s="681">
        <f>transport!K14</f>
        <v>0</v>
      </c>
      <c r="M20" s="681">
        <f>transport!L14</f>
        <v>0</v>
      </c>
      <c r="N20" s="681">
        <f>transport!M14</f>
        <v>5180.9138183113937</v>
      </c>
      <c r="O20" s="681">
        <f>transport!N14</f>
        <v>0</v>
      </c>
      <c r="P20" s="681">
        <f>transport!O14</f>
        <v>0</v>
      </c>
      <c r="Q20" s="682">
        <f>transport!P14</f>
        <v>0</v>
      </c>
      <c r="R20" s="684">
        <f>SUM(C20:Q20)</f>
        <v>91993.01279163266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224.53874383217075</v>
      </c>
      <c r="D22" s="805">
        <f t="shared" ref="D22:R22" si="1">SUM(D18:D21)</f>
        <v>0</v>
      </c>
      <c r="E22" s="805">
        <f t="shared" si="1"/>
        <v>350.93646383024407</v>
      </c>
      <c r="F22" s="805">
        <f t="shared" si="1"/>
        <v>154.79753884974701</v>
      </c>
      <c r="G22" s="805">
        <f t="shared" si="1"/>
        <v>0</v>
      </c>
      <c r="H22" s="805">
        <f t="shared" si="1"/>
        <v>68886.668992778214</v>
      </c>
      <c r="I22" s="805">
        <f t="shared" si="1"/>
        <v>17652.477105607872</v>
      </c>
      <c r="J22" s="805">
        <f t="shared" si="1"/>
        <v>0</v>
      </c>
      <c r="K22" s="805">
        <f t="shared" si="1"/>
        <v>0</v>
      </c>
      <c r="L22" s="805">
        <f t="shared" si="1"/>
        <v>0</v>
      </c>
      <c r="M22" s="805">
        <f t="shared" si="1"/>
        <v>0</v>
      </c>
      <c r="N22" s="805">
        <f t="shared" si="1"/>
        <v>5206.7592660848786</v>
      </c>
      <c r="O22" s="805">
        <f t="shared" si="1"/>
        <v>0</v>
      </c>
      <c r="P22" s="805">
        <f t="shared" si="1"/>
        <v>0</v>
      </c>
      <c r="Q22" s="805">
        <f t="shared" si="1"/>
        <v>0</v>
      </c>
      <c r="R22" s="805">
        <f t="shared" si="1"/>
        <v>92476.17811098315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1037.12167</v>
      </c>
      <c r="D24" s="681">
        <f>+landbouw!C8</f>
        <v>0</v>
      </c>
      <c r="E24" s="681">
        <f>+landbouw!D8</f>
        <v>171.65874413099999</v>
      </c>
      <c r="F24" s="681">
        <f>+landbouw!E8</f>
        <v>29.704919759994105</v>
      </c>
      <c r="G24" s="681">
        <f>+landbouw!F8</f>
        <v>3282.9914687300898</v>
      </c>
      <c r="H24" s="681">
        <f>+landbouw!G8</f>
        <v>0</v>
      </c>
      <c r="I24" s="681">
        <f>+landbouw!H8</f>
        <v>0</v>
      </c>
      <c r="J24" s="681">
        <f>+landbouw!I8</f>
        <v>0</v>
      </c>
      <c r="K24" s="681">
        <f>+landbouw!J8</f>
        <v>263.70747257977018</v>
      </c>
      <c r="L24" s="681">
        <f>+landbouw!K8</f>
        <v>0</v>
      </c>
      <c r="M24" s="681">
        <f>+landbouw!L8</f>
        <v>0</v>
      </c>
      <c r="N24" s="681">
        <f>+landbouw!M8</f>
        <v>0</v>
      </c>
      <c r="O24" s="681">
        <f>+landbouw!N8</f>
        <v>0</v>
      </c>
      <c r="P24" s="681">
        <f>+landbouw!O8</f>
        <v>0</v>
      </c>
      <c r="Q24" s="682">
        <f>+landbouw!P8</f>
        <v>0</v>
      </c>
      <c r="R24" s="684">
        <f>SUM(C24:Q24)</f>
        <v>4785.1842752008542</v>
      </c>
      <c r="S24" s="67"/>
    </row>
    <row r="25" spans="1:19" s="443" customFormat="1" ht="15" thickBot="1">
      <c r="A25" s="824" t="s">
        <v>690</v>
      </c>
      <c r="B25" s="937"/>
      <c r="C25" s="938">
        <f>IF(Onbekend_ele_kWh="---",0,Onbekend_ele_kWh)/1000+IF(REST_rest_ele_kWh="---",0,REST_rest_ele_kWh)/1000</f>
        <v>273.15817200000004</v>
      </c>
      <c r="D25" s="938"/>
      <c r="E25" s="938">
        <f>IF(onbekend_gas_kWh="---",0,onbekend_gas_kWh)/1000+IF(REST_rest_gas_kWh="---",0,REST_rest_gas_kWh)/1000</f>
        <v>722.55851300000006</v>
      </c>
      <c r="F25" s="938"/>
      <c r="G25" s="938"/>
      <c r="H25" s="938"/>
      <c r="I25" s="938"/>
      <c r="J25" s="938"/>
      <c r="K25" s="938"/>
      <c r="L25" s="938"/>
      <c r="M25" s="938"/>
      <c r="N25" s="938"/>
      <c r="O25" s="938"/>
      <c r="P25" s="938"/>
      <c r="Q25" s="939"/>
      <c r="R25" s="684">
        <f>SUM(C25:Q25)</f>
        <v>995.7166850000001</v>
      </c>
      <c r="S25" s="67"/>
    </row>
    <row r="26" spans="1:19" s="443" customFormat="1" ht="15.75" thickBot="1">
      <c r="A26" s="689" t="s">
        <v>691</v>
      </c>
      <c r="B26" s="810"/>
      <c r="C26" s="805">
        <f>SUM(C24:C25)</f>
        <v>1310.2798419999999</v>
      </c>
      <c r="D26" s="805">
        <f t="shared" ref="D26:R26" si="2">SUM(D24:D25)</f>
        <v>0</v>
      </c>
      <c r="E26" s="805">
        <f t="shared" si="2"/>
        <v>894.217257131</v>
      </c>
      <c r="F26" s="805">
        <f t="shared" si="2"/>
        <v>29.704919759994105</v>
      </c>
      <c r="G26" s="805">
        <f t="shared" si="2"/>
        <v>3282.9914687300898</v>
      </c>
      <c r="H26" s="805">
        <f t="shared" si="2"/>
        <v>0</v>
      </c>
      <c r="I26" s="805">
        <f t="shared" si="2"/>
        <v>0</v>
      </c>
      <c r="J26" s="805">
        <f t="shared" si="2"/>
        <v>0</v>
      </c>
      <c r="K26" s="805">
        <f t="shared" si="2"/>
        <v>263.70747257977018</v>
      </c>
      <c r="L26" s="805">
        <f t="shared" si="2"/>
        <v>0</v>
      </c>
      <c r="M26" s="805">
        <f t="shared" si="2"/>
        <v>0</v>
      </c>
      <c r="N26" s="805">
        <f t="shared" si="2"/>
        <v>0</v>
      </c>
      <c r="O26" s="805">
        <f t="shared" si="2"/>
        <v>0</v>
      </c>
      <c r="P26" s="805">
        <f t="shared" si="2"/>
        <v>0</v>
      </c>
      <c r="Q26" s="805">
        <f t="shared" si="2"/>
        <v>0</v>
      </c>
      <c r="R26" s="805">
        <f t="shared" si="2"/>
        <v>5780.9009602008546</v>
      </c>
      <c r="S26" s="67"/>
    </row>
    <row r="27" spans="1:19" s="443" customFormat="1" ht="17.25" thickTop="1" thickBot="1">
      <c r="A27" s="690" t="s">
        <v>109</v>
      </c>
      <c r="B27" s="797"/>
      <c r="C27" s="691">
        <f ca="1">C22+C16+C26</f>
        <v>32848.19466996369</v>
      </c>
      <c r="D27" s="691">
        <f t="shared" ref="D27:R27" ca="1" si="3">D22+D16+D26</f>
        <v>0</v>
      </c>
      <c r="E27" s="691">
        <f t="shared" ca="1" si="3"/>
        <v>37213.81310441524</v>
      </c>
      <c r="F27" s="691">
        <f t="shared" si="3"/>
        <v>1677.2461255569704</v>
      </c>
      <c r="G27" s="691">
        <f t="shared" ca="1" si="3"/>
        <v>36333.900492943692</v>
      </c>
      <c r="H27" s="691">
        <f t="shared" si="3"/>
        <v>68886.668992778214</v>
      </c>
      <c r="I27" s="691">
        <f t="shared" si="3"/>
        <v>17652.477105607872</v>
      </c>
      <c r="J27" s="691">
        <f t="shared" si="3"/>
        <v>0</v>
      </c>
      <c r="K27" s="691">
        <f t="shared" si="3"/>
        <v>463.62492140156189</v>
      </c>
      <c r="L27" s="691">
        <f t="shared" si="3"/>
        <v>0</v>
      </c>
      <c r="M27" s="691">
        <f t="shared" ca="1" si="3"/>
        <v>0</v>
      </c>
      <c r="N27" s="691">
        <f t="shared" si="3"/>
        <v>5206.7592660848786</v>
      </c>
      <c r="O27" s="691">
        <f t="shared" ca="1" si="3"/>
        <v>6524.087176228416</v>
      </c>
      <c r="P27" s="691">
        <f t="shared" si="3"/>
        <v>246.94016353105906</v>
      </c>
      <c r="Q27" s="691">
        <f t="shared" si="3"/>
        <v>452.82959199852593</v>
      </c>
      <c r="R27" s="691">
        <f t="shared" ca="1" si="3"/>
        <v>207506.54161051012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2016.6498595716293</v>
      </c>
      <c r="D40" s="681">
        <f ca="1">tertiair!C20</f>
        <v>0</v>
      </c>
      <c r="E40" s="681">
        <f ca="1">tertiair!D20</f>
        <v>1913.8983251332559</v>
      </c>
      <c r="F40" s="681">
        <f>tertiair!E20</f>
        <v>15.645194249854153</v>
      </c>
      <c r="G40" s="681">
        <f ca="1">tertiair!F20</f>
        <v>524.65712565142974</v>
      </c>
      <c r="H40" s="681">
        <f>tertiair!G20</f>
        <v>0</v>
      </c>
      <c r="I40" s="681">
        <f>tertiair!H20</f>
        <v>0</v>
      </c>
      <c r="J40" s="681">
        <f>tertiair!I20</f>
        <v>0</v>
      </c>
      <c r="K40" s="681">
        <f>tertiair!J20</f>
        <v>4.2116857272879501E-3</v>
      </c>
      <c r="L40" s="681">
        <f>tertiair!K20</f>
        <v>0</v>
      </c>
      <c r="M40" s="681">
        <f ca="1">tertiair!L20</f>
        <v>0</v>
      </c>
      <c r="N40" s="681">
        <f>tertiair!M20</f>
        <v>0</v>
      </c>
      <c r="O40" s="681">
        <f ca="1">tertiair!N20</f>
        <v>0</v>
      </c>
      <c r="P40" s="681">
        <f>tertiair!O20</f>
        <v>0</v>
      </c>
      <c r="Q40" s="764">
        <f>tertiair!P20</f>
        <v>0</v>
      </c>
      <c r="R40" s="843">
        <f t="shared" ca="1" si="4"/>
        <v>4470.8547162918967</v>
      </c>
    </row>
    <row r="41" spans="1:18">
      <c r="A41" s="815" t="s">
        <v>214</v>
      </c>
      <c r="B41" s="822"/>
      <c r="C41" s="681">
        <f ca="1">huishoudens!B12</f>
        <v>2994.9710679577765</v>
      </c>
      <c r="D41" s="681">
        <f ca="1">huishoudens!C12</f>
        <v>0</v>
      </c>
      <c r="E41" s="681">
        <f>huishoudens!D12</f>
        <v>4828.0256521836363</v>
      </c>
      <c r="F41" s="681">
        <f>huishoudens!E12</f>
        <v>317.82559780989931</v>
      </c>
      <c r="G41" s="681">
        <f>huishoudens!F12</f>
        <v>8189.3486256339447</v>
      </c>
      <c r="H41" s="681">
        <f>huishoudens!G12</f>
        <v>0</v>
      </c>
      <c r="I41" s="681">
        <f>huishoudens!H12</f>
        <v>0</v>
      </c>
      <c r="J41" s="681">
        <f>huishoudens!I12</f>
        <v>0</v>
      </c>
      <c r="K41" s="681">
        <f>huishoudens!J12</f>
        <v>61.879721742070856</v>
      </c>
      <c r="L41" s="681">
        <f>huishoudens!K12</f>
        <v>0</v>
      </c>
      <c r="M41" s="681">
        <f>huishoudens!L12</f>
        <v>0</v>
      </c>
      <c r="N41" s="681">
        <f>huishoudens!M12</f>
        <v>0</v>
      </c>
      <c r="O41" s="681">
        <f>huishoudens!N12</f>
        <v>0</v>
      </c>
      <c r="P41" s="681">
        <f>huishoudens!O12</f>
        <v>0</v>
      </c>
      <c r="Q41" s="764">
        <f>huishoudens!P12</f>
        <v>0</v>
      </c>
      <c r="R41" s="843">
        <f t="shared" ca="1" si="4"/>
        <v>16392.05066532733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690.18391869787058</v>
      </c>
      <c r="D43" s="681">
        <f ca="1">industrie!C22</f>
        <v>0</v>
      </c>
      <c r="E43" s="681">
        <f>industrie!D22</f>
        <v>523.74521814081595</v>
      </c>
      <c r="F43" s="681">
        <f>industrie!E22</f>
        <v>5.3820203372676128</v>
      </c>
      <c r="G43" s="681">
        <f>industrie!F22</f>
        <v>110.58695817965746</v>
      </c>
      <c r="H43" s="681">
        <f>industrie!G22</f>
        <v>0</v>
      </c>
      <c r="I43" s="681">
        <f>industrie!H22</f>
        <v>0</v>
      </c>
      <c r="J43" s="681">
        <f>industrie!I22</f>
        <v>0</v>
      </c>
      <c r="K43" s="681">
        <f>industrie!J22</f>
        <v>8.8868434551161215</v>
      </c>
      <c r="L43" s="681">
        <f>industrie!K22</f>
        <v>0</v>
      </c>
      <c r="M43" s="681">
        <f>industrie!L22</f>
        <v>0</v>
      </c>
      <c r="N43" s="681">
        <f>industrie!M22</f>
        <v>0</v>
      </c>
      <c r="O43" s="681">
        <f>industrie!N22</f>
        <v>0</v>
      </c>
      <c r="P43" s="681">
        <f>industrie!O22</f>
        <v>0</v>
      </c>
      <c r="Q43" s="764">
        <f>industrie!P22</f>
        <v>0</v>
      </c>
      <c r="R43" s="842">
        <f t="shared" ca="1" si="4"/>
        <v>1338.7849588107279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5701.8048462272764</v>
      </c>
      <c r="D46" s="717">
        <f t="shared" ref="D46:Q46" ca="1" si="5">SUM(D39:D45)</f>
        <v>0</v>
      </c>
      <c r="E46" s="717">
        <f t="shared" ca="1" si="5"/>
        <v>7265.6691954577082</v>
      </c>
      <c r="F46" s="717">
        <f t="shared" si="5"/>
        <v>338.85281239702107</v>
      </c>
      <c r="G46" s="717">
        <f t="shared" ca="1" si="5"/>
        <v>8824.5927094650324</v>
      </c>
      <c r="H46" s="717">
        <f t="shared" si="5"/>
        <v>0</v>
      </c>
      <c r="I46" s="717">
        <f t="shared" si="5"/>
        <v>0</v>
      </c>
      <c r="J46" s="717">
        <f t="shared" si="5"/>
        <v>0</v>
      </c>
      <c r="K46" s="717">
        <f t="shared" si="5"/>
        <v>70.770776882914262</v>
      </c>
      <c r="L46" s="717">
        <f t="shared" si="5"/>
        <v>0</v>
      </c>
      <c r="M46" s="717">
        <f t="shared" ca="1" si="5"/>
        <v>0</v>
      </c>
      <c r="N46" s="717">
        <f t="shared" si="5"/>
        <v>0</v>
      </c>
      <c r="O46" s="717">
        <f t="shared" ca="1" si="5"/>
        <v>0</v>
      </c>
      <c r="P46" s="717">
        <f t="shared" si="5"/>
        <v>0</v>
      </c>
      <c r="Q46" s="717">
        <f t="shared" si="5"/>
        <v>0</v>
      </c>
      <c r="R46" s="717">
        <f ca="1">SUM(R39:R45)</f>
        <v>22201.690340429952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1.3092565893527484</v>
      </c>
      <c r="D49" s="681">
        <f ca="1">transport!C58</f>
        <v>0</v>
      </c>
      <c r="E49" s="681">
        <f>transport!D58</f>
        <v>0</v>
      </c>
      <c r="F49" s="681">
        <f>transport!E58</f>
        <v>0</v>
      </c>
      <c r="G49" s="681">
        <f>transport!F58</f>
        <v>0</v>
      </c>
      <c r="H49" s="681">
        <f>transport!G58</f>
        <v>120.18461637487323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121.49387296422597</v>
      </c>
    </row>
    <row r="50" spans="1:18">
      <c r="A50" s="818" t="s">
        <v>296</v>
      </c>
      <c r="B50" s="828"/>
      <c r="C50" s="687">
        <f ca="1">transport!B18</f>
        <v>39.576660480344941</v>
      </c>
      <c r="D50" s="687">
        <f>transport!C18</f>
        <v>0</v>
      </c>
      <c r="E50" s="687">
        <f>transport!D18</f>
        <v>70.889165693709302</v>
      </c>
      <c r="F50" s="687">
        <f>transport!E18</f>
        <v>35.139041318892573</v>
      </c>
      <c r="G50" s="687">
        <f>transport!F18</f>
        <v>0</v>
      </c>
      <c r="H50" s="687">
        <f>transport!G18</f>
        <v>18272.556004696911</v>
      </c>
      <c r="I50" s="687">
        <f>transport!H18</f>
        <v>4395.4667992963596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22813.627671486218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40.88591706969769</v>
      </c>
      <c r="D52" s="717">
        <f t="shared" ref="D52:Q52" ca="1" si="6">SUM(D48:D51)</f>
        <v>0</v>
      </c>
      <c r="E52" s="717">
        <f t="shared" si="6"/>
        <v>70.889165693709302</v>
      </c>
      <c r="F52" s="717">
        <f t="shared" si="6"/>
        <v>35.139041318892573</v>
      </c>
      <c r="G52" s="717">
        <f t="shared" si="6"/>
        <v>0</v>
      </c>
      <c r="H52" s="717">
        <f t="shared" si="6"/>
        <v>18392.740621071785</v>
      </c>
      <c r="I52" s="717">
        <f t="shared" si="6"/>
        <v>4395.4667992963596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22935.121544450445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188.84790155635937</v>
      </c>
      <c r="D54" s="687">
        <f ca="1">+landbouw!C12</f>
        <v>0</v>
      </c>
      <c r="E54" s="687">
        <f>+landbouw!D12</f>
        <v>34.675066314462001</v>
      </c>
      <c r="F54" s="687">
        <f>+landbouw!E12</f>
        <v>6.7430167855186625</v>
      </c>
      <c r="G54" s="687">
        <f>+landbouw!F12</f>
        <v>876.55872215093405</v>
      </c>
      <c r="H54" s="687">
        <f>+landbouw!G12</f>
        <v>0</v>
      </c>
      <c r="I54" s="687">
        <f>+landbouw!H12</f>
        <v>0</v>
      </c>
      <c r="J54" s="687">
        <f>+landbouw!I12</f>
        <v>0</v>
      </c>
      <c r="K54" s="687">
        <f>+landbouw!J12</f>
        <v>93.352445293238645</v>
      </c>
      <c r="L54" s="687">
        <f>+landbouw!K12</f>
        <v>0</v>
      </c>
      <c r="M54" s="687">
        <f>+landbouw!L12</f>
        <v>0</v>
      </c>
      <c r="N54" s="687">
        <f>+landbouw!M12</f>
        <v>0</v>
      </c>
      <c r="O54" s="687">
        <f>+landbouw!N12</f>
        <v>0</v>
      </c>
      <c r="P54" s="687">
        <f>+landbouw!O12</f>
        <v>0</v>
      </c>
      <c r="Q54" s="688">
        <f>+landbouw!P12</f>
        <v>0</v>
      </c>
      <c r="R54" s="716">
        <f ca="1">SUM(C54:Q54)</f>
        <v>1200.1771521005128</v>
      </c>
    </row>
    <row r="55" spans="1:18" ht="15" thickBot="1">
      <c r="A55" s="818" t="s">
        <v>690</v>
      </c>
      <c r="B55" s="828"/>
      <c r="C55" s="687">
        <f ca="1">C25*'EF ele_warmte'!B12</f>
        <v>49.738954519358451</v>
      </c>
      <c r="D55" s="687"/>
      <c r="E55" s="687">
        <f>E25*EF_CO2_aardgas</f>
        <v>145.95681962600003</v>
      </c>
      <c r="F55" s="687"/>
      <c r="G55" s="687"/>
      <c r="H55" s="687"/>
      <c r="I55" s="687"/>
      <c r="J55" s="687"/>
      <c r="K55" s="687"/>
      <c r="L55" s="687"/>
      <c r="M55" s="687"/>
      <c r="N55" s="687"/>
      <c r="O55" s="687"/>
      <c r="P55" s="687"/>
      <c r="Q55" s="688"/>
      <c r="R55" s="716">
        <f ca="1">SUM(C55:Q55)</f>
        <v>195.69577414535848</v>
      </c>
    </row>
    <row r="56" spans="1:18" ht="15.75" thickBot="1">
      <c r="A56" s="816" t="s">
        <v>691</v>
      </c>
      <c r="B56" s="829"/>
      <c r="C56" s="717">
        <f ca="1">SUM(C54:C55)</f>
        <v>238.58685607571783</v>
      </c>
      <c r="D56" s="717">
        <f t="shared" ref="D56:Q56" ca="1" si="7">SUM(D54:D55)</f>
        <v>0</v>
      </c>
      <c r="E56" s="717">
        <f t="shared" si="7"/>
        <v>180.63188594046204</v>
      </c>
      <c r="F56" s="717">
        <f t="shared" si="7"/>
        <v>6.7430167855186625</v>
      </c>
      <c r="G56" s="717">
        <f t="shared" si="7"/>
        <v>876.55872215093405</v>
      </c>
      <c r="H56" s="717">
        <f t="shared" si="7"/>
        <v>0</v>
      </c>
      <c r="I56" s="717">
        <f t="shared" si="7"/>
        <v>0</v>
      </c>
      <c r="J56" s="717">
        <f t="shared" si="7"/>
        <v>0</v>
      </c>
      <c r="K56" s="717">
        <f t="shared" si="7"/>
        <v>93.352445293238645</v>
      </c>
      <c r="L56" s="717">
        <f t="shared" si="7"/>
        <v>0</v>
      </c>
      <c r="M56" s="717">
        <f t="shared" si="7"/>
        <v>0</v>
      </c>
      <c r="N56" s="717">
        <f t="shared" si="7"/>
        <v>0</v>
      </c>
      <c r="O56" s="717">
        <f t="shared" si="7"/>
        <v>0</v>
      </c>
      <c r="P56" s="717">
        <f t="shared" si="7"/>
        <v>0</v>
      </c>
      <c r="Q56" s="718">
        <f t="shared" si="7"/>
        <v>0</v>
      </c>
      <c r="R56" s="719">
        <f ca="1">SUM(R54:R55)</f>
        <v>1395.8729262458712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5981.2776193726922</v>
      </c>
      <c r="D61" s="725">
        <f t="shared" ref="D61:Q61" ca="1" si="8">D46+D52+D56</f>
        <v>0</v>
      </c>
      <c r="E61" s="725">
        <f t="shared" ca="1" si="8"/>
        <v>7517.1902470918794</v>
      </c>
      <c r="F61" s="725">
        <f t="shared" si="8"/>
        <v>380.73487050143228</v>
      </c>
      <c r="G61" s="725">
        <f t="shared" ca="1" si="8"/>
        <v>9701.1514316159664</v>
      </c>
      <c r="H61" s="725">
        <f t="shared" si="8"/>
        <v>18392.740621071785</v>
      </c>
      <c r="I61" s="725">
        <f t="shared" si="8"/>
        <v>4395.4667992963596</v>
      </c>
      <c r="J61" s="725">
        <f t="shared" si="8"/>
        <v>0</v>
      </c>
      <c r="K61" s="725">
        <f t="shared" si="8"/>
        <v>164.12322217615292</v>
      </c>
      <c r="L61" s="725">
        <f t="shared" si="8"/>
        <v>0</v>
      </c>
      <c r="M61" s="725">
        <f t="shared" ca="1" si="8"/>
        <v>0</v>
      </c>
      <c r="N61" s="725">
        <f t="shared" si="8"/>
        <v>0</v>
      </c>
      <c r="O61" s="725">
        <f t="shared" ca="1" si="8"/>
        <v>0</v>
      </c>
      <c r="P61" s="725">
        <f t="shared" si="8"/>
        <v>0</v>
      </c>
      <c r="Q61" s="725">
        <f t="shared" si="8"/>
        <v>0</v>
      </c>
      <c r="R61" s="725">
        <f ca="1">R46+R52+R56</f>
        <v>46532.684811126273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0.18208847333829151</v>
      </c>
      <c r="D63" s="771">
        <f t="shared" ca="1" si="9"/>
        <v>0</v>
      </c>
      <c r="E63" s="963">
        <f t="shared" ca="1" si="9"/>
        <v>0.20200000000000004</v>
      </c>
      <c r="F63" s="771">
        <f t="shared" si="9"/>
        <v>0.22700000000000001</v>
      </c>
      <c r="G63" s="771">
        <f t="shared" ca="1" si="9"/>
        <v>0.26700000000000002</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5783.5900574175721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5783.5900574175721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16447.889386131515</v>
      </c>
      <c r="C4" s="447">
        <f>huishoudens!C8</f>
        <v>0</v>
      </c>
      <c r="D4" s="447">
        <f>huishoudens!D8</f>
        <v>23901.117090018</v>
      </c>
      <c r="E4" s="447">
        <f>huishoudens!E8</f>
        <v>1400.1127656823758</v>
      </c>
      <c r="F4" s="447">
        <f>huishoudens!F8</f>
        <v>30671.717699003537</v>
      </c>
      <c r="G4" s="447">
        <f>huishoudens!G8</f>
        <v>0</v>
      </c>
      <c r="H4" s="447">
        <f>huishoudens!H8</f>
        <v>0</v>
      </c>
      <c r="I4" s="447">
        <f>huishoudens!I8</f>
        <v>0</v>
      </c>
      <c r="J4" s="447">
        <f>huishoudens!J8</f>
        <v>174.8014738476578</v>
      </c>
      <c r="K4" s="447">
        <f>huishoudens!K8</f>
        <v>0</v>
      </c>
      <c r="L4" s="447">
        <f>huishoudens!L8</f>
        <v>0</v>
      </c>
      <c r="M4" s="447">
        <f>huishoudens!M8</f>
        <v>0</v>
      </c>
      <c r="N4" s="447">
        <f>huishoudens!N8</f>
        <v>5602.57557516204</v>
      </c>
      <c r="O4" s="447">
        <f>huishoudens!O8</f>
        <v>242.04290276521789</v>
      </c>
      <c r="P4" s="448">
        <f>huishoudens!P8</f>
        <v>400.29045369203089</v>
      </c>
      <c r="Q4" s="449">
        <f>SUM(B4:P4)</f>
        <v>78840.547346302381</v>
      </c>
    </row>
    <row r="5" spans="1:17">
      <c r="A5" s="446" t="s">
        <v>149</v>
      </c>
      <c r="B5" s="447">
        <f ca="1">tertiair!B16</f>
        <v>10554.571022</v>
      </c>
      <c r="C5" s="447">
        <f ca="1">tertiair!C16</f>
        <v>0</v>
      </c>
      <c r="D5" s="447">
        <f ca="1">tertiair!D16</f>
        <v>9474.7441838279992</v>
      </c>
      <c r="E5" s="447">
        <f>tertiair!E16</f>
        <v>68.921560572044726</v>
      </c>
      <c r="F5" s="447">
        <f ca="1">tertiair!F16</f>
        <v>1965.0079612413099</v>
      </c>
      <c r="G5" s="447">
        <f>tertiair!G16</f>
        <v>0</v>
      </c>
      <c r="H5" s="447">
        <f>tertiair!H16</f>
        <v>0</v>
      </c>
      <c r="I5" s="447">
        <f>tertiair!I16</f>
        <v>0</v>
      </c>
      <c r="J5" s="447">
        <f>tertiair!J16</f>
        <v>1.1897417308723023E-2</v>
      </c>
      <c r="K5" s="447">
        <f>tertiair!K16</f>
        <v>0</v>
      </c>
      <c r="L5" s="447">
        <f ca="1">tertiair!L16</f>
        <v>0</v>
      </c>
      <c r="M5" s="447">
        <f>tertiair!M16</f>
        <v>0</v>
      </c>
      <c r="N5" s="447">
        <f ca="1">tertiair!N16</f>
        <v>457.50232592737405</v>
      </c>
      <c r="O5" s="447">
        <f>tertiair!O16</f>
        <v>4.8972607658411542</v>
      </c>
      <c r="P5" s="448">
        <f>tertiair!P16</f>
        <v>52.539138306495019</v>
      </c>
      <c r="Q5" s="446">
        <f t="shared" ref="Q5:Q14" ca="1" si="0">SUM(B5:P5)</f>
        <v>22578.195350058373</v>
      </c>
    </row>
    <row r="6" spans="1:17">
      <c r="A6" s="446" t="s">
        <v>187</v>
      </c>
      <c r="B6" s="447">
        <f>'openbare verlichting'!B8</f>
        <v>520.53890999999999</v>
      </c>
      <c r="C6" s="447"/>
      <c r="D6" s="447"/>
      <c r="E6" s="447"/>
      <c r="F6" s="447"/>
      <c r="G6" s="447"/>
      <c r="H6" s="447"/>
      <c r="I6" s="447"/>
      <c r="J6" s="447"/>
      <c r="K6" s="447"/>
      <c r="L6" s="447"/>
      <c r="M6" s="447"/>
      <c r="N6" s="447"/>
      <c r="O6" s="447"/>
      <c r="P6" s="448"/>
      <c r="Q6" s="446">
        <f t="shared" si="0"/>
        <v>520.53890999999999</v>
      </c>
    </row>
    <row r="7" spans="1:17">
      <c r="A7" s="446" t="s">
        <v>105</v>
      </c>
      <c r="B7" s="447">
        <f>landbouw!B8</f>
        <v>1037.12167</v>
      </c>
      <c r="C7" s="447">
        <f>landbouw!C8</f>
        <v>0</v>
      </c>
      <c r="D7" s="447">
        <f>landbouw!D8</f>
        <v>171.65874413099999</v>
      </c>
      <c r="E7" s="447">
        <f>landbouw!E8</f>
        <v>29.704919759994105</v>
      </c>
      <c r="F7" s="447">
        <f>landbouw!F8</f>
        <v>3282.9914687300898</v>
      </c>
      <c r="G7" s="447">
        <f>landbouw!G8</f>
        <v>0</v>
      </c>
      <c r="H7" s="447">
        <f>landbouw!H8</f>
        <v>0</v>
      </c>
      <c r="I7" s="447">
        <f>landbouw!I8</f>
        <v>0</v>
      </c>
      <c r="J7" s="447">
        <f>landbouw!J8</f>
        <v>263.70747257977018</v>
      </c>
      <c r="K7" s="447">
        <f>landbouw!K8</f>
        <v>0</v>
      </c>
      <c r="L7" s="447">
        <f>landbouw!L8</f>
        <v>0</v>
      </c>
      <c r="M7" s="447">
        <f>landbouw!M8</f>
        <v>0</v>
      </c>
      <c r="N7" s="447">
        <f>landbouw!N8</f>
        <v>0</v>
      </c>
      <c r="O7" s="447">
        <f>landbouw!O8</f>
        <v>0</v>
      </c>
      <c r="P7" s="448">
        <f>landbouw!P8</f>
        <v>0</v>
      </c>
      <c r="Q7" s="446">
        <f t="shared" si="0"/>
        <v>4785.1842752008542</v>
      </c>
    </row>
    <row r="8" spans="1:17">
      <c r="A8" s="446" t="s">
        <v>611</v>
      </c>
      <c r="B8" s="447">
        <f>industrie!B18</f>
        <v>3790.3767659999999</v>
      </c>
      <c r="C8" s="447">
        <f>industrie!C18</f>
        <v>0</v>
      </c>
      <c r="D8" s="447">
        <f>industrie!D18</f>
        <v>2592.7981096079998</v>
      </c>
      <c r="E8" s="447">
        <f>industrie!E18</f>
        <v>23.709340692808865</v>
      </c>
      <c r="F8" s="447">
        <f>industrie!F18</f>
        <v>414.18336396875452</v>
      </c>
      <c r="G8" s="447">
        <f>industrie!G18</f>
        <v>0</v>
      </c>
      <c r="H8" s="447">
        <f>industrie!H18</f>
        <v>0</v>
      </c>
      <c r="I8" s="447">
        <f>industrie!I18</f>
        <v>0</v>
      </c>
      <c r="J8" s="447">
        <f>industrie!J18</f>
        <v>25.104077556825203</v>
      </c>
      <c r="K8" s="447">
        <f>industrie!K18</f>
        <v>0</v>
      </c>
      <c r="L8" s="447">
        <f>industrie!L18</f>
        <v>0</v>
      </c>
      <c r="M8" s="447">
        <f>industrie!M18</f>
        <v>0</v>
      </c>
      <c r="N8" s="447">
        <f>industrie!N18</f>
        <v>464.00927513900217</v>
      </c>
      <c r="O8" s="447">
        <f>industrie!O18</f>
        <v>0</v>
      </c>
      <c r="P8" s="448">
        <f>industrie!P18</f>
        <v>0</v>
      </c>
      <c r="Q8" s="446">
        <f t="shared" si="0"/>
        <v>7310.1809329653906</v>
      </c>
    </row>
    <row r="9" spans="1:17" s="452" customFormat="1">
      <c r="A9" s="450" t="s">
        <v>537</v>
      </c>
      <c r="B9" s="451">
        <f>transport!B14</f>
        <v>217.34852159926555</v>
      </c>
      <c r="C9" s="451">
        <f>transport!C14</f>
        <v>0</v>
      </c>
      <c r="D9" s="451">
        <f>transport!D14</f>
        <v>350.93646383024407</v>
      </c>
      <c r="E9" s="451">
        <f>transport!E14</f>
        <v>154.79753884974701</v>
      </c>
      <c r="F9" s="451">
        <f>transport!F14</f>
        <v>0</v>
      </c>
      <c r="G9" s="451">
        <f>transport!G14</f>
        <v>68436.539343434124</v>
      </c>
      <c r="H9" s="451">
        <f>transport!H14</f>
        <v>17652.477105607872</v>
      </c>
      <c r="I9" s="451">
        <f>transport!I14</f>
        <v>0</v>
      </c>
      <c r="J9" s="451">
        <f>transport!J14</f>
        <v>0</v>
      </c>
      <c r="K9" s="451">
        <f>transport!K14</f>
        <v>0</v>
      </c>
      <c r="L9" s="451">
        <f>transport!L14</f>
        <v>0</v>
      </c>
      <c r="M9" s="451">
        <f>transport!M14</f>
        <v>5180.9138183113937</v>
      </c>
      <c r="N9" s="451">
        <f>transport!N14</f>
        <v>0</v>
      </c>
      <c r="O9" s="451">
        <f>transport!O14</f>
        <v>0</v>
      </c>
      <c r="P9" s="451">
        <f>transport!P14</f>
        <v>0</v>
      </c>
      <c r="Q9" s="450">
        <f>SUM(B9:P9)</f>
        <v>91993.01279163266</v>
      </c>
    </row>
    <row r="10" spans="1:17">
      <c r="A10" s="446" t="s">
        <v>527</v>
      </c>
      <c r="B10" s="447">
        <f>transport!B54</f>
        <v>7.1902222329051941</v>
      </c>
      <c r="C10" s="447">
        <f>transport!C54</f>
        <v>0</v>
      </c>
      <c r="D10" s="447">
        <f>transport!D54</f>
        <v>0</v>
      </c>
      <c r="E10" s="447">
        <f>transport!E54</f>
        <v>0</v>
      </c>
      <c r="F10" s="447">
        <f>transport!F54</f>
        <v>0</v>
      </c>
      <c r="G10" s="447">
        <f>transport!G54</f>
        <v>450.12964934409445</v>
      </c>
      <c r="H10" s="447">
        <f>transport!H54</f>
        <v>0</v>
      </c>
      <c r="I10" s="447">
        <f>transport!I54</f>
        <v>0</v>
      </c>
      <c r="J10" s="447">
        <f>transport!J54</f>
        <v>0</v>
      </c>
      <c r="K10" s="447">
        <f>transport!K54</f>
        <v>0</v>
      </c>
      <c r="L10" s="447">
        <f>transport!L54</f>
        <v>0</v>
      </c>
      <c r="M10" s="447">
        <f>transport!M54</f>
        <v>25.84544777348454</v>
      </c>
      <c r="N10" s="447">
        <f>transport!N54</f>
        <v>0</v>
      </c>
      <c r="O10" s="447">
        <f>transport!O54</f>
        <v>0</v>
      </c>
      <c r="P10" s="448">
        <f>transport!P54</f>
        <v>0</v>
      </c>
      <c r="Q10" s="446">
        <f t="shared" si="0"/>
        <v>483.16531935048414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273.15817200000004</v>
      </c>
      <c r="C14" s="454"/>
      <c r="D14" s="454">
        <f>'SEAP template'!E25</f>
        <v>722.55851300000006</v>
      </c>
      <c r="E14" s="454"/>
      <c r="F14" s="454"/>
      <c r="G14" s="454"/>
      <c r="H14" s="454"/>
      <c r="I14" s="454"/>
      <c r="J14" s="454"/>
      <c r="K14" s="454"/>
      <c r="L14" s="454"/>
      <c r="M14" s="454"/>
      <c r="N14" s="454"/>
      <c r="O14" s="454"/>
      <c r="P14" s="455"/>
      <c r="Q14" s="446">
        <f t="shared" si="0"/>
        <v>995.7166850000001</v>
      </c>
    </row>
    <row r="15" spans="1:17" s="458" customFormat="1">
      <c r="A15" s="456" t="s">
        <v>531</v>
      </c>
      <c r="B15" s="457">
        <f ca="1">SUM(B4:B14)</f>
        <v>32848.19466996369</v>
      </c>
      <c r="C15" s="457">
        <f t="shared" ref="C15:Q15" ca="1" si="1">SUM(C4:C14)</f>
        <v>0</v>
      </c>
      <c r="D15" s="457">
        <f t="shared" ca="1" si="1"/>
        <v>37213.81310441524</v>
      </c>
      <c r="E15" s="457">
        <f t="shared" si="1"/>
        <v>1677.2461255569704</v>
      </c>
      <c r="F15" s="457">
        <f t="shared" ca="1" si="1"/>
        <v>36333.900492943692</v>
      </c>
      <c r="G15" s="457">
        <f t="shared" si="1"/>
        <v>68886.668992778214</v>
      </c>
      <c r="H15" s="457">
        <f t="shared" si="1"/>
        <v>17652.477105607872</v>
      </c>
      <c r="I15" s="457">
        <f t="shared" si="1"/>
        <v>0</v>
      </c>
      <c r="J15" s="457">
        <f t="shared" si="1"/>
        <v>463.62492140156189</v>
      </c>
      <c r="K15" s="457">
        <f t="shared" si="1"/>
        <v>0</v>
      </c>
      <c r="L15" s="457">
        <f t="shared" ca="1" si="1"/>
        <v>0</v>
      </c>
      <c r="M15" s="457">
        <f t="shared" si="1"/>
        <v>5206.7592660848786</v>
      </c>
      <c r="N15" s="457">
        <f t="shared" ca="1" si="1"/>
        <v>6524.087176228416</v>
      </c>
      <c r="O15" s="457">
        <f t="shared" si="1"/>
        <v>246.94016353105906</v>
      </c>
      <c r="P15" s="457">
        <f t="shared" si="1"/>
        <v>452.82959199852593</v>
      </c>
      <c r="Q15" s="457">
        <f t="shared" ca="1" si="1"/>
        <v>207506.54161051015</v>
      </c>
    </row>
    <row r="17" spans="1:17">
      <c r="A17" s="459" t="s">
        <v>532</v>
      </c>
      <c r="B17" s="776">
        <f ca="1">huishoudens!B10</f>
        <v>0.18208847333829151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2994.9710679577765</v>
      </c>
      <c r="C22" s="447">
        <f t="shared" ref="C22:C32" ca="1" si="3">C4*$C$17</f>
        <v>0</v>
      </c>
      <c r="D22" s="447">
        <f t="shared" ref="D22:D32" si="4">D4*$D$17</f>
        <v>4828.0256521836363</v>
      </c>
      <c r="E22" s="447">
        <f t="shared" ref="E22:E32" si="5">E4*$E$17</f>
        <v>317.82559780989931</v>
      </c>
      <c r="F22" s="447">
        <f t="shared" ref="F22:F32" si="6">F4*$F$17</f>
        <v>8189.3486256339447</v>
      </c>
      <c r="G22" s="447">
        <f t="shared" ref="G22:G32" si="7">G4*$G$17</f>
        <v>0</v>
      </c>
      <c r="H22" s="447">
        <f t="shared" ref="H22:H32" si="8">H4*$H$17</f>
        <v>0</v>
      </c>
      <c r="I22" s="447">
        <f t="shared" ref="I22:I32" si="9">I4*$I$17</f>
        <v>0</v>
      </c>
      <c r="J22" s="447">
        <f t="shared" ref="J22:J32" si="10">J4*$J$17</f>
        <v>61.879721742070856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16392.05066532733</v>
      </c>
    </row>
    <row r="23" spans="1:17">
      <c r="A23" s="446" t="s">
        <v>149</v>
      </c>
      <c r="B23" s="447">
        <f t="shared" ca="1" si="2"/>
        <v>1921.8657241365511</v>
      </c>
      <c r="C23" s="447">
        <f t="shared" ca="1" si="3"/>
        <v>0</v>
      </c>
      <c r="D23" s="447">
        <f t="shared" ca="1" si="4"/>
        <v>1913.8983251332559</v>
      </c>
      <c r="E23" s="447">
        <f t="shared" si="5"/>
        <v>15.645194249854153</v>
      </c>
      <c r="F23" s="447">
        <f t="shared" ca="1" si="6"/>
        <v>524.65712565142974</v>
      </c>
      <c r="G23" s="447">
        <f t="shared" si="7"/>
        <v>0</v>
      </c>
      <c r="H23" s="447">
        <f t="shared" si="8"/>
        <v>0</v>
      </c>
      <c r="I23" s="447">
        <f t="shared" si="9"/>
        <v>0</v>
      </c>
      <c r="J23" s="447">
        <f t="shared" si="10"/>
        <v>4.2116857272879501E-3</v>
      </c>
      <c r="K23" s="447">
        <f t="shared" si="11"/>
        <v>0</v>
      </c>
      <c r="L23" s="447">
        <f t="shared" ca="1" si="12"/>
        <v>0</v>
      </c>
      <c r="M23" s="447">
        <f t="shared" si="13"/>
        <v>0</v>
      </c>
      <c r="N23" s="447">
        <f t="shared" ca="1" si="14"/>
        <v>0</v>
      </c>
      <c r="O23" s="447">
        <f t="shared" si="15"/>
        <v>0</v>
      </c>
      <c r="P23" s="448">
        <f t="shared" si="16"/>
        <v>0</v>
      </c>
      <c r="Q23" s="446">
        <f t="shared" ref="Q23:Q31" ca="1" si="17">SUM(B23:P23)</f>
        <v>4376.0705808568182</v>
      </c>
    </row>
    <row r="24" spans="1:17">
      <c r="A24" s="446" t="s">
        <v>187</v>
      </c>
      <c r="B24" s="447">
        <f t="shared" ca="1" si="2"/>
        <v>94.784135435078326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94.784135435078326</v>
      </c>
    </row>
    <row r="25" spans="1:17">
      <c r="A25" s="446" t="s">
        <v>105</v>
      </c>
      <c r="B25" s="447">
        <f t="shared" ca="1" si="2"/>
        <v>188.84790155635937</v>
      </c>
      <c r="C25" s="447">
        <f t="shared" ca="1" si="3"/>
        <v>0</v>
      </c>
      <c r="D25" s="447">
        <f t="shared" si="4"/>
        <v>34.675066314462001</v>
      </c>
      <c r="E25" s="447">
        <f t="shared" si="5"/>
        <v>6.7430167855186625</v>
      </c>
      <c r="F25" s="447">
        <f t="shared" si="6"/>
        <v>876.55872215093405</v>
      </c>
      <c r="G25" s="447">
        <f t="shared" si="7"/>
        <v>0</v>
      </c>
      <c r="H25" s="447">
        <f t="shared" si="8"/>
        <v>0</v>
      </c>
      <c r="I25" s="447">
        <f t="shared" si="9"/>
        <v>0</v>
      </c>
      <c r="J25" s="447">
        <f t="shared" si="10"/>
        <v>93.352445293238645</v>
      </c>
      <c r="K25" s="447">
        <f t="shared" si="11"/>
        <v>0</v>
      </c>
      <c r="L25" s="447">
        <f t="shared" si="12"/>
        <v>0</v>
      </c>
      <c r="M25" s="447">
        <f t="shared" si="13"/>
        <v>0</v>
      </c>
      <c r="N25" s="447">
        <f t="shared" si="14"/>
        <v>0</v>
      </c>
      <c r="O25" s="447">
        <f t="shared" si="15"/>
        <v>0</v>
      </c>
      <c r="P25" s="448">
        <f t="shared" si="16"/>
        <v>0</v>
      </c>
      <c r="Q25" s="446">
        <f t="shared" ca="1" si="17"/>
        <v>1200.1771521005128</v>
      </c>
    </row>
    <row r="26" spans="1:17">
      <c r="A26" s="446" t="s">
        <v>611</v>
      </c>
      <c r="B26" s="447">
        <f t="shared" ca="1" si="2"/>
        <v>690.18391869787058</v>
      </c>
      <c r="C26" s="447">
        <f t="shared" ca="1" si="3"/>
        <v>0</v>
      </c>
      <c r="D26" s="447">
        <f t="shared" si="4"/>
        <v>523.74521814081595</v>
      </c>
      <c r="E26" s="447">
        <f t="shared" si="5"/>
        <v>5.3820203372676128</v>
      </c>
      <c r="F26" s="447">
        <f t="shared" si="6"/>
        <v>110.58695817965746</v>
      </c>
      <c r="G26" s="447">
        <f t="shared" si="7"/>
        <v>0</v>
      </c>
      <c r="H26" s="447">
        <f t="shared" si="8"/>
        <v>0</v>
      </c>
      <c r="I26" s="447">
        <f t="shared" si="9"/>
        <v>0</v>
      </c>
      <c r="J26" s="447">
        <f t="shared" si="10"/>
        <v>8.8868434551161215</v>
      </c>
      <c r="K26" s="447">
        <f t="shared" si="11"/>
        <v>0</v>
      </c>
      <c r="L26" s="447">
        <f t="shared" si="12"/>
        <v>0</v>
      </c>
      <c r="M26" s="447">
        <f t="shared" si="13"/>
        <v>0</v>
      </c>
      <c r="N26" s="447">
        <f t="shared" si="14"/>
        <v>0</v>
      </c>
      <c r="O26" s="447">
        <f t="shared" si="15"/>
        <v>0</v>
      </c>
      <c r="P26" s="448">
        <f t="shared" si="16"/>
        <v>0</v>
      </c>
      <c r="Q26" s="446">
        <f t="shared" ca="1" si="17"/>
        <v>1338.7849588107279</v>
      </c>
    </row>
    <row r="27" spans="1:17" s="452" customFormat="1">
      <c r="A27" s="450" t="s">
        <v>537</v>
      </c>
      <c r="B27" s="770">
        <f t="shared" ca="1" si="2"/>
        <v>39.576660480344941</v>
      </c>
      <c r="C27" s="451">
        <f t="shared" ca="1" si="3"/>
        <v>0</v>
      </c>
      <c r="D27" s="451">
        <f t="shared" si="4"/>
        <v>70.889165693709302</v>
      </c>
      <c r="E27" s="451">
        <f t="shared" si="5"/>
        <v>35.139041318892573</v>
      </c>
      <c r="F27" s="451">
        <f t="shared" si="6"/>
        <v>0</v>
      </c>
      <c r="G27" s="451">
        <f t="shared" si="7"/>
        <v>18272.556004696911</v>
      </c>
      <c r="H27" s="451">
        <f t="shared" si="8"/>
        <v>4395.4667992963596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22813.627671486218</v>
      </c>
    </row>
    <row r="28" spans="1:17" ht="16.5" customHeight="1">
      <c r="A28" s="446" t="s">
        <v>527</v>
      </c>
      <c r="B28" s="447">
        <f t="shared" ca="1" si="2"/>
        <v>1.3092565893527484</v>
      </c>
      <c r="C28" s="447">
        <f t="shared" ca="1" si="3"/>
        <v>0</v>
      </c>
      <c r="D28" s="447">
        <f t="shared" si="4"/>
        <v>0</v>
      </c>
      <c r="E28" s="447">
        <f t="shared" si="5"/>
        <v>0</v>
      </c>
      <c r="F28" s="447">
        <f t="shared" si="6"/>
        <v>0</v>
      </c>
      <c r="G28" s="447">
        <f t="shared" si="7"/>
        <v>120.18461637487323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121.49387296422597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49.738954519358451</v>
      </c>
      <c r="C32" s="447">
        <f t="shared" ca="1" si="3"/>
        <v>0</v>
      </c>
      <c r="D32" s="447">
        <f t="shared" si="4"/>
        <v>145.95681962600003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195.69577414535848</v>
      </c>
    </row>
    <row r="33" spans="1:17" s="458" customFormat="1">
      <c r="A33" s="456" t="s">
        <v>531</v>
      </c>
      <c r="B33" s="457">
        <f ca="1">SUM(B22:B32)</f>
        <v>5981.2776193726913</v>
      </c>
      <c r="C33" s="457">
        <f t="shared" ref="C33:Q33" ca="1" si="19">SUM(C22:C32)</f>
        <v>0</v>
      </c>
      <c r="D33" s="457">
        <f t="shared" ca="1" si="19"/>
        <v>7517.1902470918794</v>
      </c>
      <c r="E33" s="457">
        <f t="shared" si="19"/>
        <v>380.73487050143228</v>
      </c>
      <c r="F33" s="457">
        <f t="shared" ca="1" si="19"/>
        <v>9701.1514316159664</v>
      </c>
      <c r="G33" s="457">
        <f t="shared" si="19"/>
        <v>18392.740621071785</v>
      </c>
      <c r="H33" s="457">
        <f t="shared" si="19"/>
        <v>4395.4667992963596</v>
      </c>
      <c r="I33" s="457">
        <f t="shared" si="19"/>
        <v>0</v>
      </c>
      <c r="J33" s="457">
        <f t="shared" si="19"/>
        <v>164.12322217615289</v>
      </c>
      <c r="K33" s="457">
        <f t="shared" si="19"/>
        <v>0</v>
      </c>
      <c r="L33" s="457">
        <f t="shared" ca="1" si="19"/>
        <v>0</v>
      </c>
      <c r="M33" s="457">
        <f t="shared" si="19"/>
        <v>0</v>
      </c>
      <c r="N33" s="457">
        <f t="shared" ca="1" si="19"/>
        <v>0</v>
      </c>
      <c r="O33" s="457">
        <f t="shared" si="19"/>
        <v>0</v>
      </c>
      <c r="P33" s="457">
        <f t="shared" si="19"/>
        <v>0</v>
      </c>
      <c r="Q33" s="457">
        <f t="shared" ca="1" si="19"/>
        <v>46532.684811126266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5783.5900574175721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5783.5900574175721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0.18208847333829151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0.18208847333829151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0.18208847333829151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0.18208847333829151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3986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1640.89</v>
      </c>
      <c r="C14" s="326"/>
      <c r="D14" s="326"/>
      <c r="E14" s="326"/>
      <c r="F14" s="326"/>
    </row>
    <row r="15" spans="1:6">
      <c r="A15" s="1310" t="s">
        <v>177</v>
      </c>
      <c r="B15" s="1311">
        <v>4</v>
      </c>
      <c r="C15" s="326"/>
      <c r="D15" s="326"/>
      <c r="E15" s="326"/>
      <c r="F15" s="326"/>
    </row>
    <row r="16" spans="1:6">
      <c r="A16" s="1310" t="s">
        <v>6</v>
      </c>
      <c r="B16" s="1311">
        <v>94</v>
      </c>
      <c r="C16" s="326"/>
      <c r="D16" s="326"/>
      <c r="E16" s="326"/>
      <c r="F16" s="326"/>
    </row>
    <row r="17" spans="1:6">
      <c r="A17" s="1310" t="s">
        <v>7</v>
      </c>
      <c r="B17" s="1311">
        <v>162</v>
      </c>
      <c r="C17" s="326"/>
      <c r="D17" s="326"/>
      <c r="E17" s="326"/>
      <c r="F17" s="326"/>
    </row>
    <row r="18" spans="1:6">
      <c r="A18" s="1310" t="s">
        <v>8</v>
      </c>
      <c r="B18" s="1311">
        <v>173</v>
      </c>
      <c r="C18" s="326"/>
      <c r="D18" s="326"/>
      <c r="E18" s="326"/>
      <c r="F18" s="326"/>
    </row>
    <row r="19" spans="1:6">
      <c r="A19" s="1310" t="s">
        <v>9</v>
      </c>
      <c r="B19" s="1311">
        <v>200</v>
      </c>
      <c r="C19" s="326"/>
      <c r="D19" s="326"/>
      <c r="E19" s="326"/>
      <c r="F19" s="326"/>
    </row>
    <row r="20" spans="1:6">
      <c r="A20" s="1310" t="s">
        <v>10</v>
      </c>
      <c r="B20" s="1311">
        <v>138</v>
      </c>
      <c r="C20" s="326"/>
      <c r="D20" s="326"/>
      <c r="E20" s="326"/>
      <c r="F20" s="326"/>
    </row>
    <row r="21" spans="1:6">
      <c r="A21" s="1310" t="s">
        <v>11</v>
      </c>
      <c r="B21" s="1311">
        <v>1288</v>
      </c>
      <c r="C21" s="326"/>
      <c r="D21" s="326"/>
      <c r="E21" s="326"/>
      <c r="F21" s="326"/>
    </row>
    <row r="22" spans="1:6">
      <c r="A22" s="1310" t="s">
        <v>12</v>
      </c>
      <c r="B22" s="1311">
        <v>6077</v>
      </c>
      <c r="C22" s="326"/>
      <c r="D22" s="326"/>
      <c r="E22" s="326"/>
      <c r="F22" s="326"/>
    </row>
    <row r="23" spans="1:6">
      <c r="A23" s="1310" t="s">
        <v>13</v>
      </c>
      <c r="B23" s="1311">
        <v>113</v>
      </c>
      <c r="C23" s="326"/>
      <c r="D23" s="326"/>
      <c r="E23" s="326"/>
      <c r="F23" s="326"/>
    </row>
    <row r="24" spans="1:6">
      <c r="A24" s="1310" t="s">
        <v>14</v>
      </c>
      <c r="B24" s="1311">
        <v>2</v>
      </c>
      <c r="C24" s="326"/>
      <c r="D24" s="326"/>
      <c r="E24" s="326"/>
      <c r="F24" s="326"/>
    </row>
    <row r="25" spans="1:6">
      <c r="A25" s="1310" t="s">
        <v>15</v>
      </c>
      <c r="B25" s="1311">
        <v>394</v>
      </c>
      <c r="C25" s="326"/>
      <c r="D25" s="326"/>
      <c r="E25" s="326"/>
      <c r="F25" s="326"/>
    </row>
    <row r="26" spans="1:6">
      <c r="A26" s="1310" t="s">
        <v>16</v>
      </c>
      <c r="B26" s="1311">
        <v>177</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26</v>
      </c>
      <c r="C29" s="326"/>
      <c r="D29" s="326"/>
      <c r="E29" s="326"/>
      <c r="F29" s="326"/>
    </row>
    <row r="30" spans="1:6">
      <c r="A30" s="1305" t="s">
        <v>679</v>
      </c>
      <c r="B30" s="1313">
        <v>32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24036.39</v>
      </c>
    </row>
    <row r="39" spans="1:6">
      <c r="A39" s="1310" t="s">
        <v>29</v>
      </c>
      <c r="B39" s="1310" t="s">
        <v>30</v>
      </c>
      <c r="C39" s="1311">
        <v>1834</v>
      </c>
      <c r="D39" s="1311">
        <v>26468568.206</v>
      </c>
      <c r="E39" s="1311">
        <v>4029</v>
      </c>
      <c r="F39" s="1311">
        <v>12260200.804</v>
      </c>
    </row>
    <row r="40" spans="1:6">
      <c r="A40" s="1310" t="s">
        <v>29</v>
      </c>
      <c r="B40" s="1310" t="s">
        <v>28</v>
      </c>
      <c r="C40" s="1311">
        <v>0</v>
      </c>
      <c r="D40" s="1311">
        <v>0</v>
      </c>
      <c r="E40" s="1311">
        <v>0</v>
      </c>
      <c r="F40" s="1311">
        <v>0</v>
      </c>
    </row>
    <row r="41" spans="1:6">
      <c r="A41" s="1310" t="s">
        <v>31</v>
      </c>
      <c r="B41" s="1310" t="s">
        <v>32</v>
      </c>
      <c r="C41" s="1311">
        <v>60</v>
      </c>
      <c r="D41" s="1311">
        <v>541293.85100000002</v>
      </c>
      <c r="E41" s="1311">
        <v>113</v>
      </c>
      <c r="F41" s="1311">
        <v>306438.22700000001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717097.53500000003</v>
      </c>
      <c r="E44" s="1311">
        <v>14</v>
      </c>
      <c r="F44" s="1311">
        <v>1257214.1569999999</v>
      </c>
    </row>
    <row r="45" spans="1:6">
      <c r="A45" s="1310" t="s">
        <v>31</v>
      </c>
      <c r="B45" s="1310" t="s">
        <v>36</v>
      </c>
      <c r="C45" s="1311">
        <v>4</v>
      </c>
      <c r="D45" s="1311">
        <v>1091350.7549999999</v>
      </c>
      <c r="E45" s="1311">
        <v>7</v>
      </c>
      <c r="F45" s="1311">
        <v>667388.36100000003</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76405.062999999995</v>
      </c>
    </row>
    <row r="48" spans="1:6">
      <c r="A48" s="1310" t="s">
        <v>31</v>
      </c>
      <c r="B48" s="1310" t="s">
        <v>28</v>
      </c>
      <c r="C48" s="1311">
        <v>3</v>
      </c>
      <c r="D48" s="1311">
        <v>216267.69199999998</v>
      </c>
      <c r="E48" s="1311">
        <v>4</v>
      </c>
      <c r="F48" s="1311">
        <v>32344.494999999999</v>
      </c>
    </row>
    <row r="49" spans="1:6">
      <c r="A49" s="1310" t="s">
        <v>31</v>
      </c>
      <c r="B49" s="1310" t="s">
        <v>39</v>
      </c>
      <c r="C49" s="1311">
        <v>0</v>
      </c>
      <c r="D49" s="1311">
        <v>0</v>
      </c>
      <c r="E49" s="1311">
        <v>0</v>
      </c>
      <c r="F49" s="1311">
        <v>0</v>
      </c>
    </row>
    <row r="50" spans="1:6">
      <c r="A50" s="1310" t="s">
        <v>31</v>
      </c>
      <c r="B50" s="1310" t="s">
        <v>40</v>
      </c>
      <c r="C50" s="1311">
        <v>4</v>
      </c>
      <c r="D50" s="1311">
        <v>305305.90299999999</v>
      </c>
      <c r="E50" s="1311">
        <v>13</v>
      </c>
      <c r="F50" s="1311">
        <v>1450586.463</v>
      </c>
    </row>
    <row r="51" spans="1:6">
      <c r="A51" s="1310" t="s">
        <v>41</v>
      </c>
      <c r="B51" s="1310" t="s">
        <v>42</v>
      </c>
      <c r="C51" s="1311">
        <v>10</v>
      </c>
      <c r="D51" s="1311">
        <v>190098.277</v>
      </c>
      <c r="E51" s="1311">
        <v>67</v>
      </c>
      <c r="F51" s="1311">
        <v>1037121.67</v>
      </c>
    </row>
    <row r="52" spans="1:6">
      <c r="A52" s="1310" t="s">
        <v>41</v>
      </c>
      <c r="B52" s="1310" t="s">
        <v>28</v>
      </c>
      <c r="C52" s="1311">
        <v>0</v>
      </c>
      <c r="D52" s="1311">
        <v>0</v>
      </c>
      <c r="E52" s="1311">
        <v>0</v>
      </c>
      <c r="F52" s="1311">
        <v>0</v>
      </c>
    </row>
    <row r="53" spans="1:6">
      <c r="A53" s="1310" t="s">
        <v>43</v>
      </c>
      <c r="B53" s="1310" t="s">
        <v>44</v>
      </c>
      <c r="C53" s="1311">
        <v>31</v>
      </c>
      <c r="D53" s="1311">
        <v>722558.51300000004</v>
      </c>
      <c r="E53" s="1311">
        <v>84</v>
      </c>
      <c r="F53" s="1311">
        <v>273158.17200000002</v>
      </c>
    </row>
    <row r="54" spans="1:6">
      <c r="A54" s="1310" t="s">
        <v>45</v>
      </c>
      <c r="B54" s="1310" t="s">
        <v>46</v>
      </c>
      <c r="C54" s="1311">
        <v>0</v>
      </c>
      <c r="D54" s="1311">
        <v>0</v>
      </c>
      <c r="E54" s="1311">
        <v>3</v>
      </c>
      <c r="F54" s="1311">
        <v>520538.91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1662261.5970000001</v>
      </c>
      <c r="E57" s="1311">
        <v>92</v>
      </c>
      <c r="F57" s="1311">
        <v>1176311.5330000001</v>
      </c>
    </row>
    <row r="58" spans="1:6">
      <c r="A58" s="1310" t="s">
        <v>48</v>
      </c>
      <c r="B58" s="1310" t="s">
        <v>50</v>
      </c>
      <c r="C58" s="1311">
        <v>10</v>
      </c>
      <c r="D58" s="1311">
        <v>441478.91499999998</v>
      </c>
      <c r="E58" s="1311">
        <v>18</v>
      </c>
      <c r="F58" s="1311">
        <v>362609.53</v>
      </c>
    </row>
    <row r="59" spans="1:6">
      <c r="A59" s="1310" t="s">
        <v>48</v>
      </c>
      <c r="B59" s="1310" t="s">
        <v>51</v>
      </c>
      <c r="C59" s="1311">
        <v>48</v>
      </c>
      <c r="D59" s="1311">
        <v>4795754.5199999996</v>
      </c>
      <c r="E59" s="1311">
        <v>112</v>
      </c>
      <c r="F59" s="1311">
        <v>6676947.8789999997</v>
      </c>
    </row>
    <row r="60" spans="1:6">
      <c r="A60" s="1310" t="s">
        <v>48</v>
      </c>
      <c r="B60" s="1310" t="s">
        <v>52</v>
      </c>
      <c r="C60" s="1311">
        <v>26</v>
      </c>
      <c r="D60" s="1311">
        <v>1207895.827</v>
      </c>
      <c r="E60" s="1311">
        <v>42</v>
      </c>
      <c r="F60" s="1311">
        <v>909367.57700000005</v>
      </c>
    </row>
    <row r="61" spans="1:6">
      <c r="A61" s="1310" t="s">
        <v>48</v>
      </c>
      <c r="B61" s="1310" t="s">
        <v>53</v>
      </c>
      <c r="C61" s="1311">
        <v>65</v>
      </c>
      <c r="D61" s="1311">
        <v>1901315.8060000001</v>
      </c>
      <c r="E61" s="1311">
        <v>156</v>
      </c>
      <c r="F61" s="1311">
        <v>1252004.007</v>
      </c>
    </row>
    <row r="62" spans="1:6">
      <c r="A62" s="1310" t="s">
        <v>48</v>
      </c>
      <c r="B62" s="1310" t="s">
        <v>54</v>
      </c>
      <c r="C62" s="1311">
        <v>7</v>
      </c>
      <c r="D62" s="1311">
        <v>483811.81099999999</v>
      </c>
      <c r="E62" s="1311">
        <v>11</v>
      </c>
      <c r="F62" s="1311">
        <v>177330.49600000001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58685.385999999999</v>
      </c>
      <c r="E65" s="1311">
        <v>0</v>
      </c>
      <c r="F65" s="1311">
        <v>0</v>
      </c>
    </row>
    <row r="66" spans="1:6">
      <c r="A66" s="1310" t="s">
        <v>55</v>
      </c>
      <c r="B66" s="1310" t="s">
        <v>57</v>
      </c>
      <c r="C66" s="1311">
        <v>0</v>
      </c>
      <c r="D66" s="1311">
        <v>0</v>
      </c>
      <c r="E66" s="1311">
        <v>9</v>
      </c>
      <c r="F66" s="1311">
        <v>280014.78100000002</v>
      </c>
    </row>
    <row r="67" spans="1:6">
      <c r="A67" s="1310" t="s">
        <v>55</v>
      </c>
      <c r="B67" s="1310" t="s">
        <v>58</v>
      </c>
      <c r="C67" s="1311">
        <v>0</v>
      </c>
      <c r="D67" s="1311">
        <v>0</v>
      </c>
      <c r="E67" s="1311">
        <v>0</v>
      </c>
      <c r="F67" s="1311">
        <v>0</v>
      </c>
    </row>
    <row r="68" spans="1:6">
      <c r="A68" s="1305" t="s">
        <v>55</v>
      </c>
      <c r="B68" s="1305" t="s">
        <v>59</v>
      </c>
      <c r="C68" s="1313">
        <v>0</v>
      </c>
      <c r="D68" s="1313">
        <v>0</v>
      </c>
      <c r="E68" s="1313">
        <v>9</v>
      </c>
      <c r="F68" s="1313">
        <v>139572.54199999999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19246668</v>
      </c>
      <c r="E73" s="445"/>
      <c r="F73" s="326"/>
    </row>
    <row r="74" spans="1:6">
      <c r="A74" s="1310" t="s">
        <v>63</v>
      </c>
      <c r="B74" s="1310" t="s">
        <v>632</v>
      </c>
      <c r="C74" s="1323" t="s">
        <v>634</v>
      </c>
      <c r="D74" s="1311">
        <v>274932.34727002948</v>
      </c>
      <c r="E74" s="445"/>
      <c r="F74" s="326"/>
    </row>
    <row r="75" spans="1:6">
      <c r="A75" s="1310" t="s">
        <v>64</v>
      </c>
      <c r="B75" s="1310" t="s">
        <v>631</v>
      </c>
      <c r="C75" s="1323" t="s">
        <v>635</v>
      </c>
      <c r="D75" s="1311">
        <v>16357626</v>
      </c>
      <c r="E75" s="445"/>
      <c r="F75" s="326"/>
    </row>
    <row r="76" spans="1:6">
      <c r="A76" s="1310" t="s">
        <v>64</v>
      </c>
      <c r="B76" s="1310" t="s">
        <v>632</v>
      </c>
      <c r="C76" s="1323" t="s">
        <v>636</v>
      </c>
      <c r="D76" s="1311">
        <v>14104.347270029495</v>
      </c>
      <c r="E76" s="445"/>
      <c r="F76" s="326"/>
    </row>
    <row r="77" spans="1:6">
      <c r="A77" s="1310" t="s">
        <v>65</v>
      </c>
      <c r="B77" s="1310" t="s">
        <v>631</v>
      </c>
      <c r="C77" s="1323" t="s">
        <v>637</v>
      </c>
      <c r="D77" s="1311">
        <v>60570055</v>
      </c>
      <c r="E77" s="445"/>
      <c r="F77" s="326"/>
    </row>
    <row r="78" spans="1:6">
      <c r="A78" s="1305" t="s">
        <v>65</v>
      </c>
      <c r="B78" s="1305" t="s">
        <v>632</v>
      </c>
      <c r="C78" s="1305" t="s">
        <v>638</v>
      </c>
      <c r="D78" s="1313">
        <v>9783036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134113.30545994101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4187.6885821315154</v>
      </c>
      <c r="C91" s="326"/>
      <c r="D91" s="326"/>
      <c r="E91" s="326"/>
      <c r="F91" s="326"/>
    </row>
    <row r="92" spans="1:6">
      <c r="A92" s="1305" t="s">
        <v>68</v>
      </c>
      <c r="B92" s="1306">
        <v>1595.9014752860571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314</v>
      </c>
      <c r="C97" s="326"/>
      <c r="D97" s="326"/>
      <c r="E97" s="326"/>
      <c r="F97" s="326"/>
    </row>
    <row r="98" spans="1:6">
      <c r="A98" s="1310" t="s">
        <v>71</v>
      </c>
      <c r="B98" s="1311">
        <v>1</v>
      </c>
      <c r="C98" s="326"/>
      <c r="D98" s="326"/>
      <c r="E98" s="326"/>
      <c r="F98" s="326"/>
    </row>
    <row r="99" spans="1:6">
      <c r="A99" s="1310" t="s">
        <v>72</v>
      </c>
      <c r="B99" s="1311">
        <v>24</v>
      </c>
      <c r="C99" s="326"/>
      <c r="D99" s="326"/>
      <c r="E99" s="326"/>
      <c r="F99" s="326"/>
    </row>
    <row r="100" spans="1:6">
      <c r="A100" s="1310" t="s">
        <v>73</v>
      </c>
      <c r="B100" s="1311">
        <v>113</v>
      </c>
      <c r="C100" s="326"/>
      <c r="D100" s="326"/>
      <c r="E100" s="326"/>
      <c r="F100" s="326"/>
    </row>
    <row r="101" spans="1:6">
      <c r="A101" s="1310" t="s">
        <v>74</v>
      </c>
      <c r="B101" s="1311">
        <v>39</v>
      </c>
      <c r="C101" s="326"/>
      <c r="D101" s="326"/>
      <c r="E101" s="326"/>
      <c r="F101" s="326"/>
    </row>
    <row r="102" spans="1:6">
      <c r="A102" s="1310" t="s">
        <v>75</v>
      </c>
      <c r="B102" s="1311">
        <v>41</v>
      </c>
      <c r="C102" s="326"/>
      <c r="D102" s="326"/>
      <c r="E102" s="326"/>
      <c r="F102" s="326"/>
    </row>
    <row r="103" spans="1:6">
      <c r="A103" s="1310" t="s">
        <v>76</v>
      </c>
      <c r="B103" s="1311">
        <v>91</v>
      </c>
      <c r="C103" s="326"/>
      <c r="D103" s="326"/>
      <c r="E103" s="326"/>
      <c r="F103" s="326"/>
    </row>
    <row r="104" spans="1:6">
      <c r="A104" s="1310" t="s">
        <v>77</v>
      </c>
      <c r="B104" s="1311">
        <v>2838</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9</v>
      </c>
      <c r="C123" s="1311">
        <v>16</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106</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28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32848.19466996369</v>
      </c>
      <c r="C3" s="43" t="s">
        <v>163</v>
      </c>
      <c r="D3" s="43"/>
      <c r="E3" s="154"/>
      <c r="F3" s="43"/>
      <c r="G3" s="43"/>
      <c r="H3" s="43"/>
      <c r="I3" s="43"/>
      <c r="J3" s="43"/>
      <c r="K3" s="96"/>
    </row>
    <row r="4" spans="1:11">
      <c r="A4" s="352" t="s">
        <v>164</v>
      </c>
      <c r="B4" s="49">
        <f>IF(ISERROR('SEAP template'!B78+'SEAP template'!C78),0,'SEAP template'!B78+'SEAP template'!C78)</f>
        <v>5783.5900574175721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0.18208847333829151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520.53890999999999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520.53890999999999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0.18208847333829151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94.784135435078326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12260.200804</v>
      </c>
      <c r="C5" s="17">
        <f>IF(ISERROR('Eigen informatie GS &amp; warmtenet'!B59),0,'Eigen informatie GS &amp; warmtenet'!B59)</f>
        <v>0</v>
      </c>
      <c r="D5" s="30">
        <f>(SUM(HH_hh_gas_kWh,HH_rest_gas_kWh)/1000)*0.903</f>
        <v>23901.117090018</v>
      </c>
      <c r="E5" s="17">
        <f>B32*B41</f>
        <v>1400.1127656823758</v>
      </c>
      <c r="F5" s="17">
        <f>B36*B45</f>
        <v>30671.717699003537</v>
      </c>
      <c r="G5" s="18"/>
      <c r="H5" s="17"/>
      <c r="I5" s="17"/>
      <c r="J5" s="17">
        <f>B35*B44+C35*C44</f>
        <v>174.8014738476578</v>
      </c>
      <c r="K5" s="17"/>
      <c r="L5" s="17"/>
      <c r="M5" s="17"/>
      <c r="N5" s="17">
        <f>B34*B43+C34*C43</f>
        <v>5602.57557516204</v>
      </c>
      <c r="O5" s="17">
        <f>B52*B53*B54</f>
        <v>242.04290276521789</v>
      </c>
      <c r="P5" s="17">
        <f>B60*B61*B62/1000-B60*B61*B62/1000/B63</f>
        <v>400.29045369203089</v>
      </c>
    </row>
    <row r="6" spans="1:16">
      <c r="A6" s="16" t="s">
        <v>597</v>
      </c>
      <c r="B6" s="778">
        <f>kWh_PV_kleiner_dan_10kW</f>
        <v>4187.6885821315154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16447.889386131515</v>
      </c>
      <c r="C8" s="21">
        <f>C5</f>
        <v>0</v>
      </c>
      <c r="D8" s="21">
        <f>D5</f>
        <v>23901.117090018</v>
      </c>
      <c r="E8" s="21">
        <f>E5</f>
        <v>1400.1127656823758</v>
      </c>
      <c r="F8" s="21">
        <f>F5</f>
        <v>30671.717699003537</v>
      </c>
      <c r="G8" s="21"/>
      <c r="H8" s="21"/>
      <c r="I8" s="21"/>
      <c r="J8" s="21">
        <f>J5</f>
        <v>174.8014738476578</v>
      </c>
      <c r="K8" s="21"/>
      <c r="L8" s="21">
        <f>L5</f>
        <v>0</v>
      </c>
      <c r="M8" s="21">
        <f>M5</f>
        <v>0</v>
      </c>
      <c r="N8" s="21">
        <f>N5</f>
        <v>5602.57557516204</v>
      </c>
      <c r="O8" s="21">
        <f>O5</f>
        <v>242.04290276521789</v>
      </c>
      <c r="P8" s="21">
        <f>P5</f>
        <v>400.29045369203089</v>
      </c>
    </row>
    <row r="9" spans="1:16">
      <c r="B9" s="19"/>
      <c r="C9" s="19"/>
      <c r="D9" s="254"/>
      <c r="E9" s="19"/>
      <c r="F9" s="19"/>
      <c r="G9" s="19"/>
      <c r="H9" s="19"/>
      <c r="I9" s="19"/>
      <c r="J9" s="19"/>
      <c r="K9" s="19"/>
      <c r="L9" s="19"/>
      <c r="M9" s="19"/>
      <c r="N9" s="19"/>
      <c r="O9" s="19"/>
      <c r="P9" s="19"/>
    </row>
    <row r="10" spans="1:16">
      <c r="A10" s="24" t="s">
        <v>207</v>
      </c>
      <c r="B10" s="25">
        <f ca="1">'EF ele_warmte'!B12</f>
        <v>0.18208847333829151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2994.9710679577765</v>
      </c>
      <c r="C12" s="23">
        <f ca="1">C10*C8</f>
        <v>0</v>
      </c>
      <c r="D12" s="23">
        <f>D8*D10</f>
        <v>4828.0256521836363</v>
      </c>
      <c r="E12" s="23">
        <f>E10*E8</f>
        <v>317.82559780989931</v>
      </c>
      <c r="F12" s="23">
        <f>F10*F8</f>
        <v>8189.3486256339447</v>
      </c>
      <c r="G12" s="23"/>
      <c r="H12" s="23"/>
      <c r="I12" s="23"/>
      <c r="J12" s="23">
        <f>J10*J8</f>
        <v>61.879721742070856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3986</v>
      </c>
      <c r="C26" s="36"/>
      <c r="D26" s="225"/>
    </row>
    <row r="27" spans="1:5" s="15" customFormat="1">
      <c r="A27" s="227" t="s">
        <v>860</v>
      </c>
      <c r="B27" s="37">
        <f>SUM(HH_hh_gas_aantal,HH_rest_gas_aantal)</f>
        <v>1834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1742.3</v>
      </c>
      <c r="C31" s="34" t="s">
        <v>104</v>
      </c>
      <c r="D31" s="171"/>
    </row>
    <row r="32" spans="1:5">
      <c r="A32" s="168" t="s">
        <v>72</v>
      </c>
      <c r="B32" s="33">
        <f>IF((B21*($B$26-($B$27-0.05*$B$27)-$B$60))&lt;0,0,(B21*($B$26-($B$27-0.05*$B$27)-$B$60)))</f>
        <v>35.015925759211761</v>
      </c>
      <c r="C32" s="34" t="s">
        <v>104</v>
      </c>
      <c r="D32" s="171"/>
    </row>
    <row r="33" spans="1:6">
      <c r="A33" s="168" t="s">
        <v>73</v>
      </c>
      <c r="B33" s="33">
        <f>IF((B22*($B$26-($B$27-0.05*$B$27)-$B$60))&lt;0,0,B22*($B$26-($B$27-0.05*$B$27)-$B$60))</f>
        <v>568.58928452745715</v>
      </c>
      <c r="C33" s="34" t="s">
        <v>104</v>
      </c>
      <c r="D33" s="171"/>
    </row>
    <row r="34" spans="1:6">
      <c r="A34" s="168" t="s">
        <v>74</v>
      </c>
      <c r="B34" s="33">
        <f>IF((B24*($B$26-($B$27-0.05*$B$27)-$B$60))&lt;0,0,B24*($B$26-($B$27-0.05*$B$27)-$B$60))</f>
        <v>109.00617496959904</v>
      </c>
      <c r="C34" s="33">
        <f>B26*C24</f>
        <v>816.75507606888505</v>
      </c>
      <c r="D34" s="230"/>
    </row>
    <row r="35" spans="1:6">
      <c r="A35" s="168" t="s">
        <v>76</v>
      </c>
      <c r="B35" s="33">
        <f>IF((B19*($B$26-($B$27-0.05*$B$27)-$B$60))&lt;0,0,B19*($B$26-($B$27-0.05*$B$27)-$B$60))</f>
        <v>15.221339447277371</v>
      </c>
      <c r="C35" s="33">
        <f>B35/2</f>
        <v>7.6106697236386855</v>
      </c>
      <c r="D35" s="230"/>
    </row>
    <row r="36" spans="1:6">
      <c r="A36" s="168" t="s">
        <v>77</v>
      </c>
      <c r="B36" s="33">
        <f>IF((B18*($B$26-($B$27-0.05*$B$27)-$B$60))&lt;0,0,B18*($B$26-($B$27-0.05*$B$27)-$B$60))</f>
        <v>1477.867275296454</v>
      </c>
      <c r="C36" s="34" t="s">
        <v>104</v>
      </c>
      <c r="D36" s="171"/>
    </row>
    <row r="37" spans="1:6">
      <c r="A37" s="168" t="s">
        <v>78</v>
      </c>
      <c r="B37" s="33">
        <f>B60</f>
        <v>38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122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10554.571022</v>
      </c>
      <c r="C5" s="17">
        <f>IF(ISERROR('Eigen informatie GS &amp; warmtenet'!B60),0,'Eigen informatie GS &amp; warmtenet'!B60)</f>
        <v>0</v>
      </c>
      <c r="D5" s="30">
        <f>SUM(D6:D12)</f>
        <v>9474.7441838279992</v>
      </c>
      <c r="E5" s="17">
        <f>SUM(E6:E12)</f>
        <v>68.921560572044726</v>
      </c>
      <c r="F5" s="17">
        <f>SUM(F6:F12)</f>
        <v>1965.0079612413099</v>
      </c>
      <c r="G5" s="18"/>
      <c r="H5" s="17"/>
      <c r="I5" s="17"/>
      <c r="J5" s="17">
        <f>SUM(J6:J12)</f>
        <v>1.1897417308723023E-2</v>
      </c>
      <c r="K5" s="17"/>
      <c r="L5" s="17"/>
      <c r="M5" s="17"/>
      <c r="N5" s="17">
        <f>SUM(N6:N12)</f>
        <v>457.50232592737405</v>
      </c>
      <c r="O5" s="17">
        <f>B38*B39*B40</f>
        <v>4.8972607658411542</v>
      </c>
      <c r="P5" s="17">
        <f>B46*B47*B48/1000-B46*B47*B48/1000/B49</f>
        <v>52.539138306495019</v>
      </c>
      <c r="R5" s="32"/>
    </row>
    <row r="6" spans="1:18">
      <c r="A6" s="32" t="s">
        <v>53</v>
      </c>
      <c r="B6" s="37">
        <f>B26</f>
        <v>1252.004007</v>
      </c>
      <c r="C6" s="33"/>
      <c r="D6" s="37">
        <f>IF(ISERROR(TER_kantoor_gas_kWh/1000),0,TER_kantoor_gas_kWh/1000)*0.903</f>
        <v>1716.8881728180002</v>
      </c>
      <c r="E6" s="33">
        <f>$C$26*'E Balans VL '!I12/100/3.6*1000000</f>
        <v>0.29831565245349467</v>
      </c>
      <c r="F6" s="33">
        <f>$C$26*('E Balans VL '!L12+'E Balans VL '!N12)/100/3.6*1000000</f>
        <v>108.74881282568802</v>
      </c>
      <c r="G6" s="34"/>
      <c r="H6" s="33"/>
      <c r="I6" s="33"/>
      <c r="J6" s="33">
        <f>$C$26*('E Balans VL '!D12+'E Balans VL '!E12)/100/3.6*1000000</f>
        <v>0</v>
      </c>
      <c r="K6" s="33"/>
      <c r="L6" s="33"/>
      <c r="M6" s="33"/>
      <c r="N6" s="33">
        <f>$C$26*'E Balans VL '!Y12/100/3.6*1000000</f>
        <v>1.6734785109652923</v>
      </c>
      <c r="O6" s="33"/>
      <c r="P6" s="33"/>
      <c r="R6" s="32"/>
    </row>
    <row r="7" spans="1:18">
      <c r="A7" s="32" t="s">
        <v>52</v>
      </c>
      <c r="B7" s="37">
        <f t="shared" ref="B7:B12" si="0">B27</f>
        <v>909.3675770000001</v>
      </c>
      <c r="C7" s="33"/>
      <c r="D7" s="37">
        <f>IF(ISERROR(TER_horeca_gas_kWh/1000),0,TER_horeca_gas_kWh/1000)*0.903</f>
        <v>1090.729931781</v>
      </c>
      <c r="E7" s="33">
        <f>$C$27*'E Balans VL '!I9/100/3.6*1000000</f>
        <v>0</v>
      </c>
      <c r="F7" s="33">
        <f>$C$27*('E Balans VL '!L9+'E Balans VL '!N9)/100/3.6*1000000</f>
        <v>74.097000323214246</v>
      </c>
      <c r="G7" s="34"/>
      <c r="H7" s="33"/>
      <c r="I7" s="33"/>
      <c r="J7" s="33">
        <f>$C$27*('E Balans VL '!D9+'E Balans VL '!E9)/100/3.6*1000000</f>
        <v>0</v>
      </c>
      <c r="K7" s="33"/>
      <c r="L7" s="33"/>
      <c r="M7" s="33"/>
      <c r="N7" s="33">
        <f>$C$27*'E Balans VL '!Y9/100/3.6*1000000</f>
        <v>0.2518778888138376</v>
      </c>
      <c r="O7" s="33"/>
      <c r="P7" s="33"/>
      <c r="R7" s="32"/>
    </row>
    <row r="8" spans="1:18">
      <c r="A8" s="6" t="s">
        <v>51</v>
      </c>
      <c r="B8" s="37">
        <f t="shared" si="0"/>
        <v>6676.9478789999994</v>
      </c>
      <c r="C8" s="33"/>
      <c r="D8" s="37">
        <f>IF(ISERROR(TER_handel_gas_kWh/1000),0,TER_handel_gas_kWh/1000)*0.903</f>
        <v>4330.5663315599995</v>
      </c>
      <c r="E8" s="33">
        <f>$C$28*'E Balans VL '!I13/100/3.6*1000000</f>
        <v>53.372948039796007</v>
      </c>
      <c r="F8" s="33">
        <f>$C$28*('E Balans VL '!L13+'E Balans VL '!N13)/100/3.6*1000000</f>
        <v>663.31326544895489</v>
      </c>
      <c r="G8" s="34"/>
      <c r="H8" s="33"/>
      <c r="I8" s="33"/>
      <c r="J8" s="33">
        <f>$C$28*('E Balans VL '!D13+'E Balans VL '!E13)/100/3.6*1000000</f>
        <v>0</v>
      </c>
      <c r="K8" s="33"/>
      <c r="L8" s="33"/>
      <c r="M8" s="33"/>
      <c r="N8" s="33">
        <f>$C$28*'E Balans VL '!Y13/100/3.6*1000000</f>
        <v>2.4942374711991473</v>
      </c>
      <c r="O8" s="33"/>
      <c r="P8" s="33"/>
      <c r="R8" s="32"/>
    </row>
    <row r="9" spans="1:18">
      <c r="A9" s="32" t="s">
        <v>50</v>
      </c>
      <c r="B9" s="37">
        <f t="shared" si="0"/>
        <v>362.60953000000001</v>
      </c>
      <c r="C9" s="33"/>
      <c r="D9" s="37">
        <f>IF(ISERROR(TER_gezond_gas_kWh/1000),0,TER_gezond_gas_kWh/1000)*0.903</f>
        <v>398.65546024499997</v>
      </c>
      <c r="E9" s="33">
        <f>$C$29*'E Balans VL '!I10/100/3.6*1000000</f>
        <v>0</v>
      </c>
      <c r="F9" s="33">
        <f>$C$29*('E Balans VL '!L10+'E Balans VL '!N10)/100/3.6*1000000</f>
        <v>33.057767634404605</v>
      </c>
      <c r="G9" s="34"/>
      <c r="H9" s="33"/>
      <c r="I9" s="33"/>
      <c r="J9" s="33">
        <f>$C$29*('E Balans VL '!D10+'E Balans VL '!E10)/100/3.6*1000000</f>
        <v>0</v>
      </c>
      <c r="K9" s="33"/>
      <c r="L9" s="33"/>
      <c r="M9" s="33"/>
      <c r="N9" s="33">
        <f>$C$29*'E Balans VL '!Y10/100/3.6*1000000</f>
        <v>2.6503507081277342</v>
      </c>
      <c r="O9" s="33"/>
      <c r="P9" s="33"/>
      <c r="R9" s="32"/>
    </row>
    <row r="10" spans="1:18">
      <c r="A10" s="32" t="s">
        <v>49</v>
      </c>
      <c r="B10" s="37">
        <f t="shared" si="0"/>
        <v>1176.3115330000001</v>
      </c>
      <c r="C10" s="33"/>
      <c r="D10" s="37">
        <f>IF(ISERROR(TER_ander_gas_kWh/1000),0,TER_ander_gas_kWh/1000)*0.903</f>
        <v>1501.0222220910002</v>
      </c>
      <c r="E10" s="33">
        <f>$C$30*'E Balans VL '!I14/100/3.6*1000000</f>
        <v>15.25029687979522</v>
      </c>
      <c r="F10" s="33">
        <f>$C$30*('E Balans VL '!L14+'E Balans VL '!N14)/100/3.6*1000000</f>
        <v>1078.8428330361087</v>
      </c>
      <c r="G10" s="34"/>
      <c r="H10" s="33"/>
      <c r="I10" s="33"/>
      <c r="J10" s="33">
        <f>$C$30*('E Balans VL '!D14+'E Balans VL '!E14)/100/3.6*1000000</f>
        <v>1.1897417308723023E-2</v>
      </c>
      <c r="K10" s="33"/>
      <c r="L10" s="33"/>
      <c r="M10" s="33"/>
      <c r="N10" s="33">
        <f>$C$30*'E Balans VL '!Y14/100/3.6*1000000</f>
        <v>449.87392380281722</v>
      </c>
      <c r="O10" s="33"/>
      <c r="P10" s="33"/>
      <c r="R10" s="32"/>
    </row>
    <row r="11" spans="1:18">
      <c r="A11" s="32" t="s">
        <v>54</v>
      </c>
      <c r="B11" s="37">
        <f t="shared" si="0"/>
        <v>177.33049600000001</v>
      </c>
      <c r="C11" s="33"/>
      <c r="D11" s="37">
        <f>IF(ISERROR(TER_onderwijs_gas_kWh/1000),0,TER_onderwijs_gas_kWh/1000)*0.903</f>
        <v>436.88206533300001</v>
      </c>
      <c r="E11" s="33">
        <f>$C$31*'E Balans VL '!I11/100/3.6*1000000</f>
        <v>0</v>
      </c>
      <c r="F11" s="33">
        <f>$C$31*('E Balans VL '!L11+'E Balans VL '!N11)/100/3.6*1000000</f>
        <v>6.9482819729394851</v>
      </c>
      <c r="G11" s="34"/>
      <c r="H11" s="33"/>
      <c r="I11" s="33"/>
      <c r="J11" s="33">
        <f>$C$31*('E Balans VL '!D11+'E Balans VL '!E11)/100/3.6*1000000</f>
        <v>0</v>
      </c>
      <c r="K11" s="33"/>
      <c r="L11" s="33"/>
      <c r="M11" s="33"/>
      <c r="N11" s="33">
        <f>$C$31*'E Balans VL '!Y11/100/3.6*1000000</f>
        <v>0.55845754545085302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10554.571022</v>
      </c>
      <c r="C16" s="21">
        <f t="shared" ca="1" si="1"/>
        <v>0</v>
      </c>
      <c r="D16" s="21">
        <f t="shared" ca="1" si="1"/>
        <v>9474.7441838279992</v>
      </c>
      <c r="E16" s="21">
        <f t="shared" si="1"/>
        <v>68.921560572044726</v>
      </c>
      <c r="F16" s="21">
        <f t="shared" ca="1" si="1"/>
        <v>1965.0079612413099</v>
      </c>
      <c r="G16" s="21">
        <f t="shared" si="1"/>
        <v>0</v>
      </c>
      <c r="H16" s="21">
        <f t="shared" si="1"/>
        <v>0</v>
      </c>
      <c r="I16" s="21">
        <f t="shared" si="1"/>
        <v>0</v>
      </c>
      <c r="J16" s="21">
        <f t="shared" si="1"/>
        <v>1.1897417308723023E-2</v>
      </c>
      <c r="K16" s="21">
        <f t="shared" si="1"/>
        <v>0</v>
      </c>
      <c r="L16" s="21">
        <f t="shared" ca="1" si="1"/>
        <v>0</v>
      </c>
      <c r="M16" s="21">
        <f t="shared" si="1"/>
        <v>0</v>
      </c>
      <c r="N16" s="21">
        <f t="shared" ca="1" si="1"/>
        <v>457.50232592737405</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0.18208847333829151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1921.8657241365511</v>
      </c>
      <c r="C20" s="23">
        <f t="shared" ref="C20:P20" ca="1" si="2">C16*C18</f>
        <v>0</v>
      </c>
      <c r="D20" s="23">
        <f t="shared" ca="1" si="2"/>
        <v>1913.8983251332559</v>
      </c>
      <c r="E20" s="23">
        <f t="shared" si="2"/>
        <v>15.645194249854153</v>
      </c>
      <c r="F20" s="23">
        <f t="shared" ca="1" si="2"/>
        <v>524.65712565142974</v>
      </c>
      <c r="G20" s="23">
        <f t="shared" si="2"/>
        <v>0</v>
      </c>
      <c r="H20" s="23">
        <f t="shared" si="2"/>
        <v>0</v>
      </c>
      <c r="I20" s="23">
        <f t="shared" si="2"/>
        <v>0</v>
      </c>
      <c r="J20" s="23">
        <f t="shared" si="2"/>
        <v>4.2116857272879501E-3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1252.004007</v>
      </c>
      <c r="C26" s="39">
        <f>IF(ISERROR(B26*3.6/1000000/'E Balans VL '!Z12*100),0,B26*3.6/1000000/'E Balans VL '!Z12*100)</f>
        <v>3.5919877140859778E-2</v>
      </c>
      <c r="D26" s="233" t="s">
        <v>835</v>
      </c>
      <c r="F26" s="6"/>
    </row>
    <row r="27" spans="1:18" ht="30">
      <c r="A27" s="228" t="s">
        <v>52</v>
      </c>
      <c r="B27" s="33">
        <f>IF(ISERROR(TER_horeca_ele_kWh/1000),0,TER_horeca_ele_kWh/1000)</f>
        <v>909.3675770000001</v>
      </c>
      <c r="C27" s="39">
        <f>IF(ISERROR(B27*3.6/1000000/'E Balans VL '!Z9*100),0,B27*3.6/1000000/'E Balans VL '!Z9*100)</f>
        <v>6.6620590639479393E-2</v>
      </c>
      <c r="D27" s="233" t="s">
        <v>835</v>
      </c>
      <c r="F27" s="6"/>
    </row>
    <row r="28" spans="1:18" ht="30">
      <c r="A28" s="168" t="s">
        <v>51</v>
      </c>
      <c r="B28" s="33">
        <f>IF(ISERROR(TER_handel_ele_kWh/1000),0,TER_handel_ele_kWh/1000)</f>
        <v>6676.9478789999994</v>
      </c>
      <c r="C28" s="39">
        <f>IF(ISERROR(B28*3.6/1000000/'E Balans VL '!Z13*100),0,B28*3.6/1000000/'E Balans VL '!Z13*100)</f>
        <v>0.20632332114171359</v>
      </c>
      <c r="D28" s="233" t="s">
        <v>835</v>
      </c>
      <c r="F28" s="6"/>
    </row>
    <row r="29" spans="1:18" ht="30">
      <c r="A29" s="228" t="s">
        <v>50</v>
      </c>
      <c r="B29" s="33">
        <f>IF(ISERROR(TER_gezond_ele_kWh/1000),0,TER_gezond_ele_kWh/1000)</f>
        <v>362.60953000000001</v>
      </c>
      <c r="C29" s="39">
        <f>IF(ISERROR(B29*3.6/1000000/'E Balans VL '!Z10*100),0,B29*3.6/1000000/'E Balans VL '!Z10*100)</f>
        <v>3.5537963609682088E-2</v>
      </c>
      <c r="D29" s="233" t="s">
        <v>835</v>
      </c>
      <c r="F29" s="6"/>
    </row>
    <row r="30" spans="1:18" ht="30">
      <c r="A30" s="228" t="s">
        <v>49</v>
      </c>
      <c r="B30" s="33">
        <f>IF(ISERROR(TER_ander_ele_kWh/1000),0,TER_ander_ele_kWh/1000)</f>
        <v>1176.3115330000001</v>
      </c>
      <c r="C30" s="39">
        <f>IF(ISERROR(B30*3.6/1000000/'E Balans VL '!Z14*100),0,B30*3.6/1000000/'E Balans VL '!Z14*100)</f>
        <v>4.8726623789991895E-2</v>
      </c>
      <c r="D30" s="233" t="s">
        <v>835</v>
      </c>
      <c r="F30" s="6"/>
    </row>
    <row r="31" spans="1:18" ht="30">
      <c r="A31" s="228" t="s">
        <v>54</v>
      </c>
      <c r="B31" s="33">
        <f>IF(ISERROR(TER_onderwijs_ele_kWh/1000),0,TER_onderwijs_ele_kWh/1000)</f>
        <v>177.33049600000001</v>
      </c>
      <c r="C31" s="39">
        <f>IF(ISERROR(B31*3.6/1000000/'E Balans VL '!Z11*100),0,B31*3.6/1000000/'E Balans VL '!Z11*100)</f>
        <v>5.4488270109100567E-2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3790.3767659999999</v>
      </c>
      <c r="C5" s="17">
        <f>IF(ISERROR('Eigen informatie GS &amp; warmtenet'!B61),0,'Eigen informatie GS &amp; warmtenet'!B61)</f>
        <v>0</v>
      </c>
      <c r="D5" s="30">
        <f>SUM(D6:D15)</f>
        <v>2592.7981096079998</v>
      </c>
      <c r="E5" s="17">
        <f>SUM(E6:E15)</f>
        <v>23.709340692808865</v>
      </c>
      <c r="F5" s="17">
        <f>SUM(F6:F15)</f>
        <v>414.18336396875452</v>
      </c>
      <c r="G5" s="18"/>
      <c r="H5" s="17"/>
      <c r="I5" s="17"/>
      <c r="J5" s="17">
        <f>SUM(J6:J15)</f>
        <v>25.104077556825203</v>
      </c>
      <c r="K5" s="17"/>
      <c r="L5" s="17"/>
      <c r="M5" s="17"/>
      <c r="N5" s="17">
        <f>SUM(N6:N15)</f>
        <v>464.00927513900217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1257.2141569999999</v>
      </c>
      <c r="C8" s="33"/>
      <c r="D8" s="37">
        <f>IF( ISERROR(IND_metaal_Gas_kWH/1000),0,IND_metaal_Gas_kWH/1000)*0.903</f>
        <v>647.53907410500005</v>
      </c>
      <c r="E8" s="33">
        <f>C30*'E Balans VL '!I18/100/3.6*1000000</f>
        <v>6.853270441748716</v>
      </c>
      <c r="F8" s="33">
        <f>C30*'E Balans VL '!L18/100/3.6*1000000+C30*'E Balans VL '!N18/100/3.6*1000000</f>
        <v>80.964687740213733</v>
      </c>
      <c r="G8" s="34"/>
      <c r="H8" s="33"/>
      <c r="I8" s="33"/>
      <c r="J8" s="40">
        <f>C30*'E Balans VL '!D18/100/3.6*1000000+C30*'E Balans VL '!E18/100/3.6*1000000</f>
        <v>1.0298117475644013</v>
      </c>
      <c r="K8" s="33"/>
      <c r="L8" s="33"/>
      <c r="M8" s="33"/>
      <c r="N8" s="33">
        <f>C30*'E Balans VL '!Y18/100/3.6*1000000</f>
        <v>27.161281098770594</v>
      </c>
      <c r="O8" s="33"/>
      <c r="P8" s="33"/>
      <c r="R8" s="32"/>
    </row>
    <row r="9" spans="1:18">
      <c r="A9" s="6" t="s">
        <v>32</v>
      </c>
      <c r="B9" s="37">
        <f t="shared" si="0"/>
        <v>306.43822700000004</v>
      </c>
      <c r="C9" s="33"/>
      <c r="D9" s="37">
        <f>IF( ISERROR(IND_andere_gas_kWh/1000),0,IND_andere_gas_kWh/1000)*0.903</f>
        <v>488.78834745300003</v>
      </c>
      <c r="E9" s="33">
        <f>C31*'E Balans VL '!I19/100/3.6*1000000</f>
        <v>0.98923478335632697</v>
      </c>
      <c r="F9" s="33">
        <f>C31*'E Balans VL '!L19/100/3.6*1000000+C31*'E Balans VL '!N19/100/3.6*1000000</f>
        <v>198.14536313710298</v>
      </c>
      <c r="G9" s="34"/>
      <c r="H9" s="33"/>
      <c r="I9" s="33"/>
      <c r="J9" s="40">
        <f>C31*'E Balans VL '!D19/100/3.6*1000000+C31*'E Balans VL '!E19/100/3.6*1000000</f>
        <v>0</v>
      </c>
      <c r="K9" s="33"/>
      <c r="L9" s="33"/>
      <c r="M9" s="33"/>
      <c r="N9" s="33">
        <f>C31*'E Balans VL '!Y19/100/3.6*1000000</f>
        <v>12.382814785874924</v>
      </c>
      <c r="O9" s="33"/>
      <c r="P9" s="33"/>
      <c r="R9" s="32"/>
    </row>
    <row r="10" spans="1:18">
      <c r="A10" s="6" t="s">
        <v>40</v>
      </c>
      <c r="B10" s="37">
        <f t="shared" si="0"/>
        <v>1450.5864630000001</v>
      </c>
      <c r="C10" s="33"/>
      <c r="D10" s="37">
        <f>IF( ISERROR(IND_voed_gas_kWh/1000),0,IND_voed_gas_kWh/1000)*0.903</f>
        <v>275.69123040900001</v>
      </c>
      <c r="E10" s="33">
        <f>C32*'E Balans VL '!I20/100/3.6*1000000</f>
        <v>3.0407847268356272</v>
      </c>
      <c r="F10" s="33">
        <f>C32*'E Balans VL '!L20/100/3.6*1000000+C32*'E Balans VL '!N20/100/3.6*1000000</f>
        <v>28.262437347860715</v>
      </c>
      <c r="G10" s="34"/>
      <c r="H10" s="33"/>
      <c r="I10" s="33"/>
      <c r="J10" s="40">
        <f>C32*'E Balans VL '!D20/100/3.6*1000000+C32*'E Balans VL '!E20/100/3.6*1000000</f>
        <v>0</v>
      </c>
      <c r="K10" s="33"/>
      <c r="L10" s="33"/>
      <c r="M10" s="33"/>
      <c r="N10" s="33">
        <f>C32*'E Balans VL '!Y20/100/3.6*1000000</f>
        <v>57.700307883064916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667.38836100000003</v>
      </c>
      <c r="C12" s="33"/>
      <c r="D12" s="37">
        <f>IF( ISERROR(IND_min_gas_kWh/1000),0,IND_min_gas_kWh/1000)*0.903</f>
        <v>985.48973176499999</v>
      </c>
      <c r="E12" s="33">
        <f>C34*'E Balans VL '!I22/100/3.6*1000000</f>
        <v>10.92184982772841</v>
      </c>
      <c r="F12" s="33">
        <f>C34*'E Balans VL '!L22/100/3.6*1000000+C34*'E Balans VL '!N22/100/3.6*1000000</f>
        <v>101.86637415186712</v>
      </c>
      <c r="G12" s="34"/>
      <c r="H12" s="33"/>
      <c r="I12" s="33"/>
      <c r="J12" s="40">
        <f>C34*'E Balans VL '!D22/100/3.6*1000000+C34*'E Balans VL '!E22/100/3.6*1000000</f>
        <v>23.883537395480428</v>
      </c>
      <c r="K12" s="33"/>
      <c r="L12" s="33"/>
      <c r="M12" s="33"/>
      <c r="N12" s="33">
        <f>C34*'E Balans VL '!Y22/100/3.6*1000000</f>
        <v>365.74298638746376</v>
      </c>
      <c r="O12" s="33"/>
      <c r="P12" s="33"/>
      <c r="R12" s="32"/>
    </row>
    <row r="13" spans="1:18">
      <c r="A13" s="6" t="s">
        <v>38</v>
      </c>
      <c r="B13" s="37">
        <f t="shared" si="0"/>
        <v>76.405062999999998</v>
      </c>
      <c r="C13" s="33"/>
      <c r="D13" s="37">
        <f>IF( ISERROR(IND_papier_gas_kWh/1000),0,IND_papier_gas_kWh/1000)*0.903</f>
        <v>0</v>
      </c>
      <c r="E13" s="33">
        <f>C35*'E Balans VL '!I23/100/3.6*1000000</f>
        <v>0</v>
      </c>
      <c r="F13" s="33">
        <f>C35*'E Balans VL '!L23/100/3.6*1000000+C35*'E Balans VL '!N23/100/3.6*1000000</f>
        <v>1.0234699068430136E-2</v>
      </c>
      <c r="G13" s="34"/>
      <c r="H13" s="33"/>
      <c r="I13" s="33"/>
      <c r="J13" s="40">
        <f>C35*'E Balans VL '!D23/100/3.6*1000000+C35*'E Balans VL '!E23/100/3.6*1000000</f>
        <v>1.5113402199811549E-2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32.344495000000002</v>
      </c>
      <c r="C15" s="33"/>
      <c r="D15" s="37">
        <f>IF( ISERROR(IND_rest_gas_kWh/1000),0,IND_rest_gas_kWh/1000)*0.903</f>
        <v>195.28972587599998</v>
      </c>
      <c r="E15" s="33">
        <f>C37*'E Balans VL '!I15/100/3.6*1000000</f>
        <v>1.9042009131397852</v>
      </c>
      <c r="F15" s="33">
        <f>C37*'E Balans VL '!L15/100/3.6*1000000+C37*'E Balans VL '!N15/100/3.6*1000000</f>
        <v>4.9342668926414932</v>
      </c>
      <c r="G15" s="34"/>
      <c r="H15" s="33"/>
      <c r="I15" s="33"/>
      <c r="J15" s="40">
        <f>C37*'E Balans VL '!D15/100/3.6*1000000+C37*'E Balans VL '!E15/100/3.6*1000000</f>
        <v>0.175615011580562</v>
      </c>
      <c r="K15" s="33"/>
      <c r="L15" s="33"/>
      <c r="M15" s="33"/>
      <c r="N15" s="33">
        <f>C37*'E Balans VL '!Y15/100/3.6*1000000</f>
        <v>1.0218849838279711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3790.3767659999999</v>
      </c>
      <c r="C18" s="21">
        <f>C5+C16</f>
        <v>0</v>
      </c>
      <c r="D18" s="21">
        <f>MAX((D5+D16),0)</f>
        <v>2592.7981096079998</v>
      </c>
      <c r="E18" s="21">
        <f>MAX((E5+E16),0)</f>
        <v>23.709340692808865</v>
      </c>
      <c r="F18" s="21">
        <f>MAX((F5+F16),0)</f>
        <v>414.18336396875452</v>
      </c>
      <c r="G18" s="21"/>
      <c r="H18" s="21"/>
      <c r="I18" s="21"/>
      <c r="J18" s="21">
        <f>MAX((J5+J16),0)</f>
        <v>25.104077556825203</v>
      </c>
      <c r="K18" s="21"/>
      <c r="L18" s="21">
        <f>MAX((L5+L16),0)</f>
        <v>0</v>
      </c>
      <c r="M18" s="21"/>
      <c r="N18" s="21">
        <f>MAX((N5+N16),0)</f>
        <v>464.00927513900217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0.18208847333829151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690.18391869787058</v>
      </c>
      <c r="C22" s="23">
        <f ca="1">C18*C20</f>
        <v>0</v>
      </c>
      <c r="D22" s="23">
        <f>D18*D20</f>
        <v>523.74521814081595</v>
      </c>
      <c r="E22" s="23">
        <f>E18*E20</f>
        <v>5.3820203372676128</v>
      </c>
      <c r="F22" s="23">
        <f>F18*F20</f>
        <v>110.58695817965746</v>
      </c>
      <c r="G22" s="23"/>
      <c r="H22" s="23"/>
      <c r="I22" s="23"/>
      <c r="J22" s="23">
        <f>J18*J20</f>
        <v>8.8868434551161215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1257.2141569999999</v>
      </c>
      <c r="C30" s="39">
        <f>IF(ISERROR(B30*3.6/1000000/'E Balans VL '!Z18*100),0,B30*3.6/1000000/'E Balans VL '!Z18*100)</f>
        <v>7.5705989202202506E-2</v>
      </c>
      <c r="D30" s="233" t="s">
        <v>835</v>
      </c>
    </row>
    <row r="31" spans="1:18" ht="30">
      <c r="A31" s="6" t="s">
        <v>32</v>
      </c>
      <c r="B31" s="37">
        <f>IF( ISERROR(IND_ander_ele_kWh/1000),0,IND_ander_ele_kWh/1000)</f>
        <v>306.43822700000004</v>
      </c>
      <c r="C31" s="39">
        <f>IF(ISERROR(B31*3.6/1000000/'E Balans VL '!Z19*100),0,B31*3.6/1000000/'E Balans VL '!Z19*100)</f>
        <v>1.2484927768117469E-2</v>
      </c>
      <c r="D31" s="233" t="s">
        <v>835</v>
      </c>
    </row>
    <row r="32" spans="1:18" ht="30">
      <c r="A32" s="168" t="s">
        <v>40</v>
      </c>
      <c r="B32" s="37">
        <f>IF( ISERROR(IND_voed_ele_kWh/1000),0,IND_voed_ele_kWh/1000)</f>
        <v>1450.5864630000001</v>
      </c>
      <c r="C32" s="39">
        <f>IF(ISERROR(B32*3.6/1000000/'E Balans VL '!Z20*100),0,B32*3.6/1000000/'E Balans VL '!Z20*100)</f>
        <v>4.1942292241458491E-2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667.38836100000003</v>
      </c>
      <c r="C34" s="39">
        <f>IF(ISERROR(B34*3.6/1000000/'E Balans VL '!Z22*100),0,B34*3.6/1000000/'E Balans VL '!Z22*100)</f>
        <v>0.28496862860840999</v>
      </c>
      <c r="D34" s="233" t="s">
        <v>835</v>
      </c>
    </row>
    <row r="35" spans="1:5" ht="30">
      <c r="A35" s="168" t="s">
        <v>38</v>
      </c>
      <c r="B35" s="37">
        <f>IF( ISERROR(IND_papier_ele_kWh/1000),0,IND_papier_ele_kWh/1000)</f>
        <v>76.405062999999998</v>
      </c>
      <c r="C35" s="39">
        <f>IF(ISERROR(B35*3.6/1000000/'E Balans VL '!Z22*100),0,B35*3.6/1000000/'E Balans VL '!Z22*100)</f>
        <v>3.2624251926157227E-2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32.344495000000002</v>
      </c>
      <c r="C37" s="39">
        <f>IF(ISERROR(B37*3.6/1000000/'E Balans VL '!Z15*100),0,B37*3.6/1000000/'E Balans VL '!Z15*100)</f>
        <v>2.6557280236822318E-4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1037.12167</v>
      </c>
      <c r="C5" s="17">
        <f>'Eigen informatie GS &amp; warmtenet'!B62</f>
        <v>0</v>
      </c>
      <c r="D5" s="30">
        <f>IF(ISERROR(SUM(LB_lb_gas_kWh,LB_rest_gas_kWh)/1000),0,SUM(LB_lb_gas_kWh,LB_rest_gas_kWh)/1000)*0.903</f>
        <v>171.65874413099999</v>
      </c>
      <c r="E5" s="17">
        <f>B17*'E Balans VL '!I25/3.6*1000000/100</f>
        <v>29.704919759994105</v>
      </c>
      <c r="F5" s="17">
        <f>B17*('E Balans VL '!L25/3.6*1000000+'E Balans VL '!N25/3.6*1000000)/100</f>
        <v>3282.9914687300898</v>
      </c>
      <c r="G5" s="18"/>
      <c r="H5" s="17"/>
      <c r="I5" s="17"/>
      <c r="J5" s="17">
        <f>('E Balans VL '!D25+'E Balans VL '!E25)/3.6*1000000*landbouw!B17/100</f>
        <v>263.70747257977018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1037.12167</v>
      </c>
      <c r="C8" s="21">
        <f>C5+C6</f>
        <v>0</v>
      </c>
      <c r="D8" s="21">
        <f>MAX((D5+D6),0)</f>
        <v>171.65874413099999</v>
      </c>
      <c r="E8" s="21">
        <f>MAX((E5+E6),0)</f>
        <v>29.704919759994105</v>
      </c>
      <c r="F8" s="21">
        <f>MAX((F5+F6),0)</f>
        <v>3282.9914687300898</v>
      </c>
      <c r="G8" s="21"/>
      <c r="H8" s="21"/>
      <c r="I8" s="21"/>
      <c r="J8" s="21">
        <f>MAX((J5+J6),0)</f>
        <v>263.70747257977018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0.18208847333829151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188.84790155635937</v>
      </c>
      <c r="C12" s="23">
        <f ca="1">C8*C10</f>
        <v>0</v>
      </c>
      <c r="D12" s="23">
        <f>D8*D10</f>
        <v>34.675066314462001</v>
      </c>
      <c r="E12" s="23">
        <f>E8*E10</f>
        <v>6.7430167855186625</v>
      </c>
      <c r="F12" s="23">
        <f>F8*F10</f>
        <v>876.55872215093405</v>
      </c>
      <c r="G12" s="23"/>
      <c r="H12" s="23"/>
      <c r="I12" s="23"/>
      <c r="J12" s="23">
        <f>J8*J10</f>
        <v>93.352445293238645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0.1436178236716093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58.723956609031838</v>
      </c>
      <c r="C26" s="243">
        <f>B26*'GWP N2O_CH4'!B5</f>
        <v>1233.2030887896685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42.224972038623434</v>
      </c>
      <c r="C27" s="243">
        <f>B27*'GWP N2O_CH4'!B5</f>
        <v>886.72441281109218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0.9316757719606189</v>
      </c>
      <c r="C28" s="243">
        <f>B28*'GWP N2O_CH4'!B4</f>
        <v>288.81948930779186</v>
      </c>
      <c r="D28" s="50"/>
    </row>
    <row r="29" spans="1:4">
      <c r="A29" s="41" t="s">
        <v>266</v>
      </c>
      <c r="B29" s="243">
        <f>B34*'ha_N2O bodem landbouw'!B4</f>
        <v>10.701396365928627</v>
      </c>
      <c r="C29" s="243">
        <f>B29*'GWP N2O_CH4'!B4</f>
        <v>3317.4328734378742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2.431165728476529E-3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7.8245467775735602E-4</v>
      </c>
      <c r="C5" s="432" t="s">
        <v>204</v>
      </c>
      <c r="D5" s="417">
        <f>SUM(D6:D11)</f>
        <v>1.2633712697888786E-3</v>
      </c>
      <c r="E5" s="417">
        <f>SUM(E6:E11)</f>
        <v>5.5727113985908929E-4</v>
      </c>
      <c r="F5" s="430" t="s">
        <v>204</v>
      </c>
      <c r="G5" s="417">
        <f>SUM(G6:G11)</f>
        <v>0.24637154163636285</v>
      </c>
      <c r="H5" s="417">
        <f>SUM(H6:H11)</f>
        <v>6.3548917580188338E-2</v>
      </c>
      <c r="I5" s="432" t="s">
        <v>204</v>
      </c>
      <c r="J5" s="432" t="s">
        <v>204</v>
      </c>
      <c r="K5" s="432" t="s">
        <v>204</v>
      </c>
      <c r="L5" s="432" t="s">
        <v>204</v>
      </c>
      <c r="M5" s="417">
        <f>SUM(M6:M11)</f>
        <v>1.8651289745921014E-2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1.3496158950622851E-4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2.2501960486800675E-4</v>
      </c>
      <c r="E6" s="884">
        <f>vkm_GW_PW*SUMIFS(TableVerdeelsleutelVkm[LPG],TableVerdeelsleutelVkm[Voertuigtype],"Lichte voertuigen")*SUMIFS(TableECFTransport[EnergieConsumptieFactor (PJ per km)],TableECFTransport[Index],CONCATENATE($A6,"_LPG_LPG"))</f>
        <v>8.9211121292217654E-5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2.681018297095257E-2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1.1035355262421985E-2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2.3217121607655034E-3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6.6890567835462534E-8</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2.6515842708405286E-3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1.9564853880238392E-8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1.5224948462031276E-4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1.4312815490269691E-4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3.2682644624262749E-4</v>
      </c>
      <c r="E8" s="420">
        <f>vkm_NGW_PW*SUMIFS(TableVerdeelsleutelVkm[LPG],TableVerdeelsleutelVkm[Voertuigtype],"Lichte voertuigen")*SUMIFS(TableECFTransport[EnergieConsumptieFactor (PJ per km)],TableECFTransport[Index],CONCATENATE($A8,"_LPG_LPG"))</f>
        <v>1.2406500160331492E-4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3.4152623755233549E-2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1.5878482696795381E-2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3.0866432906730356E-3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3.4315634635534734E-9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1.7517382241569803E-4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1.2114910425671883E-9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1.0058178893864241E-5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5.0191441536279636E-4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7.1152521867824442E-4</v>
      </c>
      <c r="E10" s="420">
        <f>vkm_SW_PW*SUMIFS(TableVerdeelsleutelVkm[LPG],TableVerdeelsleutelVkm[Voertuigtype],"Lichte voertuigen")*SUMIFS(TableECFTransport[EnergieConsumptieFactor (PJ per km)],TableECFTransport[Index],CONCATENATE($A10,"_LPG_LPG"))</f>
        <v>3.4399501696355674E-4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9.3789205049438745E-2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3.6634342280833468E-2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7.9822914845045761E-3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2.3801958543352087E-6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8.8792771767481765E-2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7.1656379257484441E-7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5.0983351464637212E-3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217.34852159926555</v>
      </c>
      <c r="C14" s="21"/>
      <c r="D14" s="21">
        <f t="shared" ref="D14:M14" si="0">((D5)*10^9/3600)+D12</f>
        <v>350.93646383024407</v>
      </c>
      <c r="E14" s="21">
        <f t="shared" si="0"/>
        <v>154.79753884974701</v>
      </c>
      <c r="F14" s="21"/>
      <c r="G14" s="21">
        <f t="shared" si="0"/>
        <v>68436.539343434124</v>
      </c>
      <c r="H14" s="21">
        <f t="shared" si="0"/>
        <v>17652.477105607872</v>
      </c>
      <c r="I14" s="21"/>
      <c r="J14" s="21"/>
      <c r="K14" s="21"/>
      <c r="L14" s="21"/>
      <c r="M14" s="21">
        <f t="shared" si="0"/>
        <v>5180.9138183113937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0.18208847333829151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39.576660480344941</v>
      </c>
      <c r="C18" s="23"/>
      <c r="D18" s="23">
        <f t="shared" ref="D18:M18" si="1">D14*D16</f>
        <v>70.889165693709302</v>
      </c>
      <c r="E18" s="23">
        <f t="shared" si="1"/>
        <v>35.139041318892573</v>
      </c>
      <c r="F18" s="23"/>
      <c r="G18" s="23">
        <f t="shared" si="1"/>
        <v>18272.556004696911</v>
      </c>
      <c r="H18" s="23">
        <f t="shared" si="1"/>
        <v>4395.4667992963596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2.5884800038458701E-5</v>
      </c>
      <c r="C50" s="315">
        <f t="shared" ref="C50:P50" si="2">SUM(C51:C52)</f>
        <v>0</v>
      </c>
      <c r="D50" s="315">
        <f t="shared" si="2"/>
        <v>0</v>
      </c>
      <c r="E50" s="315">
        <f t="shared" si="2"/>
        <v>0</v>
      </c>
      <c r="F50" s="315">
        <f t="shared" si="2"/>
        <v>0</v>
      </c>
      <c r="G50" s="315">
        <f t="shared" si="2"/>
        <v>1.6204667376387401E-3</v>
      </c>
      <c r="H50" s="315">
        <f t="shared" si="2"/>
        <v>0</v>
      </c>
      <c r="I50" s="315">
        <f t="shared" si="2"/>
        <v>0</v>
      </c>
      <c r="J50" s="315">
        <f t="shared" si="2"/>
        <v>0</v>
      </c>
      <c r="K50" s="315">
        <f t="shared" si="2"/>
        <v>0</v>
      </c>
      <c r="L50" s="315">
        <f t="shared" si="2"/>
        <v>0</v>
      </c>
      <c r="M50" s="315">
        <f t="shared" si="2"/>
        <v>9.304361198454435E-5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2.5884800038458701E-5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1.6204667376387401E-3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9.304361198454435E-5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7.1902222329051941</v>
      </c>
      <c r="C54" s="21">
        <f t="shared" ref="C54:P54" si="3">(C50)*10^9/3600</f>
        <v>0</v>
      </c>
      <c r="D54" s="21">
        <f t="shared" si="3"/>
        <v>0</v>
      </c>
      <c r="E54" s="21">
        <f t="shared" si="3"/>
        <v>0</v>
      </c>
      <c r="F54" s="21">
        <f t="shared" si="3"/>
        <v>0</v>
      </c>
      <c r="G54" s="21">
        <f t="shared" si="3"/>
        <v>450.12964934409445</v>
      </c>
      <c r="H54" s="21">
        <f t="shared" si="3"/>
        <v>0</v>
      </c>
      <c r="I54" s="21">
        <f t="shared" si="3"/>
        <v>0</v>
      </c>
      <c r="J54" s="21">
        <f t="shared" si="3"/>
        <v>0</v>
      </c>
      <c r="K54" s="21">
        <f t="shared" si="3"/>
        <v>0</v>
      </c>
      <c r="L54" s="21">
        <f t="shared" si="3"/>
        <v>0</v>
      </c>
      <c r="M54" s="21">
        <f t="shared" si="3"/>
        <v>25.84544777348454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0.18208847333829151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1.3092565893527484</v>
      </c>
      <c r="C58" s="23">
        <f t="shared" ref="C58:P58" ca="1" si="4">C54*C56</f>
        <v>0</v>
      </c>
      <c r="D58" s="23">
        <f t="shared" si="4"/>
        <v>0</v>
      </c>
      <c r="E58" s="23">
        <f t="shared" si="4"/>
        <v>0</v>
      </c>
      <c r="F58" s="23">
        <f t="shared" si="4"/>
        <v>0</v>
      </c>
      <c r="G58" s="23">
        <f t="shared" si="4"/>
        <v>120.18461637487323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5783.5900574175721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5783.5900574175721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2021-11-11T12:21:52Z</dcterms:modified>
</cp:coreProperties>
</file>