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FB250CC-4401-4417-9164-B34E4842430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5"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7" i="19"/>
  <c r="C19" i="19" s="1"/>
  <c r="D39" i="14" s="1"/>
  <c r="C18" i="15"/>
  <c r="C20" i="15" s="1"/>
  <c r="D40" i="14" s="1"/>
  <c r="C10" i="13"/>
  <c r="C12" i="13" s="1"/>
  <c r="C56" i="22"/>
  <c r="C58" i="22" s="1"/>
  <c r="D49" i="14" s="1"/>
  <c r="D52" i="14" s="1"/>
  <c r="C20" i="16"/>
  <c r="C22" i="16" s="1"/>
  <c r="D43" i="14" s="1"/>
  <c r="C22" i="59"/>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<sst xmlns="http://schemas.openxmlformats.org/spreadsheetml/2006/main" count="2422" uniqueCount="871">
  <si>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</si>
  <si>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</si>
  <si>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</si>
  <si>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</si>
  <si>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</si>
  <si>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</si>
  <si>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</si>
  <si>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</si>
  <si>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</si>
  <si>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</si>
  <si>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</si>
  <si>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</si>
  <si>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</si>
  <si>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</si>
  <si>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</si>
  <si>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</si>
  <si>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</si>
  <si>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</si>
  <si>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</si>
  <si>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</si>
  <si>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</si>
  <si>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</si>
  <si>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</si>
  <si>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</si>
  <si>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</si>
  <si>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</si>
  <si>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</si>
  <si>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</si>
  <si>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</si>
  <si>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</si>
  <si>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</si>
  <si>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</si>
  <si>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</si>
  <si>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</si>
  <si>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</si>
  <si>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</si>
  <si>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</si>
  <si>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</si>
  <si>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</si>
  <si>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</si>
  <si>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</si>
  <si>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</si>
  <si>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</si>
  <si>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</si>
  <si>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</si>
  <si>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</si>
  <si>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</si>
  <si>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</si>
  <si>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</si>
  <si>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</si>
  <si>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</si>
  <si>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</si>
  <si>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</si>
  <si>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</si>
  <si>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</si>
  <si>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</si>
  <si>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</si>
  <si>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</si>
  <si>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</si>
  <si>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</si>
  <si>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</si>
  <si>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</si>
  <si>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</si>
  <si>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</si>
  <si>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</si>
  <si>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</si>
  <si>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</si>
  <si>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</si>
  <si>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</si>
  <si>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</si>
  <si>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</si>
  <si>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</si>
  <si>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</si>
  <si>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</si>
  <si>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</si>
  <si>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</si>
  <si>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</si>
  <si>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</si>
  <si>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</si>
  <si>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</si>
  <si>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</si>
  <si>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</si>
  <si>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</si>
  <si>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</si>
  <si>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</si>
  <si>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</si>
  <si>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</si>
  <si>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</si>
  <si>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</si>
  <si>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</si>
  <si>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</si>
  <si>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</si>
  <si>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</si>
  <si>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</si>
  <si>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</si>
  <si>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</si>
  <si>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</si>
  <si>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</si>
  <si>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</si>
  <si>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</si>
  <si>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</si>
  <si>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</si>
  <si>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</si>
  <si>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</si>
  <si>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</si>
  <si>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</si>
  <si>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</si>
  <si>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</si>
  <si>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</si>
  <si>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</si>
  <si>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</si>
  <si>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</si>
  <si>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</si>
  <si>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</si>
  <si>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</si>
  <si>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</si>
  <si>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</si>
  <si>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</si>
  <si>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</si>
  <si>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</si>
  <si>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</si>
  <si>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</si>
  <si>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</si>
  <si>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</si>
  <si>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</si>
  <si>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</si>
  <si>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</si>
  <si>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</si>
  <si>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</si>
  <si>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</si>
  <si>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</si>
  <si>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</si>
  <si>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</si>
  <si>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</si>
  <si>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</si>
  <si>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</si>
  <si>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</si>
  <si>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</si>
  <si>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</si>
  <si>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</si>
  <si>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</si>
  <si>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</si>
  <si>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</si>
  <si>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</si>
  <si>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</si>
  <si>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</si>
  <si>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</si>
  <si>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</si>
  <si>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</si>
  <si>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</si>
  <si>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</si>
  <si>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</si>
  <si>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</si>
  <si>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</si>
  <si>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</si>
  <si>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</si>
  <si>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</si>
  <si>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</si>
  <si>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</si>
  <si>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</si>
  <si>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</si>
  <si>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</si>
  <si>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</si>
  <si>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</si>
  <si>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</si>
  <si>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</si>
  <si>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</si>
  <si>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</si>
  <si>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</si>
  <si>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</si>
  <si>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</si>
  <si>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</si>
  <si>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</si>
  <si>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</si>
  <si>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</si>
  <si>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</si>
  <si>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</si>
  <si>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</si>
  <si>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</si>
  <si>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</si>
  <si>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</si>
  <si>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</si>
  <si>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</si>
  <si>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</si>
  <si>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</si>
  <si>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</si>
  <si>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</si>
  <si>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</si>
  <si>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</si>
  <si>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</si>
  <si>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</si>
  <si>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</si>
  <si>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</si>
  <si>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</si>
  <si>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</si>
  <si>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</si>
  <si>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</si>
  <si>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</si>
  <si>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</si>
  <si>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</si>
  <si>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</si>
  <si>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</si>
  <si>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</si>
  <si>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</si>
  <si>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</si>
  <si>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</si>
  <si>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</si>
  <si>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</si>
  <si>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</si>
  <si>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</si>
  <si>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</si>
  <si>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</si>
  <si>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</si>
  <si>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</si>
  <si>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</si>
  <si>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</si>
  <si>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</si>
  <si>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</si>
  <si>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</si>
  <si>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</si>
  <si>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</si>
  <si>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</si>
  <si>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</si>
  <si>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</si>
  <si>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</si>
  <si>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</si>
  <si>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</si>
  <si>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</si>
  <si>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</si>
  <si>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</si>
  <si>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</si>
  <si>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</si>
  <si>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</si>
  <si>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</si>
  <si>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</si>
  <si>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</si>
  <si>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</si>
  <si>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</si>
  <si>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</si>
  <si>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</si>
  <si>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</si>
  <si>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</si>
  <si>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</si>
  <si>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</si>
  <si>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</si>
  <si>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</si>
  <si>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</si>
  <si>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</si>
  <si>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</si>
  <si>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</si>
  <si>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</si>
  <si>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</si>
  <si>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</si>
  <si>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</si>
  <si>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</si>
  <si>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</si>
  <si>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</si>
  <si>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</si>
  <si>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</si>
  <si>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</si>
  <si>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</si>
  <si>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</si>
  <si>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</si>
  <si>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</si>
  <si>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</si>
  <si>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</si>
  <si>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</si>
  <si>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</si>
  <si>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</si>
  <si>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</si>
  <si>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</si>
  <si>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</si>
  <si>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</si>
  <si>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</si>
  <si>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</si>
  <si>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</si>
  <si>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</si>
  <si>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</si>
  <si>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</si>
  <si>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</si>
  <si>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</si>
  <si>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</si>
  <si>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</si>
  <si>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</si>
  <si>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</si>
  <si>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</si>
  <si>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</si>
  <si>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</si>
  <si>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</si>
  <si>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</si>
  <si>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</si>
  <si>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</si>
  <si>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</si>
  <si>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</si>
  <si>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</si>
  <si>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</si>
  <si>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</si>
  <si>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</si>
  <si>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</si>
  <si>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</si>
  <si>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</si>
  <si>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</si>
  <si>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</si>
  <si>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</si>
  <si>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</si>
  <si>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</si>
  <si>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</si>
  <si>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</si>
  <si>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</si>
  <si>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</si>
  <si>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</si>
  <si>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</si>
  <si>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</si>
  <si>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</si>
  <si>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</si>
  <si>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</si>
  <si>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</si>
  <si>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</si>
  <si>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</si>
  <si>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</si>
  <si>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</si>
  <si>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</si>
  <si>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</si>
  <si>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</si>
  <si>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</si>
  <si>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</si>
  <si>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</si>
  <si>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</si>
  <si>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</si>
  <si>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</si>
  <si>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</si>
  <si>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</si>
  <si>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</si>
  <si>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</si>
  <si>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</si>
  <si>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</si>
  <si>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</si>
  <si>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</si>
  <si>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</si>
  <si>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</si>
  <si>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</si>
  <si>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</si>
  <si>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</si>
  <si>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</si>
  <si>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</si>
  <si>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</si>
  <si>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</si>
  <si>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</si>
  <si>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</si>
  <si>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</si>
  <si>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</si>
  <si>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</si>
  <si>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</si>
  <si>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</si>
  <si>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</si>
  <si>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</si>
  <si>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</si>
  <si>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</si>
  <si>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</si>
  <si>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</si>
  <si>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</si>
  <si>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</si>
  <si>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</si>
  <si>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</si>
  <si>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</si>
  <si>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</si>
  <si>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</si>
  <si>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</si>
  <si>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</si>
  <si>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</si>
  <si>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</si>
  <si>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</si>
  <si>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</si>
  <si>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</si>
  <si>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</si>
  <si>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</si>
  <si>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</si>
  <si>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</si>
  <si>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</si>
  <si>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</si>
  <si>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</si>
  <si>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</si>
  <si>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</si>
  <si>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</si>
  <si>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</si>
  <si>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</si>
  <si>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</si>
  <si>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</si>
  <si>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</si>
  <si>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</si>
  <si>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</si>
  <si>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</si>
  <si>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</si>
  <si>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</si>
  <si>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</si>
  <si>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</si>
  <si>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</si>
  <si>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</si>
  <si>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</si>
  <si>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</si>
  <si>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</si>
  <si>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</si>
  <si>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</si>
  <si>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</si>
  <si>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</si>
  <si>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</si>
  <si>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</si>
  <si>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</si>
  <si>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</si>
  <si>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</si>
  <si>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</si>
  <si>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</si>
  <si>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</si>
  <si>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</si>
  <si>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</si>
  <si>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</si>
  <si>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</si>
  <si>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</si>
  <si>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</si>
  <si>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</si>
  <si>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</si>
  <si>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</si>
  <si>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</si>
  <si>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</si>
  <si>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</si>
  <si>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</si>
  <si>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</si>
  <si>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</si>
  <si>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</si>
  <si>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</si>
  <si>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</si>
  <si>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</si>
  <si>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</si>
  <si>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</si>
  <si>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</si>
  <si>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</si>
  <si>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</si>
  <si>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</si>
  <si>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</si>
  <si>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</si>
  <si>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</si>
  <si>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</si>
  <si>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</si>
  <si>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</si>
  <si>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</si>
  <si>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</si>
  <si>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</si>
  <si>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</si>
  <si>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</si>
  <si>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</si>
  <si>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</si>
  <si>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</si>
  <si>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</si>
  <si>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</si>
  <si>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</si>
  <si>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</si>
  <si>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</si>
  <si>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</si>
  <si>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</si>
  <si>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</si>
  <si>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</si>
  <si>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</si>
  <si>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</si>
  <si>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</si>
  <si>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</si>
  <si>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</si>
  <si>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</si>
  <si>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</si>
  <si>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</si>
  <si>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</si>
  <si>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</si>
  <si>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</si>
  <si>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</si>
  <si>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</si>
  <si>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</si>
  <si>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</si>
  <si>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</si>
  <si>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</si>
  <si>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</si>
  <si>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</si>
  <si>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</si>
  <si>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</si>
  <si>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</si>
  <si>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</si>
  <si>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</si>
  <si>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</si>
  <si>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</si>
  <si>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</si>
  <si>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</si>
  <si>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</si>
  <si>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</si>
  <si>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</si>
  <si>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</si>
  <si>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</si>
  <si>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</si>
  <si>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</si>
  <si>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</si>
  <si>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</si>
  <si>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</si>
  <si>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</si>
  <si>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</si>
  <si>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</si>
  <si>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</si>
  <si>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</si>
  <si>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</si>
  <si>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</si>
  <si>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</si>
  <si>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</si>
  <si>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</si>
  <si>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</si>
  <si>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</si>
  <si>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</si>
  <si>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</si>
  <si>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</si>
  <si>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</si>
  <si>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</si>
  <si>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</si>
  <si>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</si>
  <si>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</si>
  <si>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</si>
  <si>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</si>
  <si>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</si>
  <si>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</si>
  <si>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</si>
  <si>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</si>
  <si>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</si>
  <si>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</si>
  <si>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</si>
  <si>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</si>
  <si>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</si>
  <si>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</si>
  <si>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</si>
  <si>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</si>
  <si>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</si>
  <si>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</si>
  <si>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</si>
  <si>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</si>
  <si>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</si>
  <si>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</si>
  <si>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</si>
  <si>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</si>
  <si>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</si>
  <si>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</si>
  <si>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</si>
  <si>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</si>
  <si>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</si>
  <si>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</si>
  <si>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</si>
  <si>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</si>
  <si>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</si>
  <si>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</si>
  <si>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</si>
  <si>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</si>
  <si>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</si>
  <si>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</si>
  <si>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</si>
  <si>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</si>
  <si>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</si>
  <si>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</si>
  <si>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</si>
  <si>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</si>
  <si>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</si>
  <si>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</si>
  <si>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</si>
  <si>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</si>
  <si>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</si>
  <si>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</si>
  <si>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</si>
  <si>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</si>
  <si>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</si>
  <si>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</si>
  <si>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</si>
  <si>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</si>
  <si>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</si>
  <si>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</si>
  <si>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</si>
  <si>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</si>
  <si>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</si>
  <si>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</si>
  <si>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</si>
  <si>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</si>
  <si>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</si>
  <si>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</si>
  <si>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</si>
  <si>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</si>
  <si>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</si>
  <si>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</si>
  <si>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</si>
  <si>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</si>
  <si>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</si>
  <si>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</si>
  <si>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</si>
  <si>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</si>
  <si>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</si>
  <si>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</si>
  <si>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</si>
  <si>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</si>
  <si>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</si>
  <si>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</si>
  <si>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</si>
  <si>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</si>
  <si>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</si>
  <si>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</si>
  <si>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</si>
  <si>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</si>
  <si>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</si>
  <si>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</si>
  <si>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</si>
  <si>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</si>
  <si>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</si>
  <si>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</si>
  <si>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</si>
  <si>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</si>
  <si>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</si>
  <si>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</si>
  <si>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</si>
  <si>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</si>
  <si>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</si>
  <si>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</si>
  <si>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</si>
  <si>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</si>
  <si>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</si>
  <si>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</si>
  <si>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</si>
  <si>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</si>
  <si>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</si>
  <si>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</si>
  <si>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</si>
  <si>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</si>
  <si>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</si>
  <si>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</si>
  <si>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</si>
  <si>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</si>
  <si>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</si>
  <si>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</si>
  <si>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</si>
  <si>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</si>
  <si>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</si>
  <si>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</si>
  <si>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</si>
  <si>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</si>
  <si>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</si>
  <si>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</si>
  <si>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</si>
  <si>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</si>
  <si>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</si>
  <si>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</si>
  <si>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</si>
  <si>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</si>
  <si>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</si>
  <si>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</si>
  <si>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</si>
  <si>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</si>
  <si>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</si>
  <si>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</si>
  <si>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</si>
  <si>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</si>
  <si>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</si>
  <si>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</si>
  <si>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</si>
  <si>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</si>
  <si>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</si>
  <si>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</si>
  <si>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</si>
  <si>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</si>
  <si>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</si>
  <si>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</si>
  <si>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</si>
  <si>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</si>
  <si>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</si>
  <si>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</si>
  <si>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</si>
  <si>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</si>
  <si>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</si>
  <si>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</si>
  <si>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</si>
  <si>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</si>
  <si>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</si>
  <si>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</si>
  <si>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</si>
  <si>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</si>
  <si>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</si>
  <si>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</si>
  <si>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</si>
  <si>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</si>
  <si>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</si>
  <si>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</si>
  <si>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</si>
  <si>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</si>
  <si>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</si>
  <si>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</si>
  <si>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</si>
  <si>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</si>
  <si>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</si>
  <si>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</si>
  <si>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</si>
  <si>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</si>
  <si>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</si>
  <si>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</si>
  <si>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</si>
  <si>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</si>
  <si>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</si>
  <si>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</si>
  <si>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</si>
  <si>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</si>
  <si>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</si>
  <si>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</si>
  <si>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</si>
  <si>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</si>
  <si>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</si>
  <si>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</si>
  <si>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</si>
  <si>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</si>
  <si>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</si>
  <si>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</si>
  <si>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</si>
  <si>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</si>
  <si>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</si>
  <si>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</si>
  <si>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</si>
  <si>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</si>
  <si>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</si>
  <si>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</si>
  <si>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</si>
  <si>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</si>
  <si>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</si>
  <si>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</si>
  <si>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</si>
  <si>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</si>
  <si>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</si>
  <si>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</si>
  <si>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</si>
  <si>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</si>
  <si>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</si>
  <si>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</si>
  <si>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</si>
  <si>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</si>
  <si>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</si>
  <si>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</si>
  <si>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</si>
  <si>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</si>
  <si>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</si>
  <si>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</si>
  <si>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</si>
  <si>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</si>
  <si>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</si>
  <si>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</si>
  <si>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</si>
  <si>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</si>
  <si>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</si>
  <si>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</si>
  <si>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</si>
  <si>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</si>
  <si>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</si>
  <si>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</si>
  <si>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</si>
  <si>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</si>
  <si>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</si>
  <si>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</si>
  <si>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</si>
  <si>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</si>
  <si>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</si>
  <si>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</si>
  <si>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</si>
  <si>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</si>
  <si>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</si>
  <si>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</si>
  <si>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</si>
  <si>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</si>
  <si>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</si>
  <si>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</si>
  <si>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</si>
  <si>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</si>
  <si>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</si>
  <si>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</si>
  <si>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</si>
  <si>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</si>
  <si>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</si>
  <si>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</si>
  <si>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</si>
  <si>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</si>
  <si>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</si>
  <si>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</si>
  <si>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</si>
  <si>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</si>
  <si>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</si>
  <si>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</si>
  <si>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</si>
  <si>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</si>
  <si>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</si>
  <si>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</si>
  <si>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</si>
  <si>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</si>
  <si>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</si>
  <si>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</si>
  <si>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</si>
  <si>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</si>
  <si>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</si>
  <si>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</si>
  <si>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</si>
  <si>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</si>
  <si>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</si>
  <si>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</si>
  <si>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</si>
  <si>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</si>
  <si>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</si>
  <si>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</si>
  <si>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</si>
  <si>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</si>
  <si>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</si>
  <si>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</si>
  <si>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</si>
  <si>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</si>
  <si>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</si>
  <si>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</si>
  <si>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</si>
  <si>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</si>
  <si>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</si>
  <si>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</si>
  <si>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</si>
  <si>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</si>
  <si>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</si>
  <si>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</si>
  <si>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</si>
  <si>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</si>
  <si>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</si>
  <si>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</si>
  <si>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</si>
  <si>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</si>
  <si>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</si>
  <si>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</si>
  <si>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</si>
  <si>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</si>
  <si>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</si>
  <si>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</si>
  <si>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</si>
  <si>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</si>
  <si>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</si>
  <si>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</si>
  <si>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</si>
  <si>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</si>
  <si>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</si>
  <si>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</si>
  <si>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</si>
  <si>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</si>
  <si>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</si>
  <si>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</si>
  <si>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</si>
  <si>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</si>
  <si>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</si>
  <si>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</si>
  <si>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</si>
  <si>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</si>
  <si>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</si>
  <si>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</si>
  <si>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</si>
  <si>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</si>
  <si>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</si>
  <si>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</si>
  <si>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</si>
  <si>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</si>
  <si>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</si>
  <si>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</si>
  <si>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</si>
  <si>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72042</t>
  </si>
  <si>
    <t>OUDSBERGEN</t>
  </si>
  <si>
    <t>referentietaak LNE (2017); Jaarverslag De Lijn</t>
  </si>
  <si>
    <t>waterkracht</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</si>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</sst>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42CF3EF-9BB7-43BD-B863-784A531EFF7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191754.27594858551</c:v>
                </c:pt>
                <c:pt idx="1">
                  <c:v>58855.414970834361</c:v>
                </c:pt>
                <c:pt idx="2">
                  <c:v>1529.5698239999999</c:v>
                </c:pt>
                <c:pt idx="3">
                  <c:v>12159.166235247099</c:v>
                </c:pt>
                <c:pt idx="4">
                  <c:v>40589.379778931172</c:v>
                </c:pt>
                <c:pt idx="5">
                  <c:v>152877.71011067496</c:v>
                </c:pt>
                <c:pt idx="6">
                  <c:v>2903.0638808556469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191754.27594858551</c:v>
                </c:pt>
                <c:pt idx="1">
                  <c:v>58855.414970834361</c:v>
                </c:pt>
                <c:pt idx="2">
                  <c:v>1529.5698239999999</c:v>
                </c:pt>
                <c:pt idx="3">
                  <c:v>12159.166235247099</c:v>
                </c:pt>
                <c:pt idx="4">
                  <c:v>40589.379778931172</c:v>
                </c:pt>
                <c:pt idx="5">
                  <c:v>152877.71011067496</c:v>
                </c:pt>
                <c:pt idx="6">
                  <c:v>2903.0638808556469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39174.573621970558</c:v>
                </c:pt>
                <c:pt idx="1">
                  <c:v>11099.687935910992</c:v>
                </c:pt>
                <c:pt idx="2">
                  <c:v>257.98802218533245</c:v>
                </c:pt>
                <c:pt idx="3">
                  <c:v>3011.3158178867366</c:v>
                </c:pt>
                <c:pt idx="4">
                  <c:v>7076.1387764537822</c:v>
                </c:pt>
                <c:pt idx="5">
                  <c:v>37815.52341784563</c:v>
                </c:pt>
                <c:pt idx="6">
                  <c:v>729.40731816908396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39174.573621970558</c:v>
                </c:pt>
                <c:pt idx="1">
                  <c:v>11099.687935910992</c:v>
                </c:pt>
                <c:pt idx="2">
                  <c:v>257.98802218533245</c:v>
                </c:pt>
                <c:pt idx="3">
                  <c:v>3011.3158178867366</c:v>
                </c:pt>
                <c:pt idx="4">
                  <c:v>7076.1387764537822</c:v>
                </c:pt>
                <c:pt idx="5">
                  <c:v>37815.52341784563</c:v>
                </c:pt>
                <c:pt idx="6">
                  <c:v>729.40731816908396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72042</v>
      </c>
      <c r="B6" s="384"/>
      <c r="C6" s="385"/>
    </row>
    <row r="7" spans="1:7" s="382" customFormat="1" ht="15.75" customHeight="1">
      <c r="A7" s="386" t="str">
        <f>txtMunicipality</f>
        <v>OUDSBERGEN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26629.526915999995</v>
      </c>
      <c r="D10" s="681">
        <f ca="1">tertiair!C16</f>
        <v>0</v>
      </c>
      <c r="E10" s="681">
        <f ca="1">tertiair!D16</f>
        <v>28517.809324473001</v>
      </c>
      <c r="F10" s="681">
        <f>tertiair!E16</f>
        <v>143.23086515138883</v>
      </c>
      <c r="G10" s="681">
        <f ca="1">tertiair!F16</f>
        <v>4018.8548329416249</v>
      </c>
      <c r="H10" s="681">
        <f>tertiair!G16</f>
        <v>0</v>
      </c>
      <c r="I10" s="681">
        <f>tertiair!H16</f>
        <v>0</v>
      </c>
      <c r="J10" s="681">
        <f>tertiair!I16</f>
        <v>0</v>
      </c>
      <c r="K10" s="681">
        <f>tertiair!J16</f>
        <v>2.0383356929801422E-2</v>
      </c>
      <c r="L10" s="681">
        <f>tertiair!K16</f>
        <v>0</v>
      </c>
      <c r="M10" s="681">
        <f ca="1">tertiair!L16</f>
        <v>0</v>
      </c>
      <c r="N10" s="681">
        <f>tertiair!M16</f>
        <v>0</v>
      </c>
      <c r="O10" s="681">
        <f ca="1">tertiair!N16</f>
        <v>793.25773831557967</v>
      </c>
      <c r="P10" s="681">
        <f>tertiair!O16</f>
        <v>19.589043063364617</v>
      </c>
      <c r="Q10" s="682">
        <f>tertiair!P16</f>
        <v>262.69569153247511</v>
      </c>
      <c r="R10" s="684">
        <f ca="1">SUM(C10:Q10)</f>
        <v>60384.984794834367</v>
      </c>
      <c r="S10" s="67"/>
    </row>
    <row r="11" spans="1:19" s="443" customFormat="1">
      <c r="A11" s="802" t="s">
        <v>214</v>
      </c>
      <c r="B11" s="807"/>
      <c r="C11" s="681">
        <f>huishoudens!B8</f>
        <v>41491.729066407293</v>
      </c>
      <c r="D11" s="681">
        <f>huishoudens!C8</f>
        <v>0</v>
      </c>
      <c r="E11" s="681">
        <f>huishoudens!D8</f>
        <v>56170.773091691917</v>
      </c>
      <c r="F11" s="681">
        <f>huishoudens!E8</f>
        <v>3403.4159723085231</v>
      </c>
      <c r="G11" s="681">
        <f>huishoudens!F8</f>
        <v>74557.290293721861</v>
      </c>
      <c r="H11" s="681">
        <f>huishoudens!G8</f>
        <v>0</v>
      </c>
      <c r="I11" s="681">
        <f>huishoudens!H8</f>
        <v>0</v>
      </c>
      <c r="J11" s="681">
        <f>huishoudens!I8</f>
        <v>0</v>
      </c>
      <c r="K11" s="681">
        <f>huishoudens!J8</f>
        <v>424.91015199496508</v>
      </c>
      <c r="L11" s="681">
        <f>huishoudens!K8</f>
        <v>0</v>
      </c>
      <c r="M11" s="681">
        <f>huishoudens!L8</f>
        <v>0</v>
      </c>
      <c r="N11" s="681">
        <f>huishoudens!M8</f>
        <v>0</v>
      </c>
      <c r="O11" s="681">
        <f>huishoudens!N8</f>
        <v>13321.287315172198</v>
      </c>
      <c r="P11" s="681">
        <f>huishoudens!O8</f>
        <v>1089.1930624434806</v>
      </c>
      <c r="Q11" s="682">
        <f>huishoudens!P8</f>
        <v>1295.6769948452579</v>
      </c>
      <c r="R11" s="684">
        <f>SUM(C11:Q11)</f>
        <v>191754.27594858551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18262.802674999999</v>
      </c>
      <c r="D13" s="681">
        <f>industrie!C18</f>
        <v>0</v>
      </c>
      <c r="E13" s="681">
        <f>industrie!D18</f>
        <v>13411.297149684</v>
      </c>
      <c r="F13" s="681">
        <f>industrie!E18</f>
        <v>159.28015429831225</v>
      </c>
      <c r="G13" s="681">
        <f>industrie!F18</f>
        <v>4347.0260873393263</v>
      </c>
      <c r="H13" s="681">
        <f>industrie!G18</f>
        <v>0</v>
      </c>
      <c r="I13" s="681">
        <f>industrie!H18</f>
        <v>0</v>
      </c>
      <c r="J13" s="681">
        <f>industrie!I18</f>
        <v>0</v>
      </c>
      <c r="K13" s="681">
        <f>industrie!J18</f>
        <v>253.98653404503676</v>
      </c>
      <c r="L13" s="681">
        <f>industrie!K18</f>
        <v>0</v>
      </c>
      <c r="M13" s="681">
        <f>industrie!L18</f>
        <v>0</v>
      </c>
      <c r="N13" s="681">
        <f>industrie!M18</f>
        <v>0</v>
      </c>
      <c r="O13" s="681">
        <f>industrie!N18</f>
        <v>4154.9871785645009</v>
      </c>
      <c r="P13" s="681">
        <f>industrie!O18</f>
        <v>0</v>
      </c>
      <c r="Q13" s="682">
        <f>industrie!P18</f>
        <v>0</v>
      </c>
      <c r="R13" s="684">
        <f>SUM(C13:Q13)</f>
        <v>40589.379778931172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86384.05865740728</v>
      </c>
      <c r="D16" s="717">
        <f t="shared" ref="D16:R16" ca="1" si="0">SUM(D9:D15)</f>
        <v>0</v>
      </c>
      <c r="E16" s="717">
        <f t="shared" ca="1" si="0"/>
        <v>98099.879565848925</v>
      </c>
      <c r="F16" s="717">
        <f t="shared" si="0"/>
        <v>3705.9269917582242</v>
      </c>
      <c r="G16" s="717">
        <f t="shared" ca="1" si="0"/>
        <v>82923.17121400281</v>
      </c>
      <c r="H16" s="717">
        <f t="shared" si="0"/>
        <v>0</v>
      </c>
      <c r="I16" s="717">
        <f t="shared" si="0"/>
        <v>0</v>
      </c>
      <c r="J16" s="717">
        <f t="shared" si="0"/>
        <v>0</v>
      </c>
      <c r="K16" s="717">
        <f t="shared" si="0"/>
        <v>678.91706939693165</v>
      </c>
      <c r="L16" s="717">
        <f t="shared" si="0"/>
        <v>0</v>
      </c>
      <c r="M16" s="717">
        <f t="shared" ca="1" si="0"/>
        <v>0</v>
      </c>
      <c r="N16" s="717">
        <f t="shared" si="0"/>
        <v>0</v>
      </c>
      <c r="O16" s="717">
        <f t="shared" ca="1" si="0"/>
        <v>18269.532232052279</v>
      </c>
      <c r="P16" s="717">
        <f t="shared" si="0"/>
        <v>1108.7821055068453</v>
      </c>
      <c r="Q16" s="717">
        <f t="shared" si="0"/>
        <v>1558.3726863777331</v>
      </c>
      <c r="R16" s="717">
        <f t="shared" ca="1" si="0"/>
        <v>292728.64052235102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43.20193032010792</v>
      </c>
      <c r="D19" s="681">
        <f>transport!C54</f>
        <v>0</v>
      </c>
      <c r="E19" s="681">
        <f>transport!D54</f>
        <v>0</v>
      </c>
      <c r="F19" s="681">
        <f>transport!E54</f>
        <v>0</v>
      </c>
      <c r="G19" s="681">
        <f>transport!F54</f>
        <v>0</v>
      </c>
      <c r="H19" s="681">
        <f>transport!G54</f>
        <v>2704.5714466214595</v>
      </c>
      <c r="I19" s="681">
        <f>transport!H54</f>
        <v>0</v>
      </c>
      <c r="J19" s="681">
        <f>transport!I54</f>
        <v>0</v>
      </c>
      <c r="K19" s="681">
        <f>transport!J54</f>
        <v>0</v>
      </c>
      <c r="L19" s="681">
        <f>transport!K54</f>
        <v>0</v>
      </c>
      <c r="M19" s="681">
        <f>transport!L54</f>
        <v>0</v>
      </c>
      <c r="N19" s="681">
        <f>transport!M54</f>
        <v>155.29050391407975</v>
      </c>
      <c r="O19" s="681">
        <f>transport!N54</f>
        <v>0</v>
      </c>
      <c r="P19" s="681">
        <f>transport!O54</f>
        <v>0</v>
      </c>
      <c r="Q19" s="682">
        <f>transport!P54</f>
        <v>0</v>
      </c>
      <c r="R19" s="684">
        <f>SUM(C19:Q19)</f>
        <v>2903.0638808556469</v>
      </c>
      <c r="S19" s="67"/>
    </row>
    <row r="20" spans="1:19" s="443" customFormat="1">
      <c r="A20" s="802" t="s">
        <v>296</v>
      </c>
      <c r="B20" s="807"/>
      <c r="C20" s="681">
        <f>transport!B14</f>
        <v>362.78981283555026</v>
      </c>
      <c r="D20" s="681">
        <f>transport!C14</f>
        <v>0</v>
      </c>
      <c r="E20" s="681">
        <f>transport!D14</f>
        <v>683.64714121529096</v>
      </c>
      <c r="F20" s="681">
        <f>transport!E14</f>
        <v>266.03527385964151</v>
      </c>
      <c r="G20" s="681">
        <f>transport!F14</f>
        <v>0</v>
      </c>
      <c r="H20" s="681">
        <f>transport!G14</f>
        <v>109518.15362022574</v>
      </c>
      <c r="I20" s="681">
        <f>transport!H14</f>
        <v>33391.562192378362</v>
      </c>
      <c r="J20" s="681">
        <f>transport!I14</f>
        <v>0</v>
      </c>
      <c r="K20" s="681">
        <f>transport!J14</f>
        <v>0</v>
      </c>
      <c r="L20" s="681">
        <f>transport!K14</f>
        <v>0</v>
      </c>
      <c r="M20" s="681">
        <f>transport!L14</f>
        <v>0</v>
      </c>
      <c r="N20" s="681">
        <f>transport!M14</f>
        <v>8655.5220701603721</v>
      </c>
      <c r="O20" s="681">
        <f>transport!N14</f>
        <v>0</v>
      </c>
      <c r="P20" s="681">
        <f>transport!O14</f>
        <v>0</v>
      </c>
      <c r="Q20" s="682">
        <f>transport!P14</f>
        <v>0</v>
      </c>
      <c r="R20" s="684">
        <f>SUM(C20:Q20)</f>
        <v>152877.71011067496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405.99174315565818</v>
      </c>
      <c r="D22" s="805">
        <f t="shared" ref="D22:R22" si="1">SUM(D18:D21)</f>
        <v>0</v>
      </c>
      <c r="E22" s="805">
        <f t="shared" si="1"/>
        <v>683.64714121529096</v>
      </c>
      <c r="F22" s="805">
        <f t="shared" si="1"/>
        <v>266.03527385964151</v>
      </c>
      <c r="G22" s="805">
        <f t="shared" si="1"/>
        <v>0</v>
      </c>
      <c r="H22" s="805">
        <f t="shared" si="1"/>
        <v>112222.7250668472</v>
      </c>
      <c r="I22" s="805">
        <f t="shared" si="1"/>
        <v>33391.562192378362</v>
      </c>
      <c r="J22" s="805">
        <f t="shared" si="1"/>
        <v>0</v>
      </c>
      <c r="K22" s="805">
        <f t="shared" si="1"/>
        <v>0</v>
      </c>
      <c r="L22" s="805">
        <f t="shared" si="1"/>
        <v>0</v>
      </c>
      <c r="M22" s="805">
        <f t="shared" si="1"/>
        <v>0</v>
      </c>
      <c r="N22" s="805">
        <f t="shared" si="1"/>
        <v>8810.8125740744526</v>
      </c>
      <c r="O22" s="805">
        <f t="shared" si="1"/>
        <v>0</v>
      </c>
      <c r="P22" s="805">
        <f t="shared" si="1"/>
        <v>0</v>
      </c>
      <c r="Q22" s="805">
        <f t="shared" si="1"/>
        <v>0</v>
      </c>
      <c r="R22" s="805">
        <f t="shared" si="1"/>
        <v>155780.77399153062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2680.79153</v>
      </c>
      <c r="D24" s="681">
        <f>+landbouw!C8</f>
        <v>62.357142857142847</v>
      </c>
      <c r="E24" s="681">
        <f>+landbouw!D8</f>
        <v>171.59286666900002</v>
      </c>
      <c r="F24" s="681">
        <f>+landbouw!E8</f>
        <v>76.782406149050786</v>
      </c>
      <c r="G24" s="681">
        <f>+landbouw!F8</f>
        <v>8486.001186759393</v>
      </c>
      <c r="H24" s="681">
        <f>+landbouw!G8</f>
        <v>0</v>
      </c>
      <c r="I24" s="681">
        <f>+landbouw!H8</f>
        <v>0</v>
      </c>
      <c r="J24" s="681">
        <f>+landbouw!I8</f>
        <v>0</v>
      </c>
      <c r="K24" s="681">
        <f>+landbouw!J8</f>
        <v>681.64110281251294</v>
      </c>
      <c r="L24" s="681">
        <f>+landbouw!K8</f>
        <v>0</v>
      </c>
      <c r="M24" s="681">
        <f>+landbouw!L8</f>
        <v>0</v>
      </c>
      <c r="N24" s="681">
        <f>+landbouw!M8</f>
        <v>0</v>
      </c>
      <c r="O24" s="681">
        <f>+landbouw!N8</f>
        <v>0</v>
      </c>
      <c r="P24" s="681">
        <f>+landbouw!O8</f>
        <v>0</v>
      </c>
      <c r="Q24" s="682">
        <f>+landbouw!P8</f>
        <v>0</v>
      </c>
      <c r="R24" s="684">
        <f>SUM(C24:Q24)</f>
        <v>12159.166235247099</v>
      </c>
      <c r="S24" s="67"/>
    </row>
    <row r="25" spans="1:19" s="443" customFormat="1" ht="15" thickBot="1">
      <c r="A25" s="824" t="s">
        <v>690</v>
      </c>
      <c r="B25" s="937"/>
      <c r="C25" s="938">
        <f>IF(Onbekend_ele_kWh="---",0,Onbekend_ele_kWh)/1000+IF(REST_rest_ele_kWh="---",0,REST_rest_ele_kWh)/1000</f>
        <v>588.906342</v>
      </c>
      <c r="D25" s="938"/>
      <c r="E25" s="938">
        <f>IF(onbekend_gas_kWh="---",0,onbekend_gas_kWh)/1000+IF(REST_rest_gas_kWh="---",0,REST_rest_gas_kWh)/1000</f>
        <v>1500.1801399999999</v>
      </c>
      <c r="F25" s="938"/>
      <c r="G25" s="938"/>
      <c r="H25" s="938"/>
      <c r="I25" s="938"/>
      <c r="J25" s="938"/>
      <c r="K25" s="938"/>
      <c r="L25" s="938"/>
      <c r="M25" s="938"/>
      <c r="N25" s="938"/>
      <c r="O25" s="938"/>
      <c r="P25" s="938"/>
      <c r="Q25" s="939"/>
      <c r="R25" s="684">
        <f>SUM(C25:Q25)</f>
        <v>2089.0864819999997</v>
      </c>
      <c r="S25" s="67"/>
    </row>
    <row r="26" spans="1:19" s="443" customFormat="1" ht="15.75" thickBot="1">
      <c r="A26" s="689" t="s">
        <v>691</v>
      </c>
      <c r="B26" s="810"/>
      <c r="C26" s="805">
        <f>SUM(C24:C25)</f>
        <v>3269.6978719999997</v>
      </c>
      <c r="D26" s="805">
        <f t="shared" ref="D26:R26" si="2">SUM(D24:D25)</f>
        <v>62.357142857142847</v>
      </c>
      <c r="E26" s="805">
        <f t="shared" si="2"/>
        <v>1671.7730066689999</v>
      </c>
      <c r="F26" s="805">
        <f t="shared" si="2"/>
        <v>76.782406149050786</v>
      </c>
      <c r="G26" s="805">
        <f t="shared" si="2"/>
        <v>8486.001186759393</v>
      </c>
      <c r="H26" s="805">
        <f t="shared" si="2"/>
        <v>0</v>
      </c>
      <c r="I26" s="805">
        <f t="shared" si="2"/>
        <v>0</v>
      </c>
      <c r="J26" s="805">
        <f t="shared" si="2"/>
        <v>0</v>
      </c>
      <c r="K26" s="805">
        <f t="shared" si="2"/>
        <v>681.64110281251294</v>
      </c>
      <c r="L26" s="805">
        <f t="shared" si="2"/>
        <v>0</v>
      </c>
      <c r="M26" s="805">
        <f t="shared" si="2"/>
        <v>0</v>
      </c>
      <c r="N26" s="805">
        <f t="shared" si="2"/>
        <v>0</v>
      </c>
      <c r="O26" s="805">
        <f t="shared" si="2"/>
        <v>0</v>
      </c>
      <c r="P26" s="805">
        <f t="shared" si="2"/>
        <v>0</v>
      </c>
      <c r="Q26" s="805">
        <f t="shared" si="2"/>
        <v>0</v>
      </c>
      <c r="R26" s="805">
        <f t="shared" si="2"/>
        <v>14248.252717247098</v>
      </c>
      <c r="S26" s="67"/>
    </row>
    <row r="27" spans="1:19" s="443" customFormat="1" ht="17.25" thickTop="1" thickBot="1">
      <c r="A27" s="690" t="s">
        <v>109</v>
      </c>
      <c r="B27" s="797"/>
      <c r="C27" s="691">
        <f ca="1">C22+C16+C26</f>
        <v>90059.748272562938</v>
      </c>
      <c r="D27" s="691">
        <f t="shared" ref="D27:R27" ca="1" si="3">D22+D16+D26</f>
        <v>62.357142857142847</v>
      </c>
      <c r="E27" s="691">
        <f t="shared" ca="1" si="3"/>
        <v>100455.29971373321</v>
      </c>
      <c r="F27" s="691">
        <f t="shared" si="3"/>
        <v>4048.7446717669168</v>
      </c>
      <c r="G27" s="691">
        <f t="shared" ca="1" si="3"/>
        <v>91409.172400762211</v>
      </c>
      <c r="H27" s="691">
        <f t="shared" si="3"/>
        <v>112222.7250668472</v>
      </c>
      <c r="I27" s="691">
        <f t="shared" si="3"/>
        <v>33391.562192378362</v>
      </c>
      <c r="J27" s="691">
        <f t="shared" si="3"/>
        <v>0</v>
      </c>
      <c r="K27" s="691">
        <f t="shared" si="3"/>
        <v>1360.5581722094446</v>
      </c>
      <c r="L27" s="691">
        <f t="shared" si="3"/>
        <v>0</v>
      </c>
      <c r="M27" s="691">
        <f t="shared" ca="1" si="3"/>
        <v>0</v>
      </c>
      <c r="N27" s="691">
        <f t="shared" si="3"/>
        <v>8810.8125740744526</v>
      </c>
      <c r="O27" s="691">
        <f t="shared" ca="1" si="3"/>
        <v>18269.532232052279</v>
      </c>
      <c r="P27" s="691">
        <f t="shared" si="3"/>
        <v>1108.7821055068453</v>
      </c>
      <c r="Q27" s="691">
        <f t="shared" si="3"/>
        <v>1558.3726863777331</v>
      </c>
      <c r="R27" s="691">
        <f t="shared" ca="1" si="3"/>
        <v>462757.66723112878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4491.5236120596446</v>
      </c>
      <c r="D40" s="681">
        <f ca="1">tertiair!C20</f>
        <v>0</v>
      </c>
      <c r="E40" s="681">
        <f ca="1">tertiair!D20</f>
        <v>5760.5974835435463</v>
      </c>
      <c r="F40" s="681">
        <f>tertiair!E20</f>
        <v>32.513406389365265</v>
      </c>
      <c r="G40" s="681">
        <f ca="1">tertiair!F20</f>
        <v>1073.0342403954139</v>
      </c>
      <c r="H40" s="681">
        <f>tertiair!G20</f>
        <v>0</v>
      </c>
      <c r="I40" s="681">
        <f>tertiair!H20</f>
        <v>0</v>
      </c>
      <c r="J40" s="681">
        <f>tertiair!I20</f>
        <v>0</v>
      </c>
      <c r="K40" s="681">
        <f>tertiair!J20</f>
        <v>7.2157083531497026E-3</v>
      </c>
      <c r="L40" s="681">
        <f>tertiair!K20</f>
        <v>0</v>
      </c>
      <c r="M40" s="681">
        <f ca="1">tertiair!L20</f>
        <v>0</v>
      </c>
      <c r="N40" s="681">
        <f>tertiair!M20</f>
        <v>0</v>
      </c>
      <c r="O40" s="681">
        <f ca="1">tertiair!N20</f>
        <v>0</v>
      </c>
      <c r="P40" s="681">
        <f>tertiair!O20</f>
        <v>0</v>
      </c>
      <c r="Q40" s="764">
        <f>tertiair!P20</f>
        <v>0</v>
      </c>
      <c r="R40" s="843">
        <f t="shared" ca="1" si="4"/>
        <v>11357.675958096323</v>
      </c>
    </row>
    <row r="41" spans="1:18">
      <c r="A41" s="815" t="s">
        <v>214</v>
      </c>
      <c r="B41" s="822"/>
      <c r="C41" s="681">
        <f ca="1">huishoudens!B12</f>
        <v>6998.2873295048003</v>
      </c>
      <c r="D41" s="681">
        <f ca="1">huishoudens!C12</f>
        <v>0</v>
      </c>
      <c r="E41" s="681">
        <f>huishoudens!D12</f>
        <v>11346.496164521768</v>
      </c>
      <c r="F41" s="681">
        <f>huishoudens!E12</f>
        <v>772.57542571403474</v>
      </c>
      <c r="G41" s="681">
        <f>huishoudens!F12</f>
        <v>19906.796508423737</v>
      </c>
      <c r="H41" s="681">
        <f>huishoudens!G12</f>
        <v>0</v>
      </c>
      <c r="I41" s="681">
        <f>huishoudens!H12</f>
        <v>0</v>
      </c>
      <c r="J41" s="681">
        <f>huishoudens!I12</f>
        <v>0</v>
      </c>
      <c r="K41" s="681">
        <f>huishoudens!J12</f>
        <v>150.41819380621763</v>
      </c>
      <c r="L41" s="681">
        <f>huishoudens!K12</f>
        <v>0</v>
      </c>
      <c r="M41" s="681">
        <f>huishoudens!L12</f>
        <v>0</v>
      </c>
      <c r="N41" s="681">
        <f>huishoudens!M12</f>
        <v>0</v>
      </c>
      <c r="O41" s="681">
        <f>huishoudens!N12</f>
        <v>0</v>
      </c>
      <c r="P41" s="681">
        <f>huishoudens!O12</f>
        <v>0</v>
      </c>
      <c r="Q41" s="764">
        <f>huishoudens!P12</f>
        <v>0</v>
      </c>
      <c r="R41" s="843">
        <f t="shared" ca="1" si="4"/>
        <v>39174.573621970558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3080.3329588203542</v>
      </c>
      <c r="D43" s="681">
        <f ca="1">industrie!C22</f>
        <v>0</v>
      </c>
      <c r="E43" s="681">
        <f>industrie!D22</f>
        <v>2709.0820242361683</v>
      </c>
      <c r="F43" s="681">
        <f>industrie!E22</f>
        <v>36.156595025716882</v>
      </c>
      <c r="G43" s="681">
        <f>industrie!F22</f>
        <v>1160.6559653196002</v>
      </c>
      <c r="H43" s="681">
        <f>industrie!G22</f>
        <v>0</v>
      </c>
      <c r="I43" s="681">
        <f>industrie!H22</f>
        <v>0</v>
      </c>
      <c r="J43" s="681">
        <f>industrie!I22</f>
        <v>0</v>
      </c>
      <c r="K43" s="681">
        <f>industrie!J22</f>
        <v>89.911233051943015</v>
      </c>
      <c r="L43" s="681">
        <f>industrie!K22</f>
        <v>0</v>
      </c>
      <c r="M43" s="681">
        <f>industrie!L22</f>
        <v>0</v>
      </c>
      <c r="N43" s="681">
        <f>industrie!M22</f>
        <v>0</v>
      </c>
      <c r="O43" s="681">
        <f>industrie!N22</f>
        <v>0</v>
      </c>
      <c r="P43" s="681">
        <f>industrie!O22</f>
        <v>0</v>
      </c>
      <c r="Q43" s="764">
        <f>industrie!P22</f>
        <v>0</v>
      </c>
      <c r="R43" s="842">
        <f t="shared" ca="1" si="4"/>
        <v>7076.1387764537822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14570.143900384799</v>
      </c>
      <c r="D46" s="717">
        <f t="shared" ref="D46:Q46" ca="1" si="5">SUM(D39:D45)</f>
        <v>0</v>
      </c>
      <c r="E46" s="717">
        <f t="shared" ca="1" si="5"/>
        <v>19816.175672301484</v>
      </c>
      <c r="F46" s="717">
        <f t="shared" si="5"/>
        <v>841.24542712911693</v>
      </c>
      <c r="G46" s="717">
        <f t="shared" ca="1" si="5"/>
        <v>22140.486714138751</v>
      </c>
      <c r="H46" s="717">
        <f t="shared" si="5"/>
        <v>0</v>
      </c>
      <c r="I46" s="717">
        <f t="shared" si="5"/>
        <v>0</v>
      </c>
      <c r="J46" s="717">
        <f t="shared" si="5"/>
        <v>0</v>
      </c>
      <c r="K46" s="717">
        <f t="shared" si="5"/>
        <v>240.3366425665138</v>
      </c>
      <c r="L46" s="717">
        <f t="shared" si="5"/>
        <v>0</v>
      </c>
      <c r="M46" s="717">
        <f t="shared" ca="1" si="5"/>
        <v>0</v>
      </c>
      <c r="N46" s="717">
        <f t="shared" si="5"/>
        <v>0</v>
      </c>
      <c r="O46" s="717">
        <f t="shared" ca="1" si="5"/>
        <v>0</v>
      </c>
      <c r="P46" s="717">
        <f t="shared" si="5"/>
        <v>0</v>
      </c>
      <c r="Q46" s="717">
        <f t="shared" si="5"/>
        <v>0</v>
      </c>
      <c r="R46" s="717">
        <f ca="1">SUM(R39:R45)</f>
        <v>57608.388356520663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7.2867419211541584</v>
      </c>
      <c r="D49" s="681">
        <f ca="1">transport!C58</f>
        <v>0</v>
      </c>
      <c r="E49" s="681">
        <f>transport!D58</f>
        <v>0</v>
      </c>
      <c r="F49" s="681">
        <f>transport!E58</f>
        <v>0</v>
      </c>
      <c r="G49" s="681">
        <f>transport!F58</f>
        <v>0</v>
      </c>
      <c r="H49" s="681">
        <f>transport!G58</f>
        <v>722.12057624792976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729.40731816908396</v>
      </c>
    </row>
    <row r="50" spans="1:18">
      <c r="A50" s="818" t="s">
        <v>296</v>
      </c>
      <c r="B50" s="828"/>
      <c r="C50" s="687">
        <f ca="1">transport!B18</f>
        <v>61.190685651517235</v>
      </c>
      <c r="D50" s="687">
        <f>transport!C18</f>
        <v>0</v>
      </c>
      <c r="E50" s="687">
        <f>transport!D18</f>
        <v>138.09672252548879</v>
      </c>
      <c r="F50" s="687">
        <f>transport!E18</f>
        <v>60.390007166138624</v>
      </c>
      <c r="G50" s="687">
        <f>transport!F18</f>
        <v>0</v>
      </c>
      <c r="H50" s="687">
        <f>transport!G18</f>
        <v>29241.347016600273</v>
      </c>
      <c r="I50" s="687">
        <f>transport!H18</f>
        <v>8314.4989859022116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37815.52341784563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68.477427572671388</v>
      </c>
      <c r="D52" s="717">
        <f t="shared" ref="D52:Q52" ca="1" si="6">SUM(D48:D51)</f>
        <v>0</v>
      </c>
      <c r="E52" s="717">
        <f t="shared" si="6"/>
        <v>138.09672252548879</v>
      </c>
      <c r="F52" s="717">
        <f t="shared" si="6"/>
        <v>60.390007166138624</v>
      </c>
      <c r="G52" s="717">
        <f t="shared" si="6"/>
        <v>0</v>
      </c>
      <c r="H52" s="717">
        <f t="shared" si="6"/>
        <v>29963.467592848203</v>
      </c>
      <c r="I52" s="717">
        <f t="shared" si="6"/>
        <v>8314.4989859022116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38544.930736014714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452.1611853633766</v>
      </c>
      <c r="D54" s="687">
        <f ca="1">+landbouw!C12</f>
        <v>0</v>
      </c>
      <c r="E54" s="687">
        <f>+landbouw!D12</f>
        <v>34.661759067138007</v>
      </c>
      <c r="F54" s="687">
        <f>+landbouw!E12</f>
        <v>17.429606195834531</v>
      </c>
      <c r="G54" s="687">
        <f>+landbouw!F12</f>
        <v>2265.7623168647578</v>
      </c>
      <c r="H54" s="687">
        <f>+landbouw!G12</f>
        <v>0</v>
      </c>
      <c r="I54" s="687">
        <f>+landbouw!H12</f>
        <v>0</v>
      </c>
      <c r="J54" s="687">
        <f>+landbouw!I12</f>
        <v>0</v>
      </c>
      <c r="K54" s="687">
        <f>+landbouw!J12</f>
        <v>241.30095039562957</v>
      </c>
      <c r="L54" s="687">
        <f>+landbouw!K12</f>
        <v>0</v>
      </c>
      <c r="M54" s="687">
        <f>+landbouw!L12</f>
        <v>0</v>
      </c>
      <c r="N54" s="687">
        <f>+landbouw!M12</f>
        <v>0</v>
      </c>
      <c r="O54" s="687">
        <f>+landbouw!N12</f>
        <v>0</v>
      </c>
      <c r="P54" s="687">
        <f>+landbouw!O12</f>
        <v>0</v>
      </c>
      <c r="Q54" s="688">
        <f>+landbouw!P12</f>
        <v>0</v>
      </c>
      <c r="R54" s="716">
        <f ca="1">SUM(C54:Q54)</f>
        <v>3011.3158178867366</v>
      </c>
    </row>
    <row r="55" spans="1:18" ht="15" thickBot="1">
      <c r="A55" s="818" t="s">
        <v>690</v>
      </c>
      <c r="B55" s="828"/>
      <c r="C55" s="687">
        <f ca="1">C25*'EF ele_warmte'!B12</f>
        <v>99.329092429178942</v>
      </c>
      <c r="D55" s="687"/>
      <c r="E55" s="687">
        <f>E25*EF_CO2_aardgas</f>
        <v>303.03638827999998</v>
      </c>
      <c r="F55" s="687"/>
      <c r="G55" s="687"/>
      <c r="H55" s="687"/>
      <c r="I55" s="687"/>
      <c r="J55" s="687"/>
      <c r="K55" s="687"/>
      <c r="L55" s="687"/>
      <c r="M55" s="687"/>
      <c r="N55" s="687"/>
      <c r="O55" s="687"/>
      <c r="P55" s="687"/>
      <c r="Q55" s="688"/>
      <c r="R55" s="716">
        <f ca="1">SUM(C55:Q55)</f>
        <v>402.36548070917894</v>
      </c>
    </row>
    <row r="56" spans="1:18" ht="15.75" thickBot="1">
      <c r="A56" s="816" t="s">
        <v>691</v>
      </c>
      <c r="B56" s="829"/>
      <c r="C56" s="717">
        <f ca="1">SUM(C54:C55)</f>
        <v>551.4902777925555</v>
      </c>
      <c r="D56" s="717">
        <f t="shared" ref="D56:Q56" ca="1" si="7">SUM(D54:D55)</f>
        <v>0</v>
      </c>
      <c r="E56" s="717">
        <f t="shared" si="7"/>
        <v>337.69814734713799</v>
      </c>
      <c r="F56" s="717">
        <f t="shared" si="7"/>
        <v>17.429606195834531</v>
      </c>
      <c r="G56" s="717">
        <f t="shared" si="7"/>
        <v>2265.7623168647578</v>
      </c>
      <c r="H56" s="717">
        <f t="shared" si="7"/>
        <v>0</v>
      </c>
      <c r="I56" s="717">
        <f t="shared" si="7"/>
        <v>0</v>
      </c>
      <c r="J56" s="717">
        <f t="shared" si="7"/>
        <v>0</v>
      </c>
      <c r="K56" s="717">
        <f t="shared" si="7"/>
        <v>241.30095039562957</v>
      </c>
      <c r="L56" s="717">
        <f t="shared" si="7"/>
        <v>0</v>
      </c>
      <c r="M56" s="717">
        <f t="shared" si="7"/>
        <v>0</v>
      </c>
      <c r="N56" s="717">
        <f t="shared" si="7"/>
        <v>0</v>
      </c>
      <c r="O56" s="717">
        <f t="shared" si="7"/>
        <v>0</v>
      </c>
      <c r="P56" s="717">
        <f t="shared" si="7"/>
        <v>0</v>
      </c>
      <c r="Q56" s="718">
        <f t="shared" si="7"/>
        <v>0</v>
      </c>
      <c r="R56" s="719">
        <f ca="1">SUM(R54:R55)</f>
        <v>3413.6812985959155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15190.111605750028</v>
      </c>
      <c r="D61" s="725">
        <f t="shared" ref="D61:Q61" ca="1" si="8">D46+D52+D56</f>
        <v>0</v>
      </c>
      <c r="E61" s="725">
        <f t="shared" ca="1" si="8"/>
        <v>20291.970542174113</v>
      </c>
      <c r="F61" s="725">
        <f t="shared" si="8"/>
        <v>919.06504049109003</v>
      </c>
      <c r="G61" s="725">
        <f t="shared" ca="1" si="8"/>
        <v>24406.24903100351</v>
      </c>
      <c r="H61" s="725">
        <f t="shared" si="8"/>
        <v>29963.467592848203</v>
      </c>
      <c r="I61" s="725">
        <f t="shared" si="8"/>
        <v>8314.4989859022116</v>
      </c>
      <c r="J61" s="725">
        <f t="shared" si="8"/>
        <v>0</v>
      </c>
      <c r="K61" s="725">
        <f t="shared" si="8"/>
        <v>481.63759296214334</v>
      </c>
      <c r="L61" s="725">
        <f t="shared" si="8"/>
        <v>0</v>
      </c>
      <c r="M61" s="725">
        <f t="shared" ca="1" si="8"/>
        <v>0</v>
      </c>
      <c r="N61" s="725">
        <f t="shared" si="8"/>
        <v>0</v>
      </c>
      <c r="O61" s="725">
        <f t="shared" ca="1" si="8"/>
        <v>0</v>
      </c>
      <c r="P61" s="725">
        <f t="shared" si="8"/>
        <v>0</v>
      </c>
      <c r="Q61" s="725">
        <f t="shared" si="8"/>
        <v>0</v>
      </c>
      <c r="R61" s="725">
        <f ca="1">R46+R52+R56</f>
        <v>99567.000391131296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0.16866704490198708</v>
      </c>
      <c r="D63" s="771">
        <f t="shared" ca="1" si="9"/>
        <v>0</v>
      </c>
      <c r="E63" s="963">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21282.561594961022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21326.211594961023</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41491.729066407293</v>
      </c>
      <c r="C4" s="447">
        <f>huishoudens!C8</f>
        <v>0</v>
      </c>
      <c r="D4" s="447">
        <f>huishoudens!D8</f>
        <v>56170.773091691917</v>
      </c>
      <c r="E4" s="447">
        <f>huishoudens!E8</f>
        <v>3403.4159723085231</v>
      </c>
      <c r="F4" s="447">
        <f>huishoudens!F8</f>
        <v>74557.290293721861</v>
      </c>
      <c r="G4" s="447">
        <f>huishoudens!G8</f>
        <v>0</v>
      </c>
      <c r="H4" s="447">
        <f>huishoudens!H8</f>
        <v>0</v>
      </c>
      <c r="I4" s="447">
        <f>huishoudens!I8</f>
        <v>0</v>
      </c>
      <c r="J4" s="447">
        <f>huishoudens!J8</f>
        <v>424.91015199496508</v>
      </c>
      <c r="K4" s="447">
        <f>huishoudens!K8</f>
        <v>0</v>
      </c>
      <c r="L4" s="447">
        <f>huishoudens!L8</f>
        <v>0</v>
      </c>
      <c r="M4" s="447">
        <f>huishoudens!M8</f>
        <v>0</v>
      </c>
      <c r="N4" s="447">
        <f>huishoudens!N8</f>
        <v>13321.287315172198</v>
      </c>
      <c r="O4" s="447">
        <f>huishoudens!O8</f>
        <v>1089.1930624434806</v>
      </c>
      <c r="P4" s="448">
        <f>huishoudens!P8</f>
        <v>1295.6769948452579</v>
      </c>
      <c r="Q4" s="449">
        <f>SUM(B4:P4)</f>
        <v>191754.27594858551</v>
      </c>
    </row>
    <row r="5" spans="1:17">
      <c r="A5" s="446" t="s">
        <v>149</v>
      </c>
      <c r="B5" s="447">
        <f ca="1">tertiair!B16</f>
        <v>25099.957091999997</v>
      </c>
      <c r="C5" s="447">
        <f ca="1">tertiair!C16</f>
        <v>0</v>
      </c>
      <c r="D5" s="447">
        <f ca="1">tertiair!D16</f>
        <v>28517.809324473001</v>
      </c>
      <c r="E5" s="447">
        <f>tertiair!E16</f>
        <v>143.23086515138883</v>
      </c>
      <c r="F5" s="447">
        <f ca="1">tertiair!F16</f>
        <v>4018.8548329416249</v>
      </c>
      <c r="G5" s="447">
        <f>tertiair!G16</f>
        <v>0</v>
      </c>
      <c r="H5" s="447">
        <f>tertiair!H16</f>
        <v>0</v>
      </c>
      <c r="I5" s="447">
        <f>tertiair!I16</f>
        <v>0</v>
      </c>
      <c r="J5" s="447">
        <f>tertiair!J16</f>
        <v>2.0383356929801422E-2</v>
      </c>
      <c r="K5" s="447">
        <f>tertiair!K16</f>
        <v>0</v>
      </c>
      <c r="L5" s="447">
        <f ca="1">tertiair!L16</f>
        <v>0</v>
      </c>
      <c r="M5" s="447">
        <f>tertiair!M16</f>
        <v>0</v>
      </c>
      <c r="N5" s="447">
        <f ca="1">tertiair!N16</f>
        <v>793.25773831557967</v>
      </c>
      <c r="O5" s="447">
        <f>tertiair!O16</f>
        <v>19.589043063364617</v>
      </c>
      <c r="P5" s="448">
        <f>tertiair!P16</f>
        <v>262.69569153247511</v>
      </c>
      <c r="Q5" s="446">
        <f t="shared" ref="Q5:Q14" ca="1" si="0">SUM(B5:P5)</f>
        <v>58855.414970834361</v>
      </c>
    </row>
    <row r="6" spans="1:17">
      <c r="A6" s="446" t="s">
        <v>187</v>
      </c>
      <c r="B6" s="447">
        <f>'openbare verlichting'!B8</f>
        <v>1529.5698239999999</v>
      </c>
      <c r="C6" s="447"/>
      <c r="D6" s="447"/>
      <c r="E6" s="447"/>
      <c r="F6" s="447"/>
      <c r="G6" s="447"/>
      <c r="H6" s="447"/>
      <c r="I6" s="447"/>
      <c r="J6" s="447"/>
      <c r="K6" s="447"/>
      <c r="L6" s="447"/>
      <c r="M6" s="447"/>
      <c r="N6" s="447"/>
      <c r="O6" s="447"/>
      <c r="P6" s="448"/>
      <c r="Q6" s="446">
        <f t="shared" si="0"/>
        <v>1529.5698239999999</v>
      </c>
    </row>
    <row r="7" spans="1:17">
      <c r="A7" s="446" t="s">
        <v>105</v>
      </c>
      <c r="B7" s="447">
        <f>landbouw!B8</f>
        <v>2680.79153</v>
      </c>
      <c r="C7" s="447">
        <f>landbouw!C8</f>
        <v>62.357142857142847</v>
      </c>
      <c r="D7" s="447">
        <f>landbouw!D8</f>
        <v>171.59286666900002</v>
      </c>
      <c r="E7" s="447">
        <f>landbouw!E8</f>
        <v>76.782406149050786</v>
      </c>
      <c r="F7" s="447">
        <f>landbouw!F8</f>
        <v>8486.001186759393</v>
      </c>
      <c r="G7" s="447">
        <f>landbouw!G8</f>
        <v>0</v>
      </c>
      <c r="H7" s="447">
        <f>landbouw!H8</f>
        <v>0</v>
      </c>
      <c r="I7" s="447">
        <f>landbouw!I8</f>
        <v>0</v>
      </c>
      <c r="J7" s="447">
        <f>landbouw!J8</f>
        <v>681.64110281251294</v>
      </c>
      <c r="K7" s="447">
        <f>landbouw!K8</f>
        <v>0</v>
      </c>
      <c r="L7" s="447">
        <f>landbouw!L8</f>
        <v>0</v>
      </c>
      <c r="M7" s="447">
        <f>landbouw!M8</f>
        <v>0</v>
      </c>
      <c r="N7" s="447">
        <f>landbouw!N8</f>
        <v>0</v>
      </c>
      <c r="O7" s="447">
        <f>landbouw!O8</f>
        <v>0</v>
      </c>
      <c r="P7" s="448">
        <f>landbouw!P8</f>
        <v>0</v>
      </c>
      <c r="Q7" s="446">
        <f t="shared" si="0"/>
        <v>12159.166235247099</v>
      </c>
    </row>
    <row r="8" spans="1:17">
      <c r="A8" s="446" t="s">
        <v>611</v>
      </c>
      <c r="B8" s="447">
        <f>industrie!B18</f>
        <v>18262.802674999999</v>
      </c>
      <c r="C8" s="447">
        <f>industrie!C18</f>
        <v>0</v>
      </c>
      <c r="D8" s="447">
        <f>industrie!D18</f>
        <v>13411.297149684</v>
      </c>
      <c r="E8" s="447">
        <f>industrie!E18</f>
        <v>159.28015429831225</v>
      </c>
      <c r="F8" s="447">
        <f>industrie!F18</f>
        <v>4347.0260873393263</v>
      </c>
      <c r="G8" s="447">
        <f>industrie!G18</f>
        <v>0</v>
      </c>
      <c r="H8" s="447">
        <f>industrie!H18</f>
        <v>0</v>
      </c>
      <c r="I8" s="447">
        <f>industrie!I18</f>
        <v>0</v>
      </c>
      <c r="J8" s="447">
        <f>industrie!J18</f>
        <v>253.98653404503676</v>
      </c>
      <c r="K8" s="447">
        <f>industrie!K18</f>
        <v>0</v>
      </c>
      <c r="L8" s="447">
        <f>industrie!L18</f>
        <v>0</v>
      </c>
      <c r="M8" s="447">
        <f>industrie!M18</f>
        <v>0</v>
      </c>
      <c r="N8" s="447">
        <f>industrie!N18</f>
        <v>4154.9871785645009</v>
      </c>
      <c r="O8" s="447">
        <f>industrie!O18</f>
        <v>0</v>
      </c>
      <c r="P8" s="448">
        <f>industrie!P18</f>
        <v>0</v>
      </c>
      <c r="Q8" s="446">
        <f t="shared" si="0"/>
        <v>40589.379778931172</v>
      </c>
    </row>
    <row r="9" spans="1:17" s="452" customFormat="1">
      <c r="A9" s="450" t="s">
        <v>537</v>
      </c>
      <c r="B9" s="451">
        <f>transport!B14</f>
        <v>362.78981283555026</v>
      </c>
      <c r="C9" s="451">
        <f>transport!C14</f>
        <v>0</v>
      </c>
      <c r="D9" s="451">
        <f>transport!D14</f>
        <v>683.64714121529096</v>
      </c>
      <c r="E9" s="451">
        <f>transport!E14</f>
        <v>266.03527385964151</v>
      </c>
      <c r="F9" s="451">
        <f>transport!F14</f>
        <v>0</v>
      </c>
      <c r="G9" s="451">
        <f>transport!G14</f>
        <v>109518.15362022574</v>
      </c>
      <c r="H9" s="451">
        <f>transport!H14</f>
        <v>33391.562192378362</v>
      </c>
      <c r="I9" s="451">
        <f>transport!I14</f>
        <v>0</v>
      </c>
      <c r="J9" s="451">
        <f>transport!J14</f>
        <v>0</v>
      </c>
      <c r="K9" s="451">
        <f>transport!K14</f>
        <v>0</v>
      </c>
      <c r="L9" s="451">
        <f>transport!L14</f>
        <v>0</v>
      </c>
      <c r="M9" s="451">
        <f>transport!M14</f>
        <v>8655.5220701603721</v>
      </c>
      <c r="N9" s="451">
        <f>transport!N14</f>
        <v>0</v>
      </c>
      <c r="O9" s="451">
        <f>transport!O14</f>
        <v>0</v>
      </c>
      <c r="P9" s="451">
        <f>transport!P14</f>
        <v>0</v>
      </c>
      <c r="Q9" s="450">
        <f>SUM(B9:P9)</f>
        <v>152877.71011067496</v>
      </c>
    </row>
    <row r="10" spans="1:17">
      <c r="A10" s="446" t="s">
        <v>527</v>
      </c>
      <c r="B10" s="447">
        <f>transport!B54</f>
        <v>43.20193032010792</v>
      </c>
      <c r="C10" s="447">
        <f>transport!C54</f>
        <v>0</v>
      </c>
      <c r="D10" s="447">
        <f>transport!D54</f>
        <v>0</v>
      </c>
      <c r="E10" s="447">
        <f>transport!E54</f>
        <v>0</v>
      </c>
      <c r="F10" s="447">
        <f>transport!F54</f>
        <v>0</v>
      </c>
      <c r="G10" s="447">
        <f>transport!G54</f>
        <v>2704.5714466214595</v>
      </c>
      <c r="H10" s="447">
        <f>transport!H54</f>
        <v>0</v>
      </c>
      <c r="I10" s="447">
        <f>transport!I54</f>
        <v>0</v>
      </c>
      <c r="J10" s="447">
        <f>transport!J54</f>
        <v>0</v>
      </c>
      <c r="K10" s="447">
        <f>transport!K54</f>
        <v>0</v>
      </c>
      <c r="L10" s="447">
        <f>transport!L54</f>
        <v>0</v>
      </c>
      <c r="M10" s="447">
        <f>transport!M54</f>
        <v>155.29050391407975</v>
      </c>
      <c r="N10" s="447">
        <f>transport!N54</f>
        <v>0</v>
      </c>
      <c r="O10" s="447">
        <f>transport!O54</f>
        <v>0</v>
      </c>
      <c r="P10" s="448">
        <f>transport!P54</f>
        <v>0</v>
      </c>
      <c r="Q10" s="446">
        <f t="shared" si="0"/>
        <v>2903.0638808556469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588.906342</v>
      </c>
      <c r="C14" s="454"/>
      <c r="D14" s="454">
        <f>'SEAP template'!E25</f>
        <v>1500.1801399999999</v>
      </c>
      <c r="E14" s="454"/>
      <c r="F14" s="454"/>
      <c r="G14" s="454"/>
      <c r="H14" s="454"/>
      <c r="I14" s="454"/>
      <c r="J14" s="454"/>
      <c r="K14" s="454"/>
      <c r="L14" s="454"/>
      <c r="M14" s="454"/>
      <c r="N14" s="454"/>
      <c r="O14" s="454"/>
      <c r="P14" s="455"/>
      <c r="Q14" s="446">
        <f t="shared" si="0"/>
        <v>2089.0864819999997</v>
      </c>
    </row>
    <row r="15" spans="1:17" s="458" customFormat="1">
      <c r="A15" s="456" t="s">
        <v>531</v>
      </c>
      <c r="B15" s="457">
        <f ca="1">SUM(B4:B14)</f>
        <v>90059.748272562952</v>
      </c>
      <c r="C15" s="457">
        <f t="shared" ref="C15:Q15" ca="1" si="1">SUM(C4:C14)</f>
        <v>62.357142857142847</v>
      </c>
      <c r="D15" s="457">
        <f t="shared" ca="1" si="1"/>
        <v>100455.29971373321</v>
      </c>
      <c r="E15" s="457">
        <f t="shared" si="1"/>
        <v>4048.7446717669168</v>
      </c>
      <c r="F15" s="457">
        <f t="shared" ca="1" si="1"/>
        <v>91409.172400762211</v>
      </c>
      <c r="G15" s="457">
        <f t="shared" si="1"/>
        <v>112222.7250668472</v>
      </c>
      <c r="H15" s="457">
        <f t="shared" si="1"/>
        <v>33391.562192378362</v>
      </c>
      <c r="I15" s="457">
        <f t="shared" si="1"/>
        <v>0</v>
      </c>
      <c r="J15" s="457">
        <f t="shared" si="1"/>
        <v>1360.5581722094446</v>
      </c>
      <c r="K15" s="457">
        <f t="shared" si="1"/>
        <v>0</v>
      </c>
      <c r="L15" s="457">
        <f t="shared" ca="1" si="1"/>
        <v>0</v>
      </c>
      <c r="M15" s="457">
        <f t="shared" si="1"/>
        <v>8810.8125740744526</v>
      </c>
      <c r="N15" s="457">
        <f t="shared" ca="1" si="1"/>
        <v>18269.532232052279</v>
      </c>
      <c r="O15" s="457">
        <f t="shared" si="1"/>
        <v>1108.7821055068453</v>
      </c>
      <c r="P15" s="457">
        <f t="shared" si="1"/>
        <v>1558.3726863777331</v>
      </c>
      <c r="Q15" s="457">
        <f t="shared" ca="1" si="1"/>
        <v>462757.66723112873</v>
      </c>
    </row>
    <row r="17" spans="1:17">
      <c r="A17" s="459" t="s">
        <v>532</v>
      </c>
      <c r="B17" s="776">
        <f ca="1">huishoudens!B10</f>
        <v>0.16866704490198706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6998.2873295048003</v>
      </c>
      <c r="C22" s="447">
        <f t="shared" ref="C22:C32" ca="1" si="3">C4*$C$17</f>
        <v>0</v>
      </c>
      <c r="D22" s="447">
        <f t="shared" ref="D22:D32" si="4">D4*$D$17</f>
        <v>11346.496164521768</v>
      </c>
      <c r="E22" s="447">
        <f t="shared" ref="E22:E32" si="5">E4*$E$17</f>
        <v>772.57542571403474</v>
      </c>
      <c r="F22" s="447">
        <f t="shared" ref="F22:F32" si="6">F4*$F$17</f>
        <v>19906.796508423737</v>
      </c>
      <c r="G22" s="447">
        <f t="shared" ref="G22:G32" si="7">G4*$G$17</f>
        <v>0</v>
      </c>
      <c r="H22" s="447">
        <f t="shared" ref="H22:H32" si="8">H4*$H$17</f>
        <v>0</v>
      </c>
      <c r="I22" s="447">
        <f t="shared" ref="I22:I32" si="9">I4*$I$17</f>
        <v>0</v>
      </c>
      <c r="J22" s="447">
        <f t="shared" ref="J22:J32" si="10">J4*$J$17</f>
        <v>150.41819380621763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39174.573621970558</v>
      </c>
    </row>
    <row r="23" spans="1:17">
      <c r="A23" s="446" t="s">
        <v>149</v>
      </c>
      <c r="B23" s="447">
        <f t="shared" ca="1" si="2"/>
        <v>4233.5355898743119</v>
      </c>
      <c r="C23" s="447">
        <f t="shared" ca="1" si="3"/>
        <v>0</v>
      </c>
      <c r="D23" s="447">
        <f t="shared" ca="1" si="4"/>
        <v>5760.5974835435463</v>
      </c>
      <c r="E23" s="447">
        <f t="shared" si="5"/>
        <v>32.513406389365265</v>
      </c>
      <c r="F23" s="447">
        <f t="shared" ca="1" si="6"/>
        <v>1073.0342403954139</v>
      </c>
      <c r="G23" s="447">
        <f t="shared" si="7"/>
        <v>0</v>
      </c>
      <c r="H23" s="447">
        <f t="shared" si="8"/>
        <v>0</v>
      </c>
      <c r="I23" s="447">
        <f t="shared" si="9"/>
        <v>0</v>
      </c>
      <c r="J23" s="447">
        <f t="shared" si="10"/>
        <v>7.2157083531497026E-3</v>
      </c>
      <c r="K23" s="447">
        <f t="shared" si="11"/>
        <v>0</v>
      </c>
      <c r="L23" s="447">
        <f t="shared" ca="1" si="12"/>
        <v>0</v>
      </c>
      <c r="M23" s="447">
        <f t="shared" si="13"/>
        <v>0</v>
      </c>
      <c r="N23" s="447">
        <f t="shared" ca="1" si="14"/>
        <v>0</v>
      </c>
      <c r="O23" s="447">
        <f t="shared" si="15"/>
        <v>0</v>
      </c>
      <c r="P23" s="448">
        <f t="shared" si="16"/>
        <v>0</v>
      </c>
      <c r="Q23" s="446">
        <f t="shared" ref="Q23:Q31" ca="1" si="17">SUM(B23:P23)</f>
        <v>11099.687935910992</v>
      </c>
    </row>
    <row r="24" spans="1:17">
      <c r="A24" s="446" t="s">
        <v>187</v>
      </c>
      <c r="B24" s="447">
        <f t="shared" ca="1" si="2"/>
        <v>257.98802218533245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257.98802218533245</v>
      </c>
    </row>
    <row r="25" spans="1:17">
      <c r="A25" s="446" t="s">
        <v>105</v>
      </c>
      <c r="B25" s="447">
        <f t="shared" ca="1" si="2"/>
        <v>452.1611853633766</v>
      </c>
      <c r="C25" s="447">
        <f t="shared" ca="1" si="3"/>
        <v>0</v>
      </c>
      <c r="D25" s="447">
        <f t="shared" si="4"/>
        <v>34.661759067138007</v>
      </c>
      <c r="E25" s="447">
        <f t="shared" si="5"/>
        <v>17.429606195834531</v>
      </c>
      <c r="F25" s="447">
        <f t="shared" si="6"/>
        <v>2265.7623168647578</v>
      </c>
      <c r="G25" s="447">
        <f t="shared" si="7"/>
        <v>0</v>
      </c>
      <c r="H25" s="447">
        <f t="shared" si="8"/>
        <v>0</v>
      </c>
      <c r="I25" s="447">
        <f t="shared" si="9"/>
        <v>0</v>
      </c>
      <c r="J25" s="447">
        <f t="shared" si="10"/>
        <v>241.30095039562957</v>
      </c>
      <c r="K25" s="447">
        <f t="shared" si="11"/>
        <v>0</v>
      </c>
      <c r="L25" s="447">
        <f t="shared" si="12"/>
        <v>0</v>
      </c>
      <c r="M25" s="447">
        <f t="shared" si="13"/>
        <v>0</v>
      </c>
      <c r="N25" s="447">
        <f t="shared" si="14"/>
        <v>0</v>
      </c>
      <c r="O25" s="447">
        <f t="shared" si="15"/>
        <v>0</v>
      </c>
      <c r="P25" s="448">
        <f t="shared" si="16"/>
        <v>0</v>
      </c>
      <c r="Q25" s="446">
        <f t="shared" ca="1" si="17"/>
        <v>3011.3158178867366</v>
      </c>
    </row>
    <row r="26" spans="1:17">
      <c r="A26" s="446" t="s">
        <v>611</v>
      </c>
      <c r="B26" s="447">
        <f t="shared" ca="1" si="2"/>
        <v>3080.3329588203542</v>
      </c>
      <c r="C26" s="447">
        <f t="shared" ca="1" si="3"/>
        <v>0</v>
      </c>
      <c r="D26" s="447">
        <f t="shared" si="4"/>
        <v>2709.0820242361683</v>
      </c>
      <c r="E26" s="447">
        <f t="shared" si="5"/>
        <v>36.156595025716882</v>
      </c>
      <c r="F26" s="447">
        <f t="shared" si="6"/>
        <v>1160.6559653196002</v>
      </c>
      <c r="G26" s="447">
        <f t="shared" si="7"/>
        <v>0</v>
      </c>
      <c r="H26" s="447">
        <f t="shared" si="8"/>
        <v>0</v>
      </c>
      <c r="I26" s="447">
        <f t="shared" si="9"/>
        <v>0</v>
      </c>
      <c r="J26" s="447">
        <f t="shared" si="10"/>
        <v>89.911233051943015</v>
      </c>
      <c r="K26" s="447">
        <f t="shared" si="11"/>
        <v>0</v>
      </c>
      <c r="L26" s="447">
        <f t="shared" si="12"/>
        <v>0</v>
      </c>
      <c r="M26" s="447">
        <f t="shared" si="13"/>
        <v>0</v>
      </c>
      <c r="N26" s="447">
        <f t="shared" si="14"/>
        <v>0</v>
      </c>
      <c r="O26" s="447">
        <f t="shared" si="15"/>
        <v>0</v>
      </c>
      <c r="P26" s="448">
        <f t="shared" si="16"/>
        <v>0</v>
      </c>
      <c r="Q26" s="446">
        <f t="shared" ca="1" si="17"/>
        <v>7076.1387764537822</v>
      </c>
    </row>
    <row r="27" spans="1:17" s="452" customFormat="1">
      <c r="A27" s="450" t="s">
        <v>537</v>
      </c>
      <c r="B27" s="770">
        <f t="shared" ca="1" si="2"/>
        <v>61.190685651517235</v>
      </c>
      <c r="C27" s="451">
        <f t="shared" ca="1" si="3"/>
        <v>0</v>
      </c>
      <c r="D27" s="451">
        <f t="shared" si="4"/>
        <v>138.09672252548879</v>
      </c>
      <c r="E27" s="451">
        <f t="shared" si="5"/>
        <v>60.390007166138624</v>
      </c>
      <c r="F27" s="451">
        <f t="shared" si="6"/>
        <v>0</v>
      </c>
      <c r="G27" s="451">
        <f t="shared" si="7"/>
        <v>29241.347016600273</v>
      </c>
      <c r="H27" s="451">
        <f t="shared" si="8"/>
        <v>8314.4989859022116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37815.52341784563</v>
      </c>
    </row>
    <row r="28" spans="1:17" ht="16.5" customHeight="1">
      <c r="A28" s="446" t="s">
        <v>527</v>
      </c>
      <c r="B28" s="447">
        <f t="shared" ca="1" si="2"/>
        <v>7.2867419211541584</v>
      </c>
      <c r="C28" s="447">
        <f t="shared" ca="1" si="3"/>
        <v>0</v>
      </c>
      <c r="D28" s="447">
        <f t="shared" si="4"/>
        <v>0</v>
      </c>
      <c r="E28" s="447">
        <f t="shared" si="5"/>
        <v>0</v>
      </c>
      <c r="F28" s="447">
        <f t="shared" si="6"/>
        <v>0</v>
      </c>
      <c r="G28" s="447">
        <f t="shared" si="7"/>
        <v>722.12057624792976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729.40731816908396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99.329092429178942</v>
      </c>
      <c r="C32" s="447">
        <f t="shared" ca="1" si="3"/>
        <v>0</v>
      </c>
      <c r="D32" s="447">
        <f t="shared" si="4"/>
        <v>303.03638827999998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402.36548070917894</v>
      </c>
    </row>
    <row r="33" spans="1:17" s="458" customFormat="1">
      <c r="A33" s="456" t="s">
        <v>531</v>
      </c>
      <c r="B33" s="457">
        <f ca="1">SUM(B22:B32)</f>
        <v>15190.111605750028</v>
      </c>
      <c r="C33" s="457">
        <f t="shared" ref="C33:Q33" ca="1" si="19">SUM(C22:C32)</f>
        <v>0</v>
      </c>
      <c r="D33" s="457">
        <f t="shared" ca="1" si="19"/>
        <v>20291.970542174113</v>
      </c>
      <c r="E33" s="457">
        <f t="shared" si="19"/>
        <v>919.06504049109003</v>
      </c>
      <c r="F33" s="457">
        <f t="shared" ca="1" si="19"/>
        <v>24406.24903100351</v>
      </c>
      <c r="G33" s="457">
        <f t="shared" si="19"/>
        <v>29963.467592848203</v>
      </c>
      <c r="H33" s="457">
        <f t="shared" si="19"/>
        <v>8314.4989859022116</v>
      </c>
      <c r="I33" s="457">
        <f t="shared" si="19"/>
        <v>0</v>
      </c>
      <c r="J33" s="457">
        <f t="shared" si="19"/>
        <v>481.63759296214334</v>
      </c>
      <c r="K33" s="457">
        <f t="shared" si="19"/>
        <v>0</v>
      </c>
      <c r="L33" s="457">
        <f t="shared" ca="1" si="19"/>
        <v>0</v>
      </c>
      <c r="M33" s="457">
        <f t="shared" si="19"/>
        <v>0</v>
      </c>
      <c r="N33" s="457">
        <f t="shared" ca="1" si="19"/>
        <v>0</v>
      </c>
      <c r="O33" s="457">
        <f t="shared" si="19"/>
        <v>0</v>
      </c>
      <c r="P33" s="457">
        <f t="shared" si="19"/>
        <v>0</v>
      </c>
      <c r="Q33" s="457">
        <f t="shared" ca="1" si="19"/>
        <v>99567.000391131296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21282.561594961022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21326.211594961023</v>
      </c>
      <c r="C10" s="1016">
        <f>SUM(C4:C9)</f>
        <v>0</v>
      </c>
      <c r="D10" s="1016">
        <f t="shared" ref="D10:H10" si="0">SUM(D8:D9)</f>
        <v>0</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0.16866704490198706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0.16866704490198706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0.16866704490198706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0.16866704490198706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9430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5209.99</v>
      </c>
      <c r="C14" s="326"/>
      <c r="D14" s="326"/>
      <c r="E14" s="326"/>
      <c r="F14" s="326"/>
    </row>
    <row r="15" spans="1:6">
      <c r="A15" s="1310" t="s">
        <v>177</v>
      </c>
      <c r="B15" s="1311">
        <v>1943</v>
      </c>
      <c r="C15" s="326"/>
      <c r="D15" s="326"/>
      <c r="E15" s="326"/>
      <c r="F15" s="326"/>
    </row>
    <row r="16" spans="1:6">
      <c r="A16" s="1310" t="s">
        <v>6</v>
      </c>
      <c r="B16" s="1311">
        <v>2120</v>
      </c>
      <c r="C16" s="326"/>
      <c r="D16" s="326"/>
      <c r="E16" s="326"/>
      <c r="F16" s="326"/>
    </row>
    <row r="17" spans="1:6">
      <c r="A17" s="1310" t="s">
        <v>7</v>
      </c>
      <c r="B17" s="1311">
        <v>477</v>
      </c>
      <c r="C17" s="326"/>
      <c r="D17" s="326"/>
      <c r="E17" s="326"/>
      <c r="F17" s="326"/>
    </row>
    <row r="18" spans="1:6">
      <c r="A18" s="1310" t="s">
        <v>8</v>
      </c>
      <c r="B18" s="1311">
        <v>1504</v>
      </c>
      <c r="C18" s="326"/>
      <c r="D18" s="326"/>
      <c r="E18" s="326"/>
      <c r="F18" s="326"/>
    </row>
    <row r="19" spans="1:6">
      <c r="A19" s="1310" t="s">
        <v>9</v>
      </c>
      <c r="B19" s="1311">
        <v>1380</v>
      </c>
      <c r="C19" s="326"/>
      <c r="D19" s="326"/>
      <c r="E19" s="326"/>
      <c r="F19" s="326"/>
    </row>
    <row r="20" spans="1:6">
      <c r="A20" s="1310" t="s">
        <v>10</v>
      </c>
      <c r="B20" s="1311">
        <v>883</v>
      </c>
      <c r="C20" s="326"/>
      <c r="D20" s="326"/>
      <c r="E20" s="326"/>
      <c r="F20" s="326"/>
    </row>
    <row r="21" spans="1:6">
      <c r="A21" s="1310" t="s">
        <v>11</v>
      </c>
      <c r="B21" s="1311">
        <v>5165</v>
      </c>
      <c r="C21" s="326"/>
      <c r="D21" s="326"/>
      <c r="E21" s="326"/>
      <c r="F21" s="326"/>
    </row>
    <row r="22" spans="1:6">
      <c r="A22" s="1310" t="s">
        <v>12</v>
      </c>
      <c r="B22" s="1311">
        <v>14625</v>
      </c>
      <c r="C22" s="326"/>
      <c r="D22" s="326"/>
      <c r="E22" s="326"/>
      <c r="F22" s="326"/>
    </row>
    <row r="23" spans="1:6">
      <c r="A23" s="1310" t="s">
        <v>13</v>
      </c>
      <c r="B23" s="1311">
        <v>171</v>
      </c>
      <c r="C23" s="326"/>
      <c r="D23" s="326"/>
      <c r="E23" s="326"/>
      <c r="F23" s="326"/>
    </row>
    <row r="24" spans="1:6">
      <c r="A24" s="1310" t="s">
        <v>14</v>
      </c>
      <c r="B24" s="1311">
        <v>9</v>
      </c>
      <c r="C24" s="326"/>
      <c r="D24" s="326"/>
      <c r="E24" s="326"/>
      <c r="F24" s="326"/>
    </row>
    <row r="25" spans="1:6">
      <c r="A25" s="1310" t="s">
        <v>15</v>
      </c>
      <c r="B25" s="1311">
        <v>1084</v>
      </c>
      <c r="C25" s="326"/>
      <c r="D25" s="326"/>
      <c r="E25" s="326"/>
      <c r="F25" s="326"/>
    </row>
    <row r="26" spans="1:6">
      <c r="A26" s="1310" t="s">
        <v>16</v>
      </c>
      <c r="B26" s="1311">
        <v>410</v>
      </c>
      <c r="C26" s="326"/>
      <c r="D26" s="326"/>
      <c r="E26" s="326"/>
      <c r="F26" s="326"/>
    </row>
    <row r="27" spans="1:6">
      <c r="A27" s="1310" t="s">
        <v>17</v>
      </c>
      <c r="B27" s="1311">
        <v>2</v>
      </c>
      <c r="C27" s="326"/>
      <c r="D27" s="326"/>
      <c r="E27" s="326"/>
      <c r="F27" s="326"/>
    </row>
    <row r="28" spans="1:6">
      <c r="A28" s="1310" t="s">
        <v>18</v>
      </c>
      <c r="B28" s="1312">
        <v>147237</v>
      </c>
      <c r="C28" s="326"/>
      <c r="D28" s="326"/>
      <c r="E28" s="326"/>
      <c r="F28" s="326"/>
    </row>
    <row r="29" spans="1:6">
      <c r="A29" s="1310" t="s">
        <v>678</v>
      </c>
      <c r="B29" s="1312">
        <v>750</v>
      </c>
      <c r="C29" s="326"/>
      <c r="D29" s="326"/>
      <c r="E29" s="326"/>
      <c r="F29" s="326"/>
    </row>
    <row r="30" spans="1:6">
      <c r="A30" s="1305" t="s">
        <v>679</v>
      </c>
      <c r="B30" s="1313">
        <v>98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22</v>
      </c>
      <c r="F36" s="1311">
        <v>57216.118999999999</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42178</v>
      </c>
    </row>
    <row r="39" spans="1:6">
      <c r="A39" s="1310" t="s">
        <v>29</v>
      </c>
      <c r="B39" s="1310" t="s">
        <v>30</v>
      </c>
      <c r="C39" s="1311">
        <v>4153</v>
      </c>
      <c r="D39" s="1311">
        <v>62204621.363999903</v>
      </c>
      <c r="E39" s="1311">
        <v>9320</v>
      </c>
      <c r="F39" s="1311">
        <v>28964361.088999901</v>
      </c>
    </row>
    <row r="40" spans="1:6">
      <c r="A40" s="1310" t="s">
        <v>29</v>
      </c>
      <c r="B40" s="1310" t="s">
        <v>28</v>
      </c>
      <c r="C40" s="1311">
        <v>0</v>
      </c>
      <c r="D40" s="1311">
        <v>0</v>
      </c>
      <c r="E40" s="1311">
        <v>0</v>
      </c>
      <c r="F40" s="1311">
        <v>0</v>
      </c>
    </row>
    <row r="41" spans="1:6">
      <c r="A41" s="1310" t="s">
        <v>31</v>
      </c>
      <c r="B41" s="1310" t="s">
        <v>32</v>
      </c>
      <c r="C41" s="1311">
        <v>117</v>
      </c>
      <c r="D41" s="1311">
        <v>4383602.6109999996</v>
      </c>
      <c r="E41" s="1311">
        <v>263</v>
      </c>
      <c r="F41" s="1311">
        <v>4524556.0180000002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36</v>
      </c>
      <c r="D44" s="1311">
        <v>4822444.6540000001</v>
      </c>
      <c r="E44" s="1311">
        <v>67</v>
      </c>
      <c r="F44" s="1311">
        <v>5193405.398</v>
      </c>
    </row>
    <row r="45" spans="1:6">
      <c r="A45" s="1310" t="s">
        <v>31</v>
      </c>
      <c r="B45" s="1310" t="s">
        <v>36</v>
      </c>
      <c r="C45" s="1311">
        <v>7</v>
      </c>
      <c r="D45" s="1311">
        <v>4836478.227</v>
      </c>
      <c r="E45" s="1311">
        <v>9</v>
      </c>
      <c r="F45" s="1311">
        <v>6975613.6619999995</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455921.049</v>
      </c>
    </row>
    <row r="48" spans="1:6">
      <c r="A48" s="1310" t="s">
        <v>31</v>
      </c>
      <c r="B48" s="1310" t="s">
        <v>28</v>
      </c>
      <c r="C48" s="1311">
        <v>4</v>
      </c>
      <c r="D48" s="1311">
        <v>66681.985000000001</v>
      </c>
      <c r="E48" s="1311">
        <v>1</v>
      </c>
      <c r="F48" s="1311">
        <v>1668.8810000000001</v>
      </c>
    </row>
    <row r="49" spans="1:6">
      <c r="A49" s="1310" t="s">
        <v>31</v>
      </c>
      <c r="B49" s="1310" t="s">
        <v>39</v>
      </c>
      <c r="C49" s="1311">
        <v>3</v>
      </c>
      <c r="D49" s="1311">
        <v>742727.35100000002</v>
      </c>
      <c r="E49" s="1311">
        <v>7</v>
      </c>
      <c r="F49" s="1311">
        <v>178492.144</v>
      </c>
    </row>
    <row r="50" spans="1:6">
      <c r="A50" s="1310" t="s">
        <v>31</v>
      </c>
      <c r="B50" s="1310" t="s">
        <v>40</v>
      </c>
      <c r="C50" s="1311">
        <v>0</v>
      </c>
      <c r="D50" s="1311">
        <v>0</v>
      </c>
      <c r="E50" s="1311">
        <v>10</v>
      </c>
      <c r="F50" s="1311">
        <v>933145.52300000004</v>
      </c>
    </row>
    <row r="51" spans="1:6">
      <c r="A51" s="1310" t="s">
        <v>41</v>
      </c>
      <c r="B51" s="1310" t="s">
        <v>42</v>
      </c>
      <c r="C51" s="1311">
        <v>7</v>
      </c>
      <c r="D51" s="1311">
        <v>190025.323</v>
      </c>
      <c r="E51" s="1311">
        <v>134</v>
      </c>
      <c r="F51" s="1311">
        <v>2680791.5299999998</v>
      </c>
    </row>
    <row r="52" spans="1:6">
      <c r="A52" s="1310" t="s">
        <v>41</v>
      </c>
      <c r="B52" s="1310" t="s">
        <v>28</v>
      </c>
      <c r="C52" s="1311">
        <v>0</v>
      </c>
      <c r="D52" s="1311">
        <v>0</v>
      </c>
      <c r="E52" s="1311">
        <v>0</v>
      </c>
      <c r="F52" s="1311">
        <v>0</v>
      </c>
    </row>
    <row r="53" spans="1:6">
      <c r="A53" s="1310" t="s">
        <v>43</v>
      </c>
      <c r="B53" s="1310" t="s">
        <v>44</v>
      </c>
      <c r="C53" s="1311">
        <v>53</v>
      </c>
      <c r="D53" s="1311">
        <v>1500180.14</v>
      </c>
      <c r="E53" s="1311">
        <v>114</v>
      </c>
      <c r="F53" s="1311">
        <v>588906.34199999995</v>
      </c>
    </row>
    <row r="54" spans="1:6">
      <c r="A54" s="1310" t="s">
        <v>45</v>
      </c>
      <c r="B54" s="1310" t="s">
        <v>46</v>
      </c>
      <c r="C54" s="1311">
        <v>0</v>
      </c>
      <c r="D54" s="1311">
        <v>0</v>
      </c>
      <c r="E54" s="1311">
        <v>6</v>
      </c>
      <c r="F54" s="1311">
        <v>1529569.824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59</v>
      </c>
      <c r="D57" s="1311">
        <v>3975519.702</v>
      </c>
      <c r="E57" s="1311">
        <v>179</v>
      </c>
      <c r="F57" s="1311">
        <v>2015326.2860000001</v>
      </c>
    </row>
    <row r="58" spans="1:6">
      <c r="A58" s="1310" t="s">
        <v>48</v>
      </c>
      <c r="B58" s="1310" t="s">
        <v>50</v>
      </c>
      <c r="C58" s="1311">
        <v>28</v>
      </c>
      <c r="D58" s="1311">
        <v>2678630.6379999998</v>
      </c>
      <c r="E58" s="1311">
        <v>57</v>
      </c>
      <c r="F58" s="1311">
        <v>1347917.55</v>
      </c>
    </row>
    <row r="59" spans="1:6">
      <c r="A59" s="1310" t="s">
        <v>48</v>
      </c>
      <c r="B59" s="1310" t="s">
        <v>51</v>
      </c>
      <c r="C59" s="1311">
        <v>125</v>
      </c>
      <c r="D59" s="1311">
        <v>17012139.82</v>
      </c>
      <c r="E59" s="1311">
        <v>267</v>
      </c>
      <c r="F59" s="1311">
        <v>14515678.888</v>
      </c>
    </row>
    <row r="60" spans="1:6">
      <c r="A60" s="1310" t="s">
        <v>48</v>
      </c>
      <c r="B60" s="1310" t="s">
        <v>52</v>
      </c>
      <c r="C60" s="1311">
        <v>50</v>
      </c>
      <c r="D60" s="1311">
        <v>2449245.787</v>
      </c>
      <c r="E60" s="1311">
        <v>86</v>
      </c>
      <c r="F60" s="1311">
        <v>2564226.6949999998</v>
      </c>
    </row>
    <row r="61" spans="1:6">
      <c r="A61" s="1310" t="s">
        <v>48</v>
      </c>
      <c r="B61" s="1310" t="s">
        <v>53</v>
      </c>
      <c r="C61" s="1311">
        <v>108</v>
      </c>
      <c r="D61" s="1311">
        <v>4849883.216</v>
      </c>
      <c r="E61" s="1311">
        <v>272</v>
      </c>
      <c r="F61" s="1311">
        <v>4492433.7580000004</v>
      </c>
    </row>
    <row r="62" spans="1:6">
      <c r="A62" s="1310" t="s">
        <v>48</v>
      </c>
      <c r="B62" s="1310" t="s">
        <v>54</v>
      </c>
      <c r="C62" s="1311">
        <v>10</v>
      </c>
      <c r="D62" s="1311">
        <v>615765.02800000005</v>
      </c>
      <c r="E62" s="1311">
        <v>21</v>
      </c>
      <c r="F62" s="1311">
        <v>164373.91500000001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5066.482</v>
      </c>
      <c r="E65" s="1311">
        <v>1</v>
      </c>
      <c r="F65" s="1311">
        <v>13886.396000000001</v>
      </c>
    </row>
    <row r="66" spans="1:6">
      <c r="A66" s="1310" t="s">
        <v>55</v>
      </c>
      <c r="B66" s="1310" t="s">
        <v>57</v>
      </c>
      <c r="C66" s="1311">
        <v>0</v>
      </c>
      <c r="D66" s="1311">
        <v>0</v>
      </c>
      <c r="E66" s="1311">
        <v>18</v>
      </c>
      <c r="F66" s="1311">
        <v>229459.772</v>
      </c>
    </row>
    <row r="67" spans="1:6">
      <c r="A67" s="1310" t="s">
        <v>55</v>
      </c>
      <c r="B67" s="1310" t="s">
        <v>58</v>
      </c>
      <c r="C67" s="1311">
        <v>0</v>
      </c>
      <c r="D67" s="1311">
        <v>0</v>
      </c>
      <c r="E67" s="1311">
        <v>0</v>
      </c>
      <c r="F67" s="1311">
        <v>0</v>
      </c>
    </row>
    <row r="68" spans="1:6">
      <c r="A68" s="1305" t="s">
        <v>55</v>
      </c>
      <c r="B68" s="1305" t="s">
        <v>59</v>
      </c>
      <c r="C68" s="1313">
        <v>5</v>
      </c>
      <c r="D68" s="1313">
        <v>934761.58</v>
      </c>
      <c r="E68" s="1313">
        <v>15</v>
      </c>
      <c r="F68" s="1313">
        <v>684822.36100000003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119105279</v>
      </c>
      <c r="E73" s="445"/>
      <c r="F73" s="326"/>
    </row>
    <row r="74" spans="1:6">
      <c r="A74" s="1310" t="s">
        <v>63</v>
      </c>
      <c r="B74" s="1310" t="s">
        <v>632</v>
      </c>
      <c r="C74" s="1323" t="s">
        <v>634</v>
      </c>
      <c r="D74" s="1311">
        <v>10654506.951324008</v>
      </c>
      <c r="E74" s="445"/>
      <c r="F74" s="326"/>
    </row>
    <row r="75" spans="1:6">
      <c r="A75" s="1310" t="s">
        <v>64</v>
      </c>
      <c r="B75" s="1310" t="s">
        <v>631</v>
      </c>
      <c r="C75" s="1323" t="s">
        <v>635</v>
      </c>
      <c r="D75" s="1311">
        <v>53484696</v>
      </c>
      <c r="E75" s="445"/>
      <c r="F75" s="326"/>
    </row>
    <row r="76" spans="1:6">
      <c r="A76" s="1310" t="s">
        <v>64</v>
      </c>
      <c r="B76" s="1310" t="s">
        <v>632</v>
      </c>
      <c r="C76" s="1323" t="s">
        <v>636</v>
      </c>
      <c r="D76" s="1311">
        <v>1121413.9513240089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805810.09735198203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12527.367977407392</v>
      </c>
      <c r="C91" s="326"/>
      <c r="D91" s="326"/>
      <c r="E91" s="326"/>
      <c r="F91" s="326"/>
    </row>
    <row r="92" spans="1:6">
      <c r="A92" s="1305" t="s">
        <v>68</v>
      </c>
      <c r="B92" s="1306">
        <v>8755.1936175536321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469</v>
      </c>
      <c r="C97" s="326"/>
      <c r="D97" s="326"/>
      <c r="E97" s="326"/>
      <c r="F97" s="326"/>
    </row>
    <row r="98" spans="1:6">
      <c r="A98" s="1310" t="s">
        <v>71</v>
      </c>
      <c r="B98" s="1311">
        <v>7</v>
      </c>
      <c r="C98" s="326"/>
      <c r="D98" s="326"/>
      <c r="E98" s="326"/>
      <c r="F98" s="326"/>
    </row>
    <row r="99" spans="1:6">
      <c r="A99" s="1310" t="s">
        <v>72</v>
      </c>
      <c r="B99" s="1311">
        <v>40</v>
      </c>
      <c r="C99" s="326"/>
      <c r="D99" s="326"/>
      <c r="E99" s="326"/>
      <c r="F99" s="326"/>
    </row>
    <row r="100" spans="1:6">
      <c r="A100" s="1310" t="s">
        <v>73</v>
      </c>
      <c r="B100" s="1311">
        <v>333</v>
      </c>
      <c r="C100" s="326"/>
      <c r="D100" s="326"/>
      <c r="E100" s="326"/>
      <c r="F100" s="326"/>
    </row>
    <row r="101" spans="1:6">
      <c r="A101" s="1310" t="s">
        <v>74</v>
      </c>
      <c r="B101" s="1311">
        <v>101</v>
      </c>
      <c r="C101" s="326"/>
      <c r="D101" s="326"/>
      <c r="E101" s="326"/>
      <c r="F101" s="326"/>
    </row>
    <row r="102" spans="1:6">
      <c r="A102" s="1310" t="s">
        <v>75</v>
      </c>
      <c r="B102" s="1311">
        <v>77</v>
      </c>
      <c r="C102" s="326"/>
      <c r="D102" s="326"/>
      <c r="E102" s="326"/>
      <c r="F102" s="326"/>
    </row>
    <row r="103" spans="1:6">
      <c r="A103" s="1310" t="s">
        <v>76</v>
      </c>
      <c r="B103" s="1311">
        <v>123</v>
      </c>
      <c r="C103" s="326"/>
      <c r="D103" s="326"/>
      <c r="E103" s="326"/>
      <c r="F103" s="326"/>
    </row>
    <row r="104" spans="1:6">
      <c r="A104" s="1310" t="s">
        <v>77</v>
      </c>
      <c r="B104" s="1311">
        <v>6330</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58</v>
      </c>
      <c r="C123" s="1311">
        <v>101</v>
      </c>
      <c r="D123" s="326"/>
      <c r="E123" s="326"/>
      <c r="F123" s="326"/>
    </row>
    <row r="124" spans="1:6">
      <c r="A124" s="1310" t="s">
        <v>88</v>
      </c>
      <c r="B124" s="1311">
        <v>1</v>
      </c>
      <c r="C124" s="1311">
        <v>3</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445</v>
      </c>
      <c r="C129" s="326"/>
      <c r="D129" s="326"/>
      <c r="E129" s="326"/>
      <c r="F129" s="326"/>
    </row>
    <row r="130" spans="1:6">
      <c r="A130" s="1310" t="s">
        <v>284</v>
      </c>
      <c r="B130" s="1311">
        <v>4</v>
      </c>
      <c r="C130" s="326"/>
      <c r="D130" s="326"/>
      <c r="E130" s="326"/>
      <c r="F130" s="326"/>
    </row>
    <row r="131" spans="1:6">
      <c r="A131" s="1310" t="s">
        <v>285</v>
      </c>
      <c r="B131" s="1311">
        <v>1</v>
      </c>
      <c r="C131" s="326"/>
      <c r="D131" s="326"/>
      <c r="E131" s="326"/>
      <c r="F131" s="326"/>
    </row>
    <row r="132" spans="1:6">
      <c r="A132" s="1305" t="s">
        <v>286</v>
      </c>
      <c r="B132" s="1306">
        <v>64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90059.748272562938</v>
      </c>
      <c r="C3" s="43" t="s">
        <v>163</v>
      </c>
      <c r="D3" s="43"/>
      <c r="E3" s="154"/>
      <c r="F3" s="43"/>
      <c r="G3" s="43"/>
      <c r="H3" s="43"/>
      <c r="I3" s="43"/>
      <c r="J3" s="43"/>
      <c r="K3" s="96"/>
    </row>
    <row r="4" spans="1:11">
      <c r="A4" s="352" t="s">
        <v>164</v>
      </c>
      <c r="B4" s="49">
        <f>IF(ISERROR('SEAP template'!B78+'SEAP template'!C78),0,'SEAP template'!B78+'SEAP template'!C78)</f>
        <v>21326.211594961023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0.16866704490198706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1529.5698239999999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1529.5698239999999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0.16866704490198706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257.98802218533245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28964.3610889999</v>
      </c>
      <c r="C5" s="17">
        <f>IF(ISERROR('Eigen informatie GS &amp; warmtenet'!B59),0,'Eigen informatie GS &amp; warmtenet'!B59)</f>
        <v>0</v>
      </c>
      <c r="D5" s="30">
        <f>(SUM(HH_hh_gas_kWh,HH_rest_gas_kWh)/1000)*0.903</f>
        <v>56170.773091691917</v>
      </c>
      <c r="E5" s="17">
        <f>B32*B41</f>
        <v>3403.4159723085231</v>
      </c>
      <c r="F5" s="17">
        <f>B36*B45</f>
        <v>74557.290293721861</v>
      </c>
      <c r="G5" s="18"/>
      <c r="H5" s="17"/>
      <c r="I5" s="17"/>
      <c r="J5" s="17">
        <f>B35*B44+C35*C44</f>
        <v>424.91015199496508</v>
      </c>
      <c r="K5" s="17"/>
      <c r="L5" s="17"/>
      <c r="M5" s="17"/>
      <c r="N5" s="17">
        <f>B34*B43+C34*C43</f>
        <v>13321.287315172198</v>
      </c>
      <c r="O5" s="17">
        <f>B52*B53*B54</f>
        <v>1089.1930624434806</v>
      </c>
      <c r="P5" s="17">
        <f>B60*B61*B62/1000-B60*B61*B62/1000/B63</f>
        <v>1295.6769948452579</v>
      </c>
    </row>
    <row r="6" spans="1:16">
      <c r="A6" s="16" t="s">
        <v>597</v>
      </c>
      <c r="B6" s="778">
        <f>kWh_PV_kleiner_dan_10kW</f>
        <v>12527.367977407392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41491.729066407293</v>
      </c>
      <c r="C8" s="21">
        <f>C5</f>
        <v>0</v>
      </c>
      <c r="D8" s="21">
        <f>D5</f>
        <v>56170.773091691917</v>
      </c>
      <c r="E8" s="21">
        <f>E5</f>
        <v>3403.4159723085231</v>
      </c>
      <c r="F8" s="21">
        <f>F5</f>
        <v>74557.290293721861</v>
      </c>
      <c r="G8" s="21"/>
      <c r="H8" s="21"/>
      <c r="I8" s="21"/>
      <c r="J8" s="21">
        <f>J5</f>
        <v>424.91015199496508</v>
      </c>
      <c r="K8" s="21"/>
      <c r="L8" s="21">
        <f>L5</f>
        <v>0</v>
      </c>
      <c r="M8" s="21">
        <f>M5</f>
        <v>0</v>
      </c>
      <c r="N8" s="21">
        <f>N5</f>
        <v>13321.287315172198</v>
      </c>
      <c r="O8" s="21">
        <f>O5</f>
        <v>1089.1930624434806</v>
      </c>
      <c r="P8" s="21">
        <f>P5</f>
        <v>1295.6769948452579</v>
      </c>
    </row>
    <row r="9" spans="1:16">
      <c r="B9" s="19"/>
      <c r="C9" s="19"/>
      <c r="D9" s="254"/>
      <c r="E9" s="19"/>
      <c r="F9" s="19"/>
      <c r="G9" s="19"/>
      <c r="H9" s="19"/>
      <c r="I9" s="19"/>
      <c r="J9" s="19"/>
      <c r="K9" s="19"/>
      <c r="L9" s="19"/>
      <c r="M9" s="19"/>
      <c r="N9" s="19"/>
      <c r="O9" s="19"/>
      <c r="P9" s="19"/>
    </row>
    <row r="10" spans="1:16">
      <c r="A10" s="24" t="s">
        <v>207</v>
      </c>
      <c r="B10" s="25">
        <f ca="1">'EF ele_warmte'!B12</f>
        <v>0.16866704490198706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6998.2873295048003</v>
      </c>
      <c r="C12" s="23">
        <f ca="1">C10*C8</f>
        <v>0</v>
      </c>
      <c r="D12" s="23">
        <f>D8*D10</f>
        <v>11346.496164521768</v>
      </c>
      <c r="E12" s="23">
        <f>E10*E8</f>
        <v>772.57542571403474</v>
      </c>
      <c r="F12" s="23">
        <f>F10*F8</f>
        <v>19906.796508423737</v>
      </c>
      <c r="G12" s="23"/>
      <c r="H12" s="23"/>
      <c r="I12" s="23"/>
      <c r="J12" s="23">
        <f>J10*J8</f>
        <v>150.41819380621763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9430</v>
      </c>
      <c r="C26" s="36"/>
      <c r="D26" s="225"/>
    </row>
    <row r="27" spans="1:5" s="15" customFormat="1">
      <c r="A27" s="227" t="s">
        <v>860</v>
      </c>
      <c r="B27" s="37">
        <f>SUM(HH_hh_gas_aantal,HH_rest_gas_aantal)</f>
        <v>4153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3945.35</v>
      </c>
      <c r="C31" s="34" t="s">
        <v>104</v>
      </c>
      <c r="D31" s="171"/>
    </row>
    <row r="32" spans="1:5">
      <c r="A32" s="168" t="s">
        <v>72</v>
      </c>
      <c r="B32" s="33">
        <f>IF((B21*($B$26-($B$27-0.05*$B$27)-$B$60))&lt;0,0,(B21*($B$26-($B$27-0.05*$B$27)-$B$60)))</f>
        <v>85.117259077334964</v>
      </c>
      <c r="C32" s="34" t="s">
        <v>104</v>
      </c>
      <c r="D32" s="171"/>
    </row>
    <row r="33" spans="1:6">
      <c r="A33" s="168" t="s">
        <v>73</v>
      </c>
      <c r="B33" s="33">
        <f>IF((B22*($B$26-($B$27-0.05*$B$27)-$B$60))&lt;0,0,B22*($B$26-($B$27-0.05*$B$27)-$B$60))</f>
        <v>1382.1357108340394</v>
      </c>
      <c r="C33" s="34" t="s">
        <v>104</v>
      </c>
      <c r="D33" s="171"/>
    </row>
    <row r="34" spans="1:6">
      <c r="A34" s="168" t="s">
        <v>74</v>
      </c>
      <c r="B34" s="33">
        <f>IF((B24*($B$26-($B$27-0.05*$B$27)-$B$60))&lt;0,0,B24*($B$26-($B$27-0.05*$B$27)-$B$60))</f>
        <v>264.97391214841127</v>
      </c>
      <c r="C34" s="33">
        <f>B26*C24</f>
        <v>1932.2630123757115</v>
      </c>
      <c r="D34" s="230"/>
    </row>
    <row r="35" spans="1:6">
      <c r="A35" s="168" t="s">
        <v>76</v>
      </c>
      <c r="B35" s="33">
        <f>IF((B19*($B$26-($B$27-0.05*$B$27)-$B$60))&lt;0,0,B19*($B$26-($B$27-0.05*$B$27)-$B$60))</f>
        <v>37.000269595817528</v>
      </c>
      <c r="C35" s="33">
        <f>B35/2</f>
        <v>18.500134797908764</v>
      </c>
      <c r="D35" s="230"/>
    </row>
    <row r="36" spans="1:6">
      <c r="A36" s="168" t="s">
        <v>77</v>
      </c>
      <c r="B36" s="33">
        <f>IF((B18*($B$26-($B$27-0.05*$B$27)-$B$60))&lt;0,0,B18*($B$26-($B$27-0.05*$B$27)-$B$60))</f>
        <v>3592.4228483443953</v>
      </c>
      <c r="C36" s="34" t="s">
        <v>104</v>
      </c>
      <c r="D36" s="171"/>
    </row>
    <row r="37" spans="1:6">
      <c r="A37" s="168" t="s">
        <v>78</v>
      </c>
      <c r="B37" s="33">
        <f>B60</f>
        <v>123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549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25099.957091999997</v>
      </c>
      <c r="C5" s="17">
        <f>IF(ISERROR('Eigen informatie GS &amp; warmtenet'!B60),0,'Eigen informatie GS &amp; warmtenet'!B60)</f>
        <v>0</v>
      </c>
      <c r="D5" s="30">
        <f>SUM(D6:D12)</f>
        <v>28517.809324473001</v>
      </c>
      <c r="E5" s="17">
        <f>SUM(E6:E12)</f>
        <v>143.23086515138883</v>
      </c>
      <c r="F5" s="17">
        <f>SUM(F6:F12)</f>
        <v>4018.8548329416249</v>
      </c>
      <c r="G5" s="18"/>
      <c r="H5" s="17"/>
      <c r="I5" s="17"/>
      <c r="J5" s="17">
        <f>SUM(J6:J12)</f>
        <v>2.0383356929801422E-2</v>
      </c>
      <c r="K5" s="17"/>
      <c r="L5" s="17"/>
      <c r="M5" s="17"/>
      <c r="N5" s="17">
        <f>SUM(N6:N12)</f>
        <v>793.25773831557967</v>
      </c>
      <c r="O5" s="17">
        <f>B38*B39*B40</f>
        <v>19.589043063364617</v>
      </c>
      <c r="P5" s="17">
        <f>B46*B47*B48/1000-B46*B47*B48/1000/B49</f>
        <v>262.69569153247511</v>
      </c>
      <c r="R5" s="32"/>
    </row>
    <row r="6" spans="1:18">
      <c r="A6" s="32" t="s">
        <v>53</v>
      </c>
      <c r="B6" s="37">
        <f>B26</f>
        <v>4492.4337580000001</v>
      </c>
      <c r="C6" s="33"/>
      <c r="D6" s="37">
        <f>IF(ISERROR(TER_kantoor_gas_kWh/1000),0,TER_kantoor_gas_kWh/1000)*0.903</f>
        <v>4379.4445440480004</v>
      </c>
      <c r="E6" s="33">
        <f>$C$26*'E Balans VL '!I12/100/3.6*1000000</f>
        <v>1.0704145514942232</v>
      </c>
      <c r="F6" s="33">
        <f>$C$26*('E Balans VL '!L12+'E Balans VL '!N12)/100/3.6*1000000</f>
        <v>390.21188043253949</v>
      </c>
      <c r="G6" s="34"/>
      <c r="H6" s="33"/>
      <c r="I6" s="33"/>
      <c r="J6" s="33">
        <f>$C$26*('E Balans VL '!D12+'E Balans VL '!E12)/100/3.6*1000000</f>
        <v>0</v>
      </c>
      <c r="K6" s="33"/>
      <c r="L6" s="33"/>
      <c r="M6" s="33"/>
      <c r="N6" s="33">
        <f>$C$26*'E Balans VL '!Y12/100/3.6*1000000</f>
        <v>6.004766209943968</v>
      </c>
      <c r="O6" s="33"/>
      <c r="P6" s="33"/>
      <c r="R6" s="32"/>
    </row>
    <row r="7" spans="1:18">
      <c r="A7" s="32" t="s">
        <v>52</v>
      </c>
      <c r="B7" s="37">
        <f t="shared" ref="B7:B12" si="0">B27</f>
        <v>2564.2266949999998</v>
      </c>
      <c r="C7" s="33"/>
      <c r="D7" s="37">
        <f>IF(ISERROR(TER_horeca_gas_kWh/1000),0,TER_horeca_gas_kWh/1000)*0.903</f>
        <v>2211.6689456609997</v>
      </c>
      <c r="E7" s="33">
        <f>$C$27*'E Balans VL '!I9/100/3.6*1000000</f>
        <v>0</v>
      </c>
      <c r="F7" s="33">
        <f>$C$27*('E Balans VL '!L9+'E Balans VL '!N9)/100/3.6*1000000</f>
        <v>208.93806976824914</v>
      </c>
      <c r="G7" s="34"/>
      <c r="H7" s="33"/>
      <c r="I7" s="33"/>
      <c r="J7" s="33">
        <f>$C$27*('E Balans VL '!D9+'E Balans VL '!E9)/100/3.6*1000000</f>
        <v>0</v>
      </c>
      <c r="K7" s="33"/>
      <c r="L7" s="33"/>
      <c r="M7" s="33"/>
      <c r="N7" s="33">
        <f>$C$27*'E Balans VL '!Y9/100/3.6*1000000</f>
        <v>0.7102430554071586</v>
      </c>
      <c r="O7" s="33"/>
      <c r="P7" s="33"/>
      <c r="R7" s="32"/>
    </row>
    <row r="8" spans="1:18">
      <c r="A8" s="6" t="s">
        <v>51</v>
      </c>
      <c r="B8" s="37">
        <f t="shared" si="0"/>
        <v>14515.678888</v>
      </c>
      <c r="C8" s="33"/>
      <c r="D8" s="37">
        <f>IF(ISERROR(TER_handel_gas_kWh/1000),0,TER_handel_gas_kWh/1000)*0.903</f>
        <v>15361.96225746</v>
      </c>
      <c r="E8" s="33">
        <f>$C$28*'E Balans VL '!I13/100/3.6*1000000</f>
        <v>116.03274266798991</v>
      </c>
      <c r="F8" s="33">
        <f>$C$28*('E Balans VL '!L13+'E Balans VL '!N13)/100/3.6*1000000</f>
        <v>1442.042462798104</v>
      </c>
      <c r="G8" s="34"/>
      <c r="H8" s="33"/>
      <c r="I8" s="33"/>
      <c r="J8" s="33">
        <f>$C$28*('E Balans VL '!D13+'E Balans VL '!E13)/100/3.6*1000000</f>
        <v>0</v>
      </c>
      <c r="K8" s="33"/>
      <c r="L8" s="33"/>
      <c r="M8" s="33"/>
      <c r="N8" s="33">
        <f>$C$28*'E Balans VL '!Y13/100/3.6*1000000</f>
        <v>5.42247009538832</v>
      </c>
      <c r="O8" s="33"/>
      <c r="P8" s="33"/>
      <c r="R8" s="32"/>
    </row>
    <row r="9" spans="1:18">
      <c r="A9" s="32" t="s">
        <v>50</v>
      </c>
      <c r="B9" s="37">
        <f t="shared" si="0"/>
        <v>1347.9175500000001</v>
      </c>
      <c r="C9" s="33"/>
      <c r="D9" s="37">
        <f>IF(ISERROR(TER_gezond_gas_kWh/1000),0,TER_gezond_gas_kWh/1000)*0.903</f>
        <v>2418.8034661139995</v>
      </c>
      <c r="E9" s="33">
        <f>$C$29*'E Balans VL '!I10/100/3.6*1000000</f>
        <v>0</v>
      </c>
      <c r="F9" s="33">
        <f>$C$29*('E Balans VL '!L10+'E Balans VL '!N10)/100/3.6*1000000</f>
        <v>122.88464993800893</v>
      </c>
      <c r="G9" s="34"/>
      <c r="H9" s="33"/>
      <c r="I9" s="33"/>
      <c r="J9" s="33">
        <f>$C$29*('E Balans VL '!D10+'E Balans VL '!E10)/100/3.6*1000000</f>
        <v>0</v>
      </c>
      <c r="K9" s="33"/>
      <c r="L9" s="33"/>
      <c r="M9" s="33"/>
      <c r="N9" s="33">
        <f>$C$29*'E Balans VL '!Y10/100/3.6*1000000</f>
        <v>9.8520693406494342</v>
      </c>
      <c r="O9" s="33"/>
      <c r="P9" s="33"/>
      <c r="R9" s="32"/>
    </row>
    <row r="10" spans="1:18">
      <c r="A10" s="32" t="s">
        <v>49</v>
      </c>
      <c r="B10" s="37">
        <f t="shared" si="0"/>
        <v>2015.326286</v>
      </c>
      <c r="C10" s="33"/>
      <c r="D10" s="37">
        <f>IF(ISERROR(TER_ander_gas_kWh/1000),0,TER_ander_gas_kWh/1000)*0.903</f>
        <v>3589.8942909060002</v>
      </c>
      <c r="E10" s="33">
        <f>$C$30*'E Balans VL '!I14/100/3.6*1000000</f>
        <v>26.127707931904705</v>
      </c>
      <c r="F10" s="33">
        <f>$C$30*('E Balans VL '!L14+'E Balans VL '!N14)/100/3.6*1000000</f>
        <v>1848.3371614451214</v>
      </c>
      <c r="G10" s="34"/>
      <c r="H10" s="33"/>
      <c r="I10" s="33"/>
      <c r="J10" s="33">
        <f>$C$30*('E Balans VL '!D14+'E Balans VL '!E14)/100/3.6*1000000</f>
        <v>2.0383356929801422E-2</v>
      </c>
      <c r="K10" s="33"/>
      <c r="L10" s="33"/>
      <c r="M10" s="33"/>
      <c r="N10" s="33">
        <f>$C$30*'E Balans VL '!Y14/100/3.6*1000000</f>
        <v>770.75053554352803</v>
      </c>
      <c r="O10" s="33"/>
      <c r="P10" s="33"/>
      <c r="R10" s="32"/>
    </row>
    <row r="11" spans="1:18">
      <c r="A11" s="32" t="s">
        <v>54</v>
      </c>
      <c r="B11" s="37">
        <f t="shared" si="0"/>
        <v>164.37391500000001</v>
      </c>
      <c r="C11" s="33"/>
      <c r="D11" s="37">
        <f>IF(ISERROR(TER_onderwijs_gas_kWh/1000),0,TER_onderwijs_gas_kWh/1000)*0.903</f>
        <v>556.03582028400001</v>
      </c>
      <c r="E11" s="33">
        <f>$C$31*'E Balans VL '!I11/100/3.6*1000000</f>
        <v>0</v>
      </c>
      <c r="F11" s="33">
        <f>$C$31*('E Balans VL '!L11+'E Balans VL '!N11)/100/3.6*1000000</f>
        <v>6.4406085596015412</v>
      </c>
      <c r="G11" s="34"/>
      <c r="H11" s="33"/>
      <c r="I11" s="33"/>
      <c r="J11" s="33">
        <f>$C$31*('E Balans VL '!D11+'E Balans VL '!E11)/100/3.6*1000000</f>
        <v>0</v>
      </c>
      <c r="K11" s="33"/>
      <c r="L11" s="33"/>
      <c r="M11" s="33"/>
      <c r="N11" s="33">
        <f>$C$31*'E Balans VL '!Y11/100/3.6*1000000</f>
        <v>0.5176540706627647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25099.957091999997</v>
      </c>
      <c r="C16" s="21">
        <f t="shared" ca="1" si="1"/>
        <v>0</v>
      </c>
      <c r="D16" s="21">
        <f t="shared" ca="1" si="1"/>
        <v>28517.809324473001</v>
      </c>
      <c r="E16" s="21">
        <f t="shared" si="1"/>
        <v>143.23086515138883</v>
      </c>
      <c r="F16" s="21">
        <f t="shared" ca="1" si="1"/>
        <v>4018.8548329416249</v>
      </c>
      <c r="G16" s="21">
        <f t="shared" si="1"/>
        <v>0</v>
      </c>
      <c r="H16" s="21">
        <f t="shared" si="1"/>
        <v>0</v>
      </c>
      <c r="I16" s="21">
        <f t="shared" si="1"/>
        <v>0</v>
      </c>
      <c r="J16" s="21">
        <f t="shared" si="1"/>
        <v>2.0383356929801422E-2</v>
      </c>
      <c r="K16" s="21">
        <f t="shared" si="1"/>
        <v>0</v>
      </c>
      <c r="L16" s="21">
        <f t="shared" ca="1" si="1"/>
        <v>0</v>
      </c>
      <c r="M16" s="21">
        <f t="shared" si="1"/>
        <v>0</v>
      </c>
      <c r="N16" s="21">
        <f t="shared" ca="1" si="1"/>
        <v>793.25773831557967</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0.16866704490198706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4233.5355898743119</v>
      </c>
      <c r="C20" s="23">
        <f t="shared" ref="C20:P20" ca="1" si="2">C16*C18</f>
        <v>0</v>
      </c>
      <c r="D20" s="23">
        <f t="shared" ca="1" si="2"/>
        <v>5760.5974835435463</v>
      </c>
      <c r="E20" s="23">
        <f t="shared" si="2"/>
        <v>32.513406389365265</v>
      </c>
      <c r="F20" s="23">
        <f t="shared" ca="1" si="2"/>
        <v>1073.0342403954139</v>
      </c>
      <c r="G20" s="23">
        <f t="shared" si="2"/>
        <v>0</v>
      </c>
      <c r="H20" s="23">
        <f t="shared" si="2"/>
        <v>0</v>
      </c>
      <c r="I20" s="23">
        <f t="shared" si="2"/>
        <v>0</v>
      </c>
      <c r="J20" s="23">
        <f t="shared" si="2"/>
        <v>7.2157083531497026E-3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4492.4337580000001</v>
      </c>
      <c r="C26" s="39">
        <f>IF(ISERROR(B26*3.6/1000000/'E Balans VL '!Z12*100),0,B26*3.6/1000000/'E Balans VL '!Z12*100)</f>
        <v>0.12888750175606348</v>
      </c>
      <c r="D26" s="233" t="s">
        <v>835</v>
      </c>
      <c r="F26" s="6"/>
    </row>
    <row r="27" spans="1:18" ht="30">
      <c r="A27" s="228" t="s">
        <v>52</v>
      </c>
      <c r="B27" s="33">
        <f>IF(ISERROR(TER_horeca_ele_kWh/1000),0,TER_horeca_ele_kWh/1000)</f>
        <v>2564.2266949999998</v>
      </c>
      <c r="C27" s="39">
        <f>IF(ISERROR(B27*3.6/1000000/'E Balans VL '!Z9*100),0,B27*3.6/1000000/'E Balans VL '!Z9*100)</f>
        <v>0.18785615550313406</v>
      </c>
      <c r="D27" s="233" t="s">
        <v>835</v>
      </c>
      <c r="F27" s="6"/>
    </row>
    <row r="28" spans="1:18" ht="30">
      <c r="A28" s="168" t="s">
        <v>51</v>
      </c>
      <c r="B28" s="33">
        <f>IF(ISERROR(TER_handel_ele_kWh/1000),0,TER_handel_ele_kWh/1000)</f>
        <v>14515.678888</v>
      </c>
      <c r="C28" s="39">
        <f>IF(ISERROR(B28*3.6/1000000/'E Balans VL '!Z13*100),0,B28*3.6/1000000/'E Balans VL '!Z13*100)</f>
        <v>0.44854672090796122</v>
      </c>
      <c r="D28" s="233" t="s">
        <v>835</v>
      </c>
      <c r="F28" s="6"/>
    </row>
    <row r="29" spans="1:18" ht="30">
      <c r="A29" s="228" t="s">
        <v>50</v>
      </c>
      <c r="B29" s="33">
        <f>IF(ISERROR(TER_gezond_ele_kWh/1000),0,TER_gezond_ele_kWh/1000)</f>
        <v>1347.9175500000001</v>
      </c>
      <c r="C29" s="39">
        <f>IF(ISERROR(B29*3.6/1000000/'E Balans VL '!Z10*100),0,B29*3.6/1000000/'E Balans VL '!Z10*100)</f>
        <v>0.13210420818435697</v>
      </c>
      <c r="D29" s="233" t="s">
        <v>835</v>
      </c>
      <c r="F29" s="6"/>
    </row>
    <row r="30" spans="1:18" ht="30">
      <c r="A30" s="228" t="s">
        <v>49</v>
      </c>
      <c r="B30" s="33">
        <f>IF(ISERROR(TER_ander_ele_kWh/1000),0,TER_ander_ele_kWh/1000)</f>
        <v>2015.326286</v>
      </c>
      <c r="C30" s="39">
        <f>IF(ISERROR(B30*3.6/1000000/'E Balans VL '!Z14*100),0,B30*3.6/1000000/'E Balans VL '!Z14*100)</f>
        <v>8.3481325309766902E-2</v>
      </c>
      <c r="D30" s="233" t="s">
        <v>835</v>
      </c>
      <c r="F30" s="6"/>
    </row>
    <row r="31" spans="1:18" ht="30">
      <c r="A31" s="228" t="s">
        <v>54</v>
      </c>
      <c r="B31" s="33">
        <f>IF(ISERROR(TER_onderwijs_ele_kWh/1000),0,TER_onderwijs_ele_kWh/1000)</f>
        <v>164.37391500000001</v>
      </c>
      <c r="C31" s="39">
        <f>IF(ISERROR(B31*3.6/1000000/'E Balans VL '!Z11*100),0,B31*3.6/1000000/'E Balans VL '!Z11*100)</f>
        <v>5.0507106681810306E-2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18262.802674999999</v>
      </c>
      <c r="C5" s="17">
        <f>IF(ISERROR('Eigen informatie GS &amp; warmtenet'!B61),0,'Eigen informatie GS &amp; warmtenet'!B61)</f>
        <v>0</v>
      </c>
      <c r="D5" s="30">
        <f>SUM(D6:D15)</f>
        <v>13411.297149684</v>
      </c>
      <c r="E5" s="17">
        <f>SUM(E6:E15)</f>
        <v>159.28015429831225</v>
      </c>
      <c r="F5" s="17">
        <f>SUM(F6:F15)</f>
        <v>4347.0260873393263</v>
      </c>
      <c r="G5" s="18"/>
      <c r="H5" s="17"/>
      <c r="I5" s="17"/>
      <c r="J5" s="17">
        <f>SUM(J6:J15)</f>
        <v>253.98653404503676</v>
      </c>
      <c r="K5" s="17"/>
      <c r="L5" s="17"/>
      <c r="M5" s="17"/>
      <c r="N5" s="17">
        <f>SUM(N6:N15)</f>
        <v>4154.9871785645009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5193.4053979999999</v>
      </c>
      <c r="C8" s="33"/>
      <c r="D8" s="37">
        <f>IF( ISERROR(IND_metaal_Gas_kWH/1000),0,IND_metaal_Gas_kWH/1000)*0.903</f>
        <v>4354.6675225620002</v>
      </c>
      <c r="E8" s="33">
        <f>C30*'E Balans VL '!I18/100/3.6*1000000</f>
        <v>28.310062774875057</v>
      </c>
      <c r="F8" s="33">
        <f>C30*'E Balans VL '!L18/100/3.6*1000000+C30*'E Balans VL '!N18/100/3.6*1000000</f>
        <v>334.45570431753441</v>
      </c>
      <c r="G8" s="34"/>
      <c r="H8" s="33"/>
      <c r="I8" s="33"/>
      <c r="J8" s="40">
        <f>C30*'E Balans VL '!D18/100/3.6*1000000+C30*'E Balans VL '!E18/100/3.6*1000000</f>
        <v>4.254032504284611</v>
      </c>
      <c r="K8" s="33"/>
      <c r="L8" s="33"/>
      <c r="M8" s="33"/>
      <c r="N8" s="33">
        <f>C30*'E Balans VL '!Y18/100/3.6*1000000</f>
        <v>112.20009183761566</v>
      </c>
      <c r="O8" s="33"/>
      <c r="P8" s="33"/>
      <c r="R8" s="32"/>
    </row>
    <row r="9" spans="1:18">
      <c r="A9" s="6" t="s">
        <v>32</v>
      </c>
      <c r="B9" s="37">
        <f t="shared" si="0"/>
        <v>4524.5560180000002</v>
      </c>
      <c r="C9" s="33"/>
      <c r="D9" s="37">
        <f>IF( ISERROR(IND_andere_gas_kWh/1000),0,IND_andere_gas_kWh/1000)*0.903</f>
        <v>3958.3931577329995</v>
      </c>
      <c r="E9" s="33">
        <f>C31*'E Balans VL '!I19/100/3.6*1000000</f>
        <v>14.606037360507882</v>
      </c>
      <c r="F9" s="33">
        <f>C31*'E Balans VL '!L19/100/3.6*1000000+C31*'E Balans VL '!N19/100/3.6*1000000</f>
        <v>2925.6134392814342</v>
      </c>
      <c r="G9" s="34"/>
      <c r="H9" s="33"/>
      <c r="I9" s="33"/>
      <c r="J9" s="40">
        <f>C31*'E Balans VL '!D19/100/3.6*1000000+C31*'E Balans VL '!E19/100/3.6*1000000</f>
        <v>0</v>
      </c>
      <c r="K9" s="33"/>
      <c r="L9" s="33"/>
      <c r="M9" s="33"/>
      <c r="N9" s="33">
        <f>C31*'E Balans VL '!Y19/100/3.6*1000000</f>
        <v>182.8320823668314</v>
      </c>
      <c r="O9" s="33"/>
      <c r="P9" s="33"/>
      <c r="R9" s="32"/>
    </row>
    <row r="10" spans="1:18">
      <c r="A10" s="6" t="s">
        <v>40</v>
      </c>
      <c r="B10" s="37">
        <f t="shared" si="0"/>
        <v>933.14552300000003</v>
      </c>
      <c r="C10" s="33"/>
      <c r="D10" s="37">
        <f>IF( ISERROR(IND_voed_gas_kWh/1000),0,IND_voed_gas_kWh/1000)*0.903</f>
        <v>0</v>
      </c>
      <c r="E10" s="33">
        <f>C32*'E Balans VL '!I20/100/3.6*1000000</f>
        <v>1.9561017055027092</v>
      </c>
      <c r="F10" s="33">
        <f>C32*'E Balans VL '!L20/100/3.6*1000000+C32*'E Balans VL '!N20/100/3.6*1000000</f>
        <v>18.18089962433643</v>
      </c>
      <c r="G10" s="34"/>
      <c r="H10" s="33"/>
      <c r="I10" s="33"/>
      <c r="J10" s="40">
        <f>C32*'E Balans VL '!D20/100/3.6*1000000+C32*'E Balans VL '!E20/100/3.6*1000000</f>
        <v>0</v>
      </c>
      <c r="K10" s="33"/>
      <c r="L10" s="33"/>
      <c r="M10" s="33"/>
      <c r="N10" s="33">
        <f>C32*'E Balans VL '!Y20/100/3.6*1000000</f>
        <v>37.117941846396256</v>
      </c>
      <c r="O10" s="33"/>
      <c r="P10" s="33"/>
      <c r="R10" s="32"/>
    </row>
    <row r="11" spans="1:18">
      <c r="A11" s="6" t="s">
        <v>39</v>
      </c>
      <c r="B11" s="37">
        <f t="shared" si="0"/>
        <v>178.492144</v>
      </c>
      <c r="C11" s="33"/>
      <c r="D11" s="37">
        <f>IF( ISERROR(IND_textiel_gas_kWh/1000),0,IND_textiel_gas_kWh/1000)*0.903</f>
        <v>670.68279795299998</v>
      </c>
      <c r="E11" s="33">
        <f>C33*'E Balans VL '!I21/100/3.6*1000000</f>
        <v>0.15337293378061778</v>
      </c>
      <c r="F11" s="33">
        <f>C33*'E Balans VL '!L21/100/3.6*1000000+C33*'E Balans VL '!N21/100/3.6*1000000</f>
        <v>3.7422730527694994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6975.6136619999997</v>
      </c>
      <c r="C12" s="33"/>
      <c r="D12" s="37">
        <f>IF( ISERROR(IND_min_gas_kWh/1000),0,IND_min_gas_kWh/1000)*0.903</f>
        <v>4367.339838981</v>
      </c>
      <c r="E12" s="33">
        <f>C34*'E Balans VL '!I22/100/3.6*1000000</f>
        <v>114.15632834599978</v>
      </c>
      <c r="F12" s="33">
        <f>C34*'E Balans VL '!L22/100/3.6*1000000+C34*'E Balans VL '!N22/100/3.6*1000000</f>
        <v>1064.7181053134486</v>
      </c>
      <c r="G12" s="34"/>
      <c r="H12" s="33"/>
      <c r="I12" s="33"/>
      <c r="J12" s="40">
        <f>C34*'E Balans VL '!D22/100/3.6*1000000+C34*'E Balans VL '!E22/100/3.6*1000000</f>
        <v>249.63325626950981</v>
      </c>
      <c r="K12" s="33"/>
      <c r="L12" s="33"/>
      <c r="M12" s="33"/>
      <c r="N12" s="33">
        <f>C34*'E Balans VL '!Y22/100/3.6*1000000</f>
        <v>3822.7843362480689</v>
      </c>
      <c r="O12" s="33"/>
      <c r="P12" s="33"/>
      <c r="R12" s="32"/>
    </row>
    <row r="13" spans="1:18">
      <c r="A13" s="6" t="s">
        <v>38</v>
      </c>
      <c r="B13" s="37">
        <f t="shared" si="0"/>
        <v>455.92104899999998</v>
      </c>
      <c r="C13" s="33"/>
      <c r="D13" s="37">
        <f>IF( ISERROR(IND_papier_gas_kWh/1000),0,IND_papier_gas_kWh/1000)*0.903</f>
        <v>0</v>
      </c>
      <c r="E13" s="33">
        <f>C35*'E Balans VL '!I23/100/3.6*1000000</f>
        <v>0</v>
      </c>
      <c r="F13" s="33">
        <f>C35*'E Balans VL '!L23/100/3.6*1000000+C35*'E Balans VL '!N23/100/3.6*1000000</f>
        <v>6.1072061879956695E-2</v>
      </c>
      <c r="G13" s="34"/>
      <c r="H13" s="33"/>
      <c r="I13" s="33"/>
      <c r="J13" s="40">
        <f>C35*'E Balans VL '!D23/100/3.6*1000000+C35*'E Balans VL '!E23/100/3.6*1000000</f>
        <v>9.0184052134044942E-2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1.6688810000000001</v>
      </c>
      <c r="C15" s="33"/>
      <c r="D15" s="37">
        <f>IF( ISERROR(IND_rest_gas_kWh/1000),0,IND_rest_gas_kWh/1000)*0.903</f>
        <v>60.213832455000002</v>
      </c>
      <c r="E15" s="33">
        <f>C37*'E Balans VL '!I15/100/3.6*1000000</f>
        <v>9.8251177646200283E-2</v>
      </c>
      <c r="F15" s="33">
        <f>C37*'E Balans VL '!L15/100/3.6*1000000+C37*'E Balans VL '!N15/100/3.6*1000000</f>
        <v>0.25459368792304293</v>
      </c>
      <c r="G15" s="34"/>
      <c r="H15" s="33"/>
      <c r="I15" s="33"/>
      <c r="J15" s="40">
        <f>C37*'E Balans VL '!D15/100/3.6*1000000+C37*'E Balans VL '!E15/100/3.6*1000000</f>
        <v>9.0612191082773078E-3</v>
      </c>
      <c r="K15" s="33"/>
      <c r="L15" s="33"/>
      <c r="M15" s="33"/>
      <c r="N15" s="33">
        <f>C37*'E Balans VL '!Y15/100/3.6*1000000</f>
        <v>5.2726265588496815E-2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18262.802674999999</v>
      </c>
      <c r="C18" s="21">
        <f>C5+C16</f>
        <v>0</v>
      </c>
      <c r="D18" s="21">
        <f>MAX((D5+D16),0)</f>
        <v>13411.297149684</v>
      </c>
      <c r="E18" s="21">
        <f>MAX((E5+E16),0)</f>
        <v>159.28015429831225</v>
      </c>
      <c r="F18" s="21">
        <f>MAX((F5+F16),0)</f>
        <v>4347.0260873393263</v>
      </c>
      <c r="G18" s="21"/>
      <c r="H18" s="21"/>
      <c r="I18" s="21"/>
      <c r="J18" s="21">
        <f>MAX((J5+J16),0)</f>
        <v>253.98653404503676</v>
      </c>
      <c r="K18" s="21"/>
      <c r="L18" s="21">
        <f>MAX((L5+L16),0)</f>
        <v>0</v>
      </c>
      <c r="M18" s="21"/>
      <c r="N18" s="21">
        <f>MAX((N5+N16),0)</f>
        <v>4154.9871785645009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0.16866704490198706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3080.3329588203542</v>
      </c>
      <c r="C22" s="23">
        <f ca="1">C18*C20</f>
        <v>0</v>
      </c>
      <c r="D22" s="23">
        <f>D18*D20</f>
        <v>2709.0820242361683</v>
      </c>
      <c r="E22" s="23">
        <f>E18*E20</f>
        <v>36.156595025716882</v>
      </c>
      <c r="F22" s="23">
        <f>F18*F20</f>
        <v>1160.6559653196002</v>
      </c>
      <c r="G22" s="23"/>
      <c r="H22" s="23"/>
      <c r="I22" s="23"/>
      <c r="J22" s="23">
        <f>J18*J20</f>
        <v>89.911233051943015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5193.4053979999999</v>
      </c>
      <c r="C30" s="39">
        <f>IF(ISERROR(B30*3.6/1000000/'E Balans VL '!Z18*100),0,B30*3.6/1000000/'E Balans VL '!Z18*100)</f>
        <v>0.31273263253879202</v>
      </c>
      <c r="D30" s="233" t="s">
        <v>835</v>
      </c>
    </row>
    <row r="31" spans="1:18" ht="30">
      <c r="A31" s="6" t="s">
        <v>32</v>
      </c>
      <c r="B31" s="37">
        <f>IF( ISERROR(IND_ander_ele_kWh/1000),0,IND_ander_ele_kWh/1000)</f>
        <v>4524.5560180000002</v>
      </c>
      <c r="C31" s="39">
        <f>IF(ISERROR(B31*3.6/1000000/'E Balans VL '!Z19*100),0,B31*3.6/1000000/'E Balans VL '!Z19*100)</f>
        <v>0.18433977908223312</v>
      </c>
      <c r="D31" s="233" t="s">
        <v>835</v>
      </c>
    </row>
    <row r="32" spans="1:18" ht="30">
      <c r="A32" s="168" t="s">
        <v>40</v>
      </c>
      <c r="B32" s="37">
        <f>IF( ISERROR(IND_voed_ele_kWh/1000),0,IND_voed_ele_kWh/1000)</f>
        <v>933.14552300000003</v>
      </c>
      <c r="C32" s="39">
        <f>IF(ISERROR(B32*3.6/1000000/'E Balans VL '!Z20*100),0,B32*3.6/1000000/'E Balans VL '!Z20*100)</f>
        <v>2.6980992328117858E-2</v>
      </c>
      <c r="D32" s="233" t="s">
        <v>835</v>
      </c>
    </row>
    <row r="33" spans="1:5" ht="30">
      <c r="A33" s="168" t="s">
        <v>39</v>
      </c>
      <c r="B33" s="37">
        <f>IF( ISERROR(IND_textiel_ele_kWh/1000),0,IND_textiel_ele_kWh/1000)</f>
        <v>178.492144</v>
      </c>
      <c r="C33" s="39">
        <f>IF(ISERROR(B33*3.6/1000000/'E Balans VL '!Z21*100),0,B33*3.6/1000000/'E Balans VL '!Z21*100)</f>
        <v>2.9353671536960339E-2</v>
      </c>
      <c r="D33" s="233" t="s">
        <v>835</v>
      </c>
    </row>
    <row r="34" spans="1:5" ht="30">
      <c r="A34" s="168" t="s">
        <v>36</v>
      </c>
      <c r="B34" s="37">
        <f>IF( ISERROR(IND_min_ele_kWh/1000),0,IND_min_ele_kWh/1000)</f>
        <v>6975.6136619999997</v>
      </c>
      <c r="C34" s="39">
        <f>IF(ISERROR(B34*3.6/1000000/'E Balans VL '!Z22*100),0,B34*3.6/1000000/'E Balans VL '!Z22*100)</f>
        <v>2.9785222145374339</v>
      </c>
      <c r="D34" s="233" t="s">
        <v>835</v>
      </c>
    </row>
    <row r="35" spans="1:5" ht="30">
      <c r="A35" s="168" t="s">
        <v>38</v>
      </c>
      <c r="B35" s="37">
        <f>IF( ISERROR(IND_papier_ele_kWh/1000),0,IND_papier_ele_kWh/1000)</f>
        <v>455.92104899999998</v>
      </c>
      <c r="C35" s="39">
        <f>IF(ISERROR(B35*3.6/1000000/'E Balans VL '!Z22*100),0,B35*3.6/1000000/'E Balans VL '!Z22*100)</f>
        <v>0.19467405139125235</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1.6688810000000001</v>
      </c>
      <c r="C37" s="39">
        <f>IF(ISERROR(B37*3.6/1000000/'E Balans VL '!Z15*100),0,B37*3.6/1000000/'E Balans VL '!Z15*100)</f>
        <v>1.3702777056469194E-5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2680.79153</v>
      </c>
      <c r="C5" s="17">
        <f>'Eigen informatie GS &amp; warmtenet'!B62</f>
        <v>0</v>
      </c>
      <c r="D5" s="30">
        <f>IF(ISERROR(SUM(LB_lb_gas_kWh,LB_rest_gas_kWh)/1000),0,SUM(LB_lb_gas_kWh,LB_rest_gas_kWh)/1000)*0.903</f>
        <v>171.59286666900002</v>
      </c>
      <c r="E5" s="17">
        <f>B17*'E Balans VL '!I25/3.6*1000000/100</f>
        <v>76.782406149050786</v>
      </c>
      <c r="F5" s="17">
        <f>B17*('E Balans VL '!L25/3.6*1000000+'E Balans VL '!N25/3.6*1000000)/100</f>
        <v>8486.001186759393</v>
      </c>
      <c r="G5" s="18"/>
      <c r="H5" s="17"/>
      <c r="I5" s="17"/>
      <c r="J5" s="17">
        <f>('E Balans VL '!D25+'E Balans VL '!E25)/3.6*1000000*landbouw!B17/100</f>
        <v>681.64110281251294</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2680.79153</v>
      </c>
      <c r="C8" s="21">
        <f>C5+C6</f>
        <v>62.357142857142847</v>
      </c>
      <c r="D8" s="21">
        <f>MAX((D5+D6),0)</f>
        <v>171.59286666900002</v>
      </c>
      <c r="E8" s="21">
        <f>MAX((E5+E6),0)</f>
        <v>76.782406149050786</v>
      </c>
      <c r="F8" s="21">
        <f>MAX((F5+F6),0)</f>
        <v>8486.001186759393</v>
      </c>
      <c r="G8" s="21"/>
      <c r="H8" s="21"/>
      <c r="I8" s="21"/>
      <c r="J8" s="21">
        <f>MAX((J5+J6),0)</f>
        <v>681.64110281251294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0.16866704490198706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452.1611853633766</v>
      </c>
      <c r="C12" s="23">
        <f ca="1">C8*C10</f>
        <v>0</v>
      </c>
      <c r="D12" s="23">
        <f>D8*D10</f>
        <v>34.661759067138007</v>
      </c>
      <c r="E12" s="23">
        <f>E8*E10</f>
        <v>17.429606195834531</v>
      </c>
      <c r="F12" s="23">
        <f>F8*F10</f>
        <v>2265.7623168647578</v>
      </c>
      <c r="G12" s="23"/>
      <c r="H12" s="23"/>
      <c r="I12" s="23"/>
      <c r="J12" s="23">
        <f>J8*J10</f>
        <v>241.30095039562957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0.37122881180940293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526.32103995343141</v>
      </c>
      <c r="C26" s="243">
        <f>B26*'GWP N2O_CH4'!B5</f>
        <v>11052.741839022059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189.91039151185853</v>
      </c>
      <c r="C27" s="243">
        <f>B27*'GWP N2O_CH4'!B5</f>
        <v>3988.1182217490291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8.3116101376110905</v>
      </c>
      <c r="C28" s="243">
        <f>B28*'GWP N2O_CH4'!B4</f>
        <v>2576.5991426594383</v>
      </c>
      <c r="D28" s="50"/>
    </row>
    <row r="29" spans="1:4">
      <c r="A29" s="41" t="s">
        <v>266</v>
      </c>
      <c r="B29" s="243">
        <f>B34*'ha_N2O bodem landbouw'!B4</f>
        <v>33.978004651454079</v>
      </c>
      <c r="C29" s="243">
        <f>B29*'GWP N2O_CH4'!B4</f>
        <v>10533.181441950765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7.7191945430256934E-3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1.306043326207981E-3</v>
      </c>
      <c r="C5" s="432" t="s">
        <v>204</v>
      </c>
      <c r="D5" s="417">
        <f>SUM(D6:D11)</f>
        <v>2.4611297083750473E-3</v>
      </c>
      <c r="E5" s="417">
        <f>SUM(E6:E11)</f>
        <v>9.577269858947094E-4</v>
      </c>
      <c r="F5" s="430" t="s">
        <v>204</v>
      </c>
      <c r="G5" s="417">
        <f>SUM(G6:G11)</f>
        <v>0.39426535303281263</v>
      </c>
      <c r="H5" s="417">
        <f>SUM(H6:H11)</f>
        <v>0.12020962389256211</v>
      </c>
      <c r="I5" s="432" t="s">
        <v>204</v>
      </c>
      <c r="J5" s="432" t="s">
        <v>204</v>
      </c>
      <c r="K5" s="432" t="s">
        <v>204</v>
      </c>
      <c r="L5" s="432" t="s">
        <v>204</v>
      </c>
      <c r="M5" s="417">
        <f>SUM(M6:M11)</f>
        <v>3.1159879452577338E-2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8.3519068196234378E-4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1.3925019550539194E-3</v>
      </c>
      <c r="E6" s="884">
        <f>vkm_GW_PW*SUMIFS(TableVerdeelsleutelVkm[LPG],TableVerdeelsleutelVkm[Voertuigtype],"Lichte voertuigen")*SUMIFS(TableECFTransport[EnergieConsumptieFactor (PJ per km)],TableECFTransport[Index],CONCATENATE($A6,"_LPG_LPG"))</f>
        <v>5.5207038908825282E-4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0.16591102017223733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6.8290733097016512E-2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1.436758688130684E-2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2.5922232398538719E-6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0.10275736313393601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7.5820060367033464E-7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5.900154013632323E-3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4.6798758291769562E-4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1.0686277533211281E-3</v>
      </c>
      <c r="E8" s="420">
        <f>vkm_NGW_PW*SUMIFS(TableVerdeelsleutelVkm[LPG],TableVerdeelsleutelVkm[Voertuigtype],"Lichte voertuigen")*SUMIFS(TableECFTransport[EnergieConsumptieFactor (PJ per km)],TableECFTransport[Index],CONCATENATE($A8,"_LPG_LPG"))</f>
        <v>4.0565659680645658E-4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0.11166918103831477</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5.1918036271238942E-2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1.0092428941833426E-2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2.7283808808789735E-7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1.3927788688324561E-2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9.6323702971053725E-8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7.9970961580474911E-4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362.78981283555026</v>
      </c>
      <c r="C14" s="21"/>
      <c r="D14" s="21">
        <f t="shared" ref="D14:M14" si="0">((D5)*10^9/3600)+D12</f>
        <v>683.64714121529096</v>
      </c>
      <c r="E14" s="21">
        <f t="shared" si="0"/>
        <v>266.03527385964151</v>
      </c>
      <c r="F14" s="21"/>
      <c r="G14" s="21">
        <f t="shared" si="0"/>
        <v>109518.15362022574</v>
      </c>
      <c r="H14" s="21">
        <f t="shared" si="0"/>
        <v>33391.562192378362</v>
      </c>
      <c r="I14" s="21"/>
      <c r="J14" s="21"/>
      <c r="K14" s="21"/>
      <c r="L14" s="21"/>
      <c r="M14" s="21">
        <f t="shared" si="0"/>
        <v>8655.5220701603721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0.16866704490198706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61.190685651517235</v>
      </c>
      <c r="C18" s="23"/>
      <c r="D18" s="23">
        <f t="shared" ref="D18:M18" si="1">D14*D16</f>
        <v>138.09672252548879</v>
      </c>
      <c r="E18" s="23">
        <f t="shared" si="1"/>
        <v>60.390007166138624</v>
      </c>
      <c r="F18" s="23"/>
      <c r="G18" s="23">
        <f t="shared" si="1"/>
        <v>29241.347016600273</v>
      </c>
      <c r="H18" s="23">
        <f t="shared" si="1"/>
        <v>8314.4989859022116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1.5552694915238851E-4</v>
      </c>
      <c r="C50" s="315">
        <f t="shared" ref="C50:P50" si="2">SUM(C51:C52)</f>
        <v>0</v>
      </c>
      <c r="D50" s="315">
        <f t="shared" si="2"/>
        <v>0</v>
      </c>
      <c r="E50" s="315">
        <f t="shared" si="2"/>
        <v>0</v>
      </c>
      <c r="F50" s="315">
        <f t="shared" si="2"/>
        <v>0</v>
      </c>
      <c r="G50" s="315">
        <f t="shared" si="2"/>
        <v>9.7364572078372531E-3</v>
      </c>
      <c r="H50" s="315">
        <f t="shared" si="2"/>
        <v>0</v>
      </c>
      <c r="I50" s="315">
        <f t="shared" si="2"/>
        <v>0</v>
      </c>
      <c r="J50" s="315">
        <f t="shared" si="2"/>
        <v>0</v>
      </c>
      <c r="K50" s="315">
        <f t="shared" si="2"/>
        <v>0</v>
      </c>
      <c r="L50" s="315">
        <f t="shared" si="2"/>
        <v>0</v>
      </c>
      <c r="M50" s="315">
        <f t="shared" si="2"/>
        <v>5.590458140906871E-4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1.5552694915238851E-4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9.7364572078372531E-3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5.590458140906871E-4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43.20193032010792</v>
      </c>
      <c r="C54" s="21">
        <f t="shared" ref="C54:P54" si="3">(C50)*10^9/3600</f>
        <v>0</v>
      </c>
      <c r="D54" s="21">
        <f t="shared" si="3"/>
        <v>0</v>
      </c>
      <c r="E54" s="21">
        <f t="shared" si="3"/>
        <v>0</v>
      </c>
      <c r="F54" s="21">
        <f t="shared" si="3"/>
        <v>0</v>
      </c>
      <c r="G54" s="21">
        <f t="shared" si="3"/>
        <v>2704.5714466214595</v>
      </c>
      <c r="H54" s="21">
        <f t="shared" si="3"/>
        <v>0</v>
      </c>
      <c r="I54" s="21">
        <f t="shared" si="3"/>
        <v>0</v>
      </c>
      <c r="J54" s="21">
        <f t="shared" si="3"/>
        <v>0</v>
      </c>
      <c r="K54" s="21">
        <f t="shared" si="3"/>
        <v>0</v>
      </c>
      <c r="L54" s="21">
        <f t="shared" si="3"/>
        <v>0</v>
      </c>
      <c r="M54" s="21">
        <f t="shared" si="3"/>
        <v>155.29050391407975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0.16866704490198706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7.2867419211541584</v>
      </c>
      <c r="C58" s="23">
        <f t="shared" ref="C58:P58" ca="1" si="4">C54*C56</f>
        <v>0</v>
      </c>
      <c r="D58" s="23">
        <f t="shared" si="4"/>
        <v>0</v>
      </c>
      <c r="E58" s="23">
        <f t="shared" si="4"/>
        <v>0</v>
      </c>
      <c r="F58" s="23">
        <f t="shared" si="4"/>
        <v>0</v>
      </c>
      <c r="G58" s="23">
        <f t="shared" si="4"/>
        <v>722.12057624792976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21282.561594961022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21326.211594961023</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72042</v>
      </c>
      <c r="C28" s="785">
        <v>3670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2021-11-11T12:22:13Z</dcterms:modified>
</cp:coreProperties>
</file>