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8B124C36-402D-4C48-A5FF-A646FB3A3B0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F6" i="17" s="1"/>
  <c r="R34" i="18"/>
  <c r="Q34" i="18"/>
  <c r="P34" i="18"/>
  <c r="D6" i="17" s="1"/>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29" i="20"/>
  <c r="C20" i="16"/>
  <c r="C22" i="16" s="1"/>
  <c r="D43" i="14" s="1"/>
  <c r="C18" i="15"/>
  <c r="C20" i="15" s="1"/>
  <c r="D40" i="14" s="1"/>
  <c r="C10" i="13"/>
  <c r="C12" i="13" s="1"/>
  <c r="D41" i="14" s="1"/>
  <c r="D46" i="14" s="1"/>
  <c r="D61" i="14" s="1"/>
  <c r="D6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<sst xmlns="http://schemas.openxmlformats.org/spreadsheetml/2006/main" count="2432" uniqueCount="874">
  <si>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</si>
  <si>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</si>
  <si>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</si>
  <si>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</si>
  <si>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</si>
  <si>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</si>
  <si>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</si>
  <si>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</si>
  <si>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</si>
  <si>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</si>
  <si>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</si>
  <si>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</si>
  <si>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</si>
  <si>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</si>
  <si>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</si>
  <si>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</si>
  <si>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</si>
  <si>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</si>
  <si>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</si>
  <si>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</si>
  <si>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</si>
  <si>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</si>
  <si>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</si>
  <si>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</si>
  <si>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</si>
  <si>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</si>
  <si>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</si>
  <si>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</si>
  <si>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</si>
  <si>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</si>
  <si>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</si>
  <si>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</si>
  <si>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</si>
  <si>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</si>
  <si>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</si>
  <si>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</si>
  <si>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</si>
  <si>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</si>
  <si>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</si>
  <si>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</si>
  <si>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</si>
  <si>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</si>
  <si>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</si>
  <si>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</si>
  <si>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</si>
  <si>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</si>
  <si>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</si>
  <si>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</si>
  <si>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</si>
  <si>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</si>
  <si>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</si>
  <si>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</si>
  <si>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</si>
  <si>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</si>
  <si>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</si>
  <si>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</si>
  <si>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</si>
  <si>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</si>
  <si>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</si>
  <si>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</si>
  <si>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</si>
  <si>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</si>
  <si>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</si>
  <si>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</si>
  <si>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</si>
  <si>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</si>
  <si>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</si>
  <si>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</si>
  <si>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</si>
  <si>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</si>
  <si>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</si>
  <si>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</si>
  <si>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</si>
  <si>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</si>
  <si>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</si>
  <si>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</si>
  <si>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</si>
  <si>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</si>
  <si>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</si>
  <si>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</si>
  <si>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</si>
  <si>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</si>
  <si>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</si>
  <si>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</si>
  <si>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</si>
  <si>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</si>
  <si>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</si>
  <si>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</si>
  <si>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</si>
  <si>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</si>
  <si>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</si>
  <si>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</si>
  <si>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</si>
  <si>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</si>
  <si>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</si>
  <si>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</si>
  <si>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</si>
  <si>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</si>
  <si>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</si>
  <si>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</si>
  <si>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</si>
  <si>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</si>
  <si>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</si>
  <si>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</si>
  <si>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</si>
  <si>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</si>
  <si>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</si>
  <si>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</si>
  <si>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</si>
  <si>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</si>
  <si>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</si>
  <si>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</si>
  <si>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</si>
  <si>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</si>
  <si>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</si>
  <si>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</si>
  <si>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</si>
  <si>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</si>
  <si>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</si>
  <si>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</si>
  <si>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</si>
  <si>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</si>
  <si>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</si>
  <si>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</si>
  <si>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</si>
  <si>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</si>
  <si>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</si>
  <si>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</si>
  <si>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</si>
  <si>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</si>
  <si>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</si>
  <si>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</si>
  <si>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</si>
  <si>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</si>
  <si>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</si>
  <si>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</si>
  <si>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</si>
  <si>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</si>
  <si>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</si>
  <si>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</si>
  <si>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</si>
  <si>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</si>
  <si>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</si>
  <si>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</si>
  <si>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</si>
  <si>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</si>
  <si>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</si>
  <si>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</si>
  <si>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</si>
  <si>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</si>
  <si>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</si>
  <si>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</si>
  <si>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</si>
  <si>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</si>
  <si>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</si>
  <si>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</si>
  <si>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</si>
  <si>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</si>
  <si>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</si>
  <si>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</si>
  <si>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</si>
  <si>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</si>
  <si>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</si>
  <si>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</si>
  <si>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</si>
  <si>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</si>
  <si>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</si>
  <si>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</si>
  <si>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</si>
  <si>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</si>
  <si>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</si>
  <si>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</si>
  <si>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</si>
  <si>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</si>
  <si>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</si>
  <si>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</si>
  <si>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</si>
  <si>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</si>
  <si>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</si>
  <si>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</si>
  <si>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</si>
  <si>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</si>
  <si>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</si>
  <si>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</si>
  <si>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</si>
  <si>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</si>
  <si>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</si>
  <si>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</si>
  <si>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</si>
  <si>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</si>
  <si>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</si>
  <si>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</si>
  <si>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</si>
  <si>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</si>
  <si>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</si>
  <si>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</si>
  <si>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</si>
  <si>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</si>
  <si>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</si>
  <si>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</si>
  <si>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</si>
  <si>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</si>
  <si>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</si>
  <si>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</si>
  <si>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</si>
  <si>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</si>
  <si>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</si>
  <si>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</si>
  <si>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</si>
  <si>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</si>
  <si>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</si>
  <si>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</si>
  <si>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</si>
  <si>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</si>
  <si>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</si>
  <si>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</si>
  <si>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</si>
  <si>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</si>
  <si>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</si>
  <si>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</si>
  <si>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</si>
  <si>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</si>
  <si>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</si>
  <si>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</si>
  <si>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</si>
  <si>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</si>
  <si>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</si>
  <si>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</si>
  <si>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</si>
  <si>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</si>
  <si>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</si>
  <si>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</si>
  <si>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</si>
  <si>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</si>
  <si>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</si>
  <si>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</si>
  <si>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</si>
  <si>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</si>
  <si>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</si>
  <si>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</si>
  <si>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</si>
  <si>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</si>
  <si>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</si>
  <si>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</si>
  <si>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</si>
  <si>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</si>
  <si>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</si>
  <si>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</si>
  <si>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</si>
  <si>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</si>
  <si>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</si>
  <si>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</si>
  <si>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</si>
  <si>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</si>
  <si>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</si>
  <si>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</si>
  <si>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</si>
  <si>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</si>
  <si>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</si>
  <si>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</si>
  <si>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</si>
  <si>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</si>
  <si>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</si>
  <si>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</si>
  <si>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</si>
  <si>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</si>
  <si>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</si>
  <si>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</si>
  <si>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</si>
  <si>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</si>
  <si>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</si>
  <si>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</si>
  <si>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</si>
  <si>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</si>
  <si>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</si>
  <si>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</si>
  <si>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</si>
  <si>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</si>
  <si>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</si>
  <si>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</si>
  <si>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</si>
  <si>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</si>
  <si>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</si>
  <si>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</si>
  <si>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</si>
  <si>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</si>
  <si>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</si>
  <si>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</si>
  <si>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</si>
  <si>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</si>
  <si>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</si>
  <si>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</si>
  <si>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</si>
  <si>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</si>
  <si>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</si>
  <si>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</si>
  <si>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</si>
  <si>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</si>
  <si>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</si>
  <si>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</si>
  <si>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</si>
  <si>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</si>
  <si>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</si>
  <si>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</si>
  <si>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</si>
  <si>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</si>
  <si>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</si>
  <si>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</si>
  <si>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</si>
  <si>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</si>
  <si>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</si>
  <si>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</si>
  <si>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</si>
  <si>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</si>
  <si>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</si>
  <si>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</si>
  <si>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</si>
  <si>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</si>
  <si>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</si>
  <si>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</si>
  <si>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</si>
  <si>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</si>
  <si>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</si>
  <si>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</si>
  <si>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</si>
  <si>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</si>
  <si>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</si>
  <si>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</si>
  <si>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</si>
  <si>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</si>
  <si>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</si>
  <si>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</si>
  <si>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</si>
  <si>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</si>
  <si>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</si>
  <si>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</si>
  <si>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</si>
  <si>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</si>
  <si>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</si>
  <si>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</si>
  <si>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</si>
  <si>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</si>
  <si>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</si>
  <si>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</si>
  <si>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</si>
  <si>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</si>
  <si>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</si>
  <si>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</si>
  <si>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</si>
  <si>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</si>
  <si>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</si>
  <si>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</si>
  <si>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</si>
  <si>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</si>
  <si>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</si>
  <si>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</si>
  <si>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</si>
  <si>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</si>
  <si>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</si>
  <si>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</si>
  <si>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</si>
  <si>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</si>
  <si>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</si>
  <si>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</si>
  <si>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</si>
  <si>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</si>
  <si>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</si>
  <si>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</si>
  <si>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</si>
  <si>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</si>
  <si>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</si>
  <si>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</si>
  <si>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</si>
  <si>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</si>
  <si>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</si>
  <si>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</si>
  <si>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</si>
  <si>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</si>
  <si>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</si>
  <si>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</si>
  <si>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</si>
  <si>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</si>
  <si>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</si>
  <si>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</si>
  <si>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</si>
  <si>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</si>
  <si>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</si>
  <si>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</si>
  <si>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</si>
  <si>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</si>
  <si>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</si>
  <si>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</si>
  <si>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</si>
  <si>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</si>
  <si>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</si>
  <si>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</si>
  <si>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</si>
  <si>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</si>
  <si>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</si>
  <si>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</si>
  <si>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</si>
  <si>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</si>
  <si>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</si>
  <si>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</si>
  <si>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</si>
  <si>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</si>
  <si>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</si>
  <si>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</si>
  <si>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</si>
  <si>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</si>
  <si>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</si>
  <si>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</si>
  <si>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</si>
  <si>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</si>
  <si>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</si>
  <si>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</si>
  <si>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</si>
  <si>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</si>
  <si>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</si>
  <si>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</si>
  <si>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</si>
  <si>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</si>
  <si>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</si>
  <si>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</si>
  <si>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</si>
  <si>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</si>
  <si>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</si>
  <si>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</si>
  <si>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</si>
  <si>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</si>
  <si>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</si>
  <si>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</si>
  <si>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</si>
  <si>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</si>
  <si>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</si>
  <si>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</si>
  <si>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</si>
  <si>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</si>
  <si>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</si>
  <si>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</si>
  <si>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</si>
  <si>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</si>
  <si>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</si>
  <si>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</si>
  <si>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</si>
  <si>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</si>
  <si>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</si>
  <si>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</si>
  <si>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</si>
  <si>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</si>
  <si>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</si>
  <si>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</si>
  <si>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</si>
  <si>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</si>
  <si>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</si>
  <si>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</si>
  <si>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</si>
  <si>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</si>
  <si>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</si>
  <si>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</si>
  <si>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</si>
  <si>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</si>
  <si>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</si>
  <si>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</si>
  <si>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</si>
  <si>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</si>
  <si>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</si>
  <si>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</si>
  <si>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</si>
  <si>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</si>
  <si>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</si>
  <si>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</si>
  <si>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</si>
  <si>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</si>
  <si>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</si>
  <si>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</si>
  <si>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</si>
  <si>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</si>
  <si>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</si>
  <si>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</si>
  <si>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</si>
  <si>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</si>
  <si>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</si>
  <si>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</si>
  <si>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</si>
  <si>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</si>
  <si>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</si>
  <si>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</si>
  <si>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</si>
  <si>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</si>
  <si>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</si>
  <si>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</si>
  <si>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</si>
  <si>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</si>
  <si>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</si>
  <si>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</si>
  <si>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</si>
  <si>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</si>
  <si>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</si>
  <si>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</si>
  <si>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</si>
  <si>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</si>
  <si>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</si>
  <si>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</si>
  <si>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</si>
  <si>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</si>
  <si>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</si>
  <si>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</si>
  <si>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</si>
  <si>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</si>
  <si>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</si>
  <si>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</si>
  <si>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</si>
  <si>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</si>
  <si>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</si>
  <si>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</si>
  <si>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</si>
  <si>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</si>
  <si>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</si>
  <si>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</si>
  <si>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</si>
  <si>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</si>
  <si>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</si>
  <si>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</si>
  <si>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</si>
  <si>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</si>
  <si>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</si>
  <si>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</si>
  <si>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</si>
  <si>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</si>
  <si>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</si>
  <si>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</si>
  <si>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</si>
  <si>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</si>
  <si>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</si>
  <si>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</si>
  <si>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</si>
  <si>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</si>
  <si>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</si>
  <si>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</si>
  <si>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</si>
  <si>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</si>
  <si>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</si>
  <si>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</si>
  <si>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</si>
  <si>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</si>
  <si>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</si>
  <si>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</si>
  <si>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</si>
  <si>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</si>
  <si>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</si>
  <si>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</si>
  <si>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</si>
  <si>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</si>
  <si>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</si>
  <si>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</si>
  <si>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</si>
  <si>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</si>
  <si>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</si>
  <si>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</si>
  <si>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</si>
  <si>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</si>
  <si>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</si>
  <si>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</si>
  <si>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</si>
  <si>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</si>
  <si>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</si>
  <si>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</si>
  <si>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</si>
  <si>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</si>
  <si>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</si>
  <si>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</si>
  <si>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</si>
  <si>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</si>
  <si>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</si>
  <si>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</si>
  <si>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</si>
  <si>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</si>
  <si>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</si>
  <si>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</si>
  <si>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</si>
  <si>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</si>
  <si>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</si>
  <si>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</si>
  <si>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</si>
  <si>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</si>
  <si>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</si>
  <si>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</si>
  <si>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</si>
  <si>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</si>
  <si>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</si>
  <si>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</si>
  <si>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</si>
  <si>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</si>
  <si>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</si>
  <si>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</si>
  <si>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</si>
  <si>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</si>
  <si>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</si>
  <si>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</si>
  <si>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</si>
  <si>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</si>
  <si>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</si>
  <si>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</si>
  <si>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</si>
  <si>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</si>
  <si>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</si>
  <si>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</si>
  <si>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</si>
  <si>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</si>
  <si>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</si>
  <si>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</si>
  <si>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</si>
  <si>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</si>
  <si>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</si>
  <si>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</si>
  <si>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</si>
  <si>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</si>
  <si>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</si>
  <si>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</si>
  <si>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</si>
  <si>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</si>
  <si>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</si>
  <si>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</si>
  <si>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</si>
  <si>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</si>
  <si>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</si>
  <si>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</si>
  <si>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</si>
  <si>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</si>
  <si>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</si>
  <si>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</si>
  <si>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</si>
  <si>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</si>
  <si>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</si>
  <si>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</si>
  <si>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</si>
  <si>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</si>
  <si>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</si>
  <si>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</si>
  <si>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</si>
  <si>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</si>
  <si>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</si>
  <si>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</si>
  <si>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</si>
  <si>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</si>
  <si>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</si>
  <si>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</si>
  <si>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</si>
  <si>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</si>
  <si>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</si>
  <si>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</si>
  <si>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</si>
  <si>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</si>
  <si>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</si>
  <si>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</si>
  <si>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</si>
  <si>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</si>
  <si>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</si>
  <si>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</si>
  <si>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</si>
  <si>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</si>
  <si>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</si>
  <si>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</si>
  <si>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</si>
  <si>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</si>
  <si>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</si>
  <si>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</si>
  <si>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</si>
  <si>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</si>
  <si>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</si>
  <si>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</si>
  <si>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</si>
  <si>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</si>
  <si>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</si>
  <si>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</si>
  <si>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</si>
  <si>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</si>
  <si>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</si>
  <si>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</si>
  <si>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</si>
  <si>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</si>
  <si>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</si>
  <si>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</si>
  <si>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</si>
  <si>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</si>
  <si>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</si>
  <si>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</si>
  <si>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</si>
  <si>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</si>
  <si>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</si>
  <si>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</si>
  <si>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</si>
  <si>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</si>
  <si>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</si>
  <si>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</si>
  <si>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</si>
  <si>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</si>
  <si>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</si>
  <si>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</si>
  <si>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</si>
  <si>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</si>
  <si>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</si>
  <si>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</si>
  <si>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</si>
  <si>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</si>
  <si>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</si>
  <si>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</si>
  <si>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</si>
  <si>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</si>
  <si>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</si>
  <si>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</si>
  <si>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</si>
  <si>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</si>
  <si>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</si>
  <si>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</si>
  <si>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</si>
  <si>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</si>
  <si>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</si>
  <si>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</si>
  <si>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</si>
  <si>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</si>
  <si>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</si>
  <si>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</si>
  <si>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</si>
  <si>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</si>
  <si>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</si>
  <si>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</si>
  <si>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</si>
  <si>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</si>
  <si>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</si>
  <si>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</si>
  <si>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</si>
  <si>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</si>
  <si>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</si>
  <si>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</si>
  <si>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</si>
  <si>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</si>
  <si>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</si>
  <si>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</si>
  <si>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</si>
  <si>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</si>
  <si>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</si>
  <si>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</si>
  <si>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</si>
  <si>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</si>
  <si>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</si>
  <si>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</si>
  <si>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</si>
  <si>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</si>
  <si>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</si>
  <si>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</si>
  <si>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</si>
  <si>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</si>
  <si>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</si>
  <si>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</si>
  <si>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</si>
  <si>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</si>
  <si>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</si>
  <si>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</si>
  <si>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</si>
  <si>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</si>
  <si>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</si>
  <si>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</si>
  <si>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</si>
  <si>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</si>
  <si>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</si>
  <si>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</si>
  <si>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</si>
  <si>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</si>
  <si>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</si>
  <si>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</si>
  <si>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</si>
  <si>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</si>
  <si>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</si>
  <si>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</si>
  <si>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</si>
  <si>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</si>
  <si>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</si>
  <si>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</si>
  <si>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</si>
  <si>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</si>
  <si>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</si>
  <si>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</si>
  <si>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</si>
  <si>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</si>
  <si>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</si>
  <si>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</si>
  <si>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</si>
  <si>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</si>
  <si>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</si>
  <si>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</si>
  <si>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</si>
  <si>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</si>
  <si>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</si>
  <si>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</si>
  <si>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</si>
  <si>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</si>
  <si>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</si>
  <si>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</si>
  <si>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</si>
  <si>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</si>
  <si>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</si>
  <si>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</si>
  <si>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</si>
  <si>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</si>
  <si>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</si>
  <si>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</si>
  <si>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</si>
  <si>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</si>
  <si>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</si>
  <si>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</si>
  <si>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</si>
  <si>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</si>
  <si>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</si>
  <si>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</si>
  <si>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</si>
  <si>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</si>
  <si>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</si>
  <si>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</si>
  <si>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</si>
  <si>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</si>
  <si>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</si>
  <si>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</si>
  <si>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</si>
  <si>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</si>
  <si>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</si>
  <si>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</si>
  <si>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</si>
  <si>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</si>
  <si>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</si>
  <si>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</si>
  <si>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</si>
  <si>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</si>
  <si>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</si>
  <si>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</si>
  <si>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</si>
  <si>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</si>
  <si>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</si>
  <si>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</si>
  <si>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</si>
  <si>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</si>
  <si>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</si>
  <si>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</si>
  <si>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</si>
  <si>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</si>
  <si>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</si>
  <si>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</si>
  <si>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</si>
  <si>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</si>
  <si>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</si>
  <si>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</si>
  <si>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</si>
  <si>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</si>
  <si>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</si>
  <si>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</si>
  <si>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</si>
  <si>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</si>
  <si>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</si>
  <si>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</si>
  <si>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</si>
  <si>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</si>
  <si>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</si>
  <si>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</si>
  <si>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72030</t>
  </si>
  <si>
    <t>PEER</t>
  </si>
  <si>
    <t>referentietaak LNE (2017); Jaarverslag De Lijn</t>
  </si>
  <si>
    <t>waterkracht</t>
  </si>
  <si>
    <t>interne verbrandingsmotor</t>
  </si>
  <si>
    <t>WKK interne verbrandinsgmotor (gas)</t>
  </si>
  <si>
    <t>Inter-Energa</t>
  </si>
  <si>
    <t>Biogas - hoofdzakelijk agrarische stromen</t>
  </si>
  <si>
    <t>Inter-energa (via INFRAX)</t>
  </si>
  <si>
    <t>Interne verbrandingsmotor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</si>
</sst>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B16A877-D2A4-4BBA-B585-D962410B2E0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131906.3303917743</c:v>
                </c:pt>
                <c:pt idx="1">
                  <c:v>72694.980595639237</c:v>
                </c:pt>
                <c:pt idx="2">
                  <c:v>1099.557636</c:v>
                </c:pt>
                <c:pt idx="3">
                  <c:v>17856.780228591611</c:v>
                </c:pt>
                <c:pt idx="4">
                  <c:v>35348.641617558809</c:v>
                </c:pt>
                <c:pt idx="5">
                  <c:v>110303.77622353708</c:v>
                </c:pt>
                <c:pt idx="6">
                  <c:v>2552.9006661975477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131906.3303917743</c:v>
                </c:pt>
                <c:pt idx="1">
                  <c:v>72694.980595639237</c:v>
                </c:pt>
                <c:pt idx="2">
                  <c:v>1099.557636</c:v>
                </c:pt>
                <c:pt idx="3">
                  <c:v>17856.780228591611</c:v>
                </c:pt>
                <c:pt idx="4">
                  <c:v>35348.641617558809</c:v>
                </c:pt>
                <c:pt idx="5">
                  <c:v>110303.77622353708</c:v>
                </c:pt>
                <c:pt idx="6">
                  <c:v>2552.9006661975477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25868.137046351167</c:v>
                </c:pt>
                <c:pt idx="1">
                  <c:v>13503.344876883371</c:v>
                </c:pt>
                <c:pt idx="2">
                  <c:v>169.3805926050677</c:v>
                </c:pt>
                <c:pt idx="3">
                  <c:v>4350.6765081826788</c:v>
                </c:pt>
                <c:pt idx="4">
                  <c:v>3349.2763192611701</c:v>
                </c:pt>
                <c:pt idx="5">
                  <c:v>27264.352257544313</c:v>
                </c:pt>
                <c:pt idx="6">
                  <c:v>640.87176840427276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25868.137046351167</c:v>
                </c:pt>
                <c:pt idx="1">
                  <c:v>13503.344876883371</c:v>
                </c:pt>
                <c:pt idx="2">
                  <c:v>169.3805926050677</c:v>
                </c:pt>
                <c:pt idx="3">
                  <c:v>4350.6765081826788</c:v>
                </c:pt>
                <c:pt idx="4">
                  <c:v>3349.2763192611701</c:v>
                </c:pt>
                <c:pt idx="5">
                  <c:v>27264.352257544313</c:v>
                </c:pt>
                <c:pt idx="6">
                  <c:v>640.87176840427276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72030</v>
      </c>
      <c r="B6" s="384"/>
      <c r="C6" s="385"/>
    </row>
    <row r="7" spans="1:7" s="382" customFormat="1" ht="15.75" customHeight="1">
      <c r="A7" s="386" t="str">
        <f>txtMunicipality</f>
        <v>PEER</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25512.249029999999</v>
      </c>
      <c r="D10" s="681">
        <f ca="1">tertiair!C16</f>
        <v>0</v>
      </c>
      <c r="E10" s="681">
        <f ca="1">tertiair!D16</f>
        <v>40897.386316437005</v>
      </c>
      <c r="F10" s="681">
        <f>tertiair!E16</f>
        <v>104.97881474253748</v>
      </c>
      <c r="G10" s="681">
        <f ca="1">tertiair!F16</f>
        <v>5459.1473883180442</v>
      </c>
      <c r="H10" s="681">
        <f>tertiair!G16</f>
        <v>0</v>
      </c>
      <c r="I10" s="681">
        <f>tertiair!H16</f>
        <v>0</v>
      </c>
      <c r="J10" s="681">
        <f>tertiair!I16</f>
        <v>0</v>
      </c>
      <c r="K10" s="681">
        <f>tertiair!J16</f>
        <v>4.0117213474594501E-2</v>
      </c>
      <c r="L10" s="681">
        <f>tertiair!K16</f>
        <v>0</v>
      </c>
      <c r="M10" s="681">
        <f ca="1">tertiair!L16</f>
        <v>0</v>
      </c>
      <c r="N10" s="681">
        <f>tertiair!M16</f>
        <v>0</v>
      </c>
      <c r="O10" s="681">
        <f ca="1">tertiair!N16</f>
        <v>1543.3490910981855</v>
      </c>
      <c r="P10" s="681">
        <f>tertiair!O16</f>
        <v>14.691782297523464</v>
      </c>
      <c r="Q10" s="682">
        <f>tertiair!P16</f>
        <v>262.69569153247511</v>
      </c>
      <c r="R10" s="684">
        <f ca="1">SUM(C10:Q10)</f>
        <v>73794.53823163925</v>
      </c>
      <c r="S10" s="67"/>
    </row>
    <row r="11" spans="1:19" s="443" customFormat="1">
      <c r="A11" s="802" t="s">
        <v>214</v>
      </c>
      <c r="B11" s="807"/>
      <c r="C11" s="681">
        <f>huishoudens!B8</f>
        <v>29293.755082614574</v>
      </c>
      <c r="D11" s="681">
        <f>huishoudens!C8</f>
        <v>0</v>
      </c>
      <c r="E11" s="681">
        <f>huishoudens!D8</f>
        <v>44099.000869035001</v>
      </c>
      <c r="F11" s="681">
        <f>huishoudens!E8</f>
        <v>2033.8356562019387</v>
      </c>
      <c r="G11" s="681">
        <f>huishoudens!F8</f>
        <v>44554.434915669532</v>
      </c>
      <c r="H11" s="681">
        <f>huishoudens!G8</f>
        <v>0</v>
      </c>
      <c r="I11" s="681">
        <f>huishoudens!H8</f>
        <v>0</v>
      </c>
      <c r="J11" s="681">
        <f>huishoudens!I8</f>
        <v>0</v>
      </c>
      <c r="K11" s="681">
        <f>huishoudens!J8</f>
        <v>253.92059767039399</v>
      </c>
      <c r="L11" s="681">
        <f>huishoudens!K8</f>
        <v>0</v>
      </c>
      <c r="M11" s="681">
        <f>huishoudens!L8</f>
        <v>0</v>
      </c>
      <c r="N11" s="681">
        <f>huishoudens!M8</f>
        <v>0</v>
      </c>
      <c r="O11" s="681">
        <f>huishoudens!N8</f>
        <v>9240.1229444508936</v>
      </c>
      <c r="P11" s="681">
        <f>huishoudens!O8</f>
        <v>714.2249589793314</v>
      </c>
      <c r="Q11" s="682">
        <f>huishoudens!P8</f>
        <v>1717.0353671526589</v>
      </c>
      <c r="R11" s="684">
        <f>SUM(C11:Q11)</f>
        <v>131906.3303917743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16570.550788</v>
      </c>
      <c r="D13" s="681">
        <f>industrie!C18</f>
        <v>15287.142857142857</v>
      </c>
      <c r="E13" s="681">
        <f>industrie!D18</f>
        <v>2073.7510692360001</v>
      </c>
      <c r="F13" s="681">
        <f>industrie!E18</f>
        <v>22.240095549830841</v>
      </c>
      <c r="G13" s="681">
        <f>industrie!F18</f>
        <v>1391.7655100397988</v>
      </c>
      <c r="H13" s="681">
        <f>industrie!G18</f>
        <v>0</v>
      </c>
      <c r="I13" s="681">
        <f>industrie!H18</f>
        <v>0</v>
      </c>
      <c r="J13" s="681">
        <f>industrie!I18</f>
        <v>0</v>
      </c>
      <c r="K13" s="681">
        <f>industrie!J18</f>
        <v>3.1912975903280598</v>
      </c>
      <c r="L13" s="681">
        <f>industrie!K18</f>
        <v>0</v>
      </c>
      <c r="M13" s="681">
        <f>industrie!L18</f>
        <v>0</v>
      </c>
      <c r="N13" s="681">
        <f>industrie!M18</f>
        <v>0</v>
      </c>
      <c r="O13" s="681">
        <f>industrie!N18</f>
        <v>0</v>
      </c>
      <c r="P13" s="681">
        <f>industrie!O18</f>
        <v>0</v>
      </c>
      <c r="Q13" s="682">
        <f>industrie!P18</f>
        <v>0</v>
      </c>
      <c r="R13" s="684">
        <f>SUM(C13:Q13)</f>
        <v>35348.641617558809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71376.554900614574</v>
      </c>
      <c r="D16" s="717">
        <f t="shared" ref="D16:R16" ca="1" si="0">SUM(D9:D15)</f>
        <v>15287.142857142857</v>
      </c>
      <c r="E16" s="717">
        <f t="shared" ca="1" si="0"/>
        <v>87070.138254707999</v>
      </c>
      <c r="F16" s="717">
        <f t="shared" si="0"/>
        <v>2161.0545664943074</v>
      </c>
      <c r="G16" s="717">
        <f t="shared" ca="1" si="0"/>
        <v>51405.347814027373</v>
      </c>
      <c r="H16" s="717">
        <f t="shared" si="0"/>
        <v>0</v>
      </c>
      <c r="I16" s="717">
        <f t="shared" si="0"/>
        <v>0</v>
      </c>
      <c r="J16" s="717">
        <f t="shared" si="0"/>
        <v>0</v>
      </c>
      <c r="K16" s="717">
        <f t="shared" si="0"/>
        <v>257.15201247419662</v>
      </c>
      <c r="L16" s="717">
        <f t="shared" si="0"/>
        <v>0</v>
      </c>
      <c r="M16" s="717">
        <f t="shared" ca="1" si="0"/>
        <v>0</v>
      </c>
      <c r="N16" s="717">
        <f t="shared" si="0"/>
        <v>0</v>
      </c>
      <c r="O16" s="717">
        <f t="shared" ca="1" si="0"/>
        <v>10783.472035549079</v>
      </c>
      <c r="P16" s="717">
        <f t="shared" si="0"/>
        <v>728.91674127685485</v>
      </c>
      <c r="Q16" s="717">
        <f t="shared" si="0"/>
        <v>1979.731058685134</v>
      </c>
      <c r="R16" s="717">
        <f t="shared" ca="1" si="0"/>
        <v>241049.51024097236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37.990978229082813</v>
      </c>
      <c r="D19" s="681">
        <f>transport!C54</f>
        <v>0</v>
      </c>
      <c r="E19" s="681">
        <f>transport!D54</f>
        <v>0</v>
      </c>
      <c r="F19" s="681">
        <f>transport!E54</f>
        <v>0</v>
      </c>
      <c r="G19" s="681">
        <f>transport!F54</f>
        <v>0</v>
      </c>
      <c r="H19" s="681">
        <f>transport!G54</f>
        <v>2378.3500919117773</v>
      </c>
      <c r="I19" s="681">
        <f>transport!H54</f>
        <v>0</v>
      </c>
      <c r="J19" s="681">
        <f>transport!I54</f>
        <v>0</v>
      </c>
      <c r="K19" s="681">
        <f>transport!J54</f>
        <v>0</v>
      </c>
      <c r="L19" s="681">
        <f>transport!K54</f>
        <v>0</v>
      </c>
      <c r="M19" s="681">
        <f>transport!L54</f>
        <v>0</v>
      </c>
      <c r="N19" s="681">
        <f>transport!M54</f>
        <v>136.55959605668764</v>
      </c>
      <c r="O19" s="681">
        <f>transport!N54</f>
        <v>0</v>
      </c>
      <c r="P19" s="681">
        <f>transport!O54</f>
        <v>0</v>
      </c>
      <c r="Q19" s="682">
        <f>transport!P54</f>
        <v>0</v>
      </c>
      <c r="R19" s="684">
        <f>SUM(C19:Q19)</f>
        <v>2552.9006661975477</v>
      </c>
      <c r="S19" s="67"/>
    </row>
    <row r="20" spans="1:19" s="443" customFormat="1">
      <c r="A20" s="802" t="s">
        <v>296</v>
      </c>
      <c r="B20" s="807"/>
      <c r="C20" s="681">
        <f>transport!B14</f>
        <v>268.20826224337935</v>
      </c>
      <c r="D20" s="681">
        <f>transport!C14</f>
        <v>0</v>
      </c>
      <c r="E20" s="681">
        <f>transport!D14</f>
        <v>507.52606202625094</v>
      </c>
      <c r="F20" s="681">
        <f>transport!E14</f>
        <v>197.39013317228537</v>
      </c>
      <c r="G20" s="681">
        <f>transport!F14</f>
        <v>0</v>
      </c>
      <c r="H20" s="681">
        <f>transport!G14</f>
        <v>78291.885420169216</v>
      </c>
      <c r="I20" s="681">
        <f>transport!H14</f>
        <v>24786.245261292363</v>
      </c>
      <c r="J20" s="681">
        <f>transport!I14</f>
        <v>0</v>
      </c>
      <c r="K20" s="681">
        <f>transport!J14</f>
        <v>0</v>
      </c>
      <c r="L20" s="681">
        <f>transport!K14</f>
        <v>0</v>
      </c>
      <c r="M20" s="681">
        <f>transport!L14</f>
        <v>0</v>
      </c>
      <c r="N20" s="681">
        <f>transport!M14</f>
        <v>6252.5210846335776</v>
      </c>
      <c r="O20" s="681">
        <f>transport!N14</f>
        <v>0</v>
      </c>
      <c r="P20" s="681">
        <f>transport!O14</f>
        <v>0</v>
      </c>
      <c r="Q20" s="682">
        <f>transport!P14</f>
        <v>0</v>
      </c>
      <c r="R20" s="684">
        <f>SUM(C20:Q20)</f>
        <v>110303.77622353708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306.19924047246218</v>
      </c>
      <c r="D22" s="805">
        <f t="shared" ref="D22:R22" si="1">SUM(D18:D21)</f>
        <v>0</v>
      </c>
      <c r="E22" s="805">
        <f t="shared" si="1"/>
        <v>507.52606202625094</v>
      </c>
      <c r="F22" s="805">
        <f t="shared" si="1"/>
        <v>197.39013317228537</v>
      </c>
      <c r="G22" s="805">
        <f t="shared" si="1"/>
        <v>0</v>
      </c>
      <c r="H22" s="805">
        <f t="shared" si="1"/>
        <v>80670.235512080995</v>
      </c>
      <c r="I22" s="805">
        <f t="shared" si="1"/>
        <v>24786.245261292363</v>
      </c>
      <c r="J22" s="805">
        <f t="shared" si="1"/>
        <v>0</v>
      </c>
      <c r="K22" s="805">
        <f t="shared" si="1"/>
        <v>0</v>
      </c>
      <c r="L22" s="805">
        <f t="shared" si="1"/>
        <v>0</v>
      </c>
      <c r="M22" s="805">
        <f t="shared" si="1"/>
        <v>0</v>
      </c>
      <c r="N22" s="805">
        <f t="shared" si="1"/>
        <v>6389.0806806902656</v>
      </c>
      <c r="O22" s="805">
        <f t="shared" si="1"/>
        <v>0</v>
      </c>
      <c r="P22" s="805">
        <f t="shared" si="1"/>
        <v>0</v>
      </c>
      <c r="Q22" s="805">
        <f t="shared" si="1"/>
        <v>0</v>
      </c>
      <c r="R22" s="805">
        <f t="shared" si="1"/>
        <v>112856.67688973462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3899.2562319999997</v>
      </c>
      <c r="D24" s="681">
        <f>+landbouw!C8</f>
        <v>124.71428571428569</v>
      </c>
      <c r="E24" s="681">
        <f>+landbouw!D8</f>
        <v>386.63898008400002</v>
      </c>
      <c r="F24" s="681">
        <f>+landbouw!E8</f>
        <v>111.68129723412005</v>
      </c>
      <c r="G24" s="681">
        <f>+landbouw!F8</f>
        <v>12343.031019734299</v>
      </c>
      <c r="H24" s="681">
        <f>+landbouw!G8</f>
        <v>0</v>
      </c>
      <c r="I24" s="681">
        <f>+landbouw!H8</f>
        <v>0</v>
      </c>
      <c r="J24" s="681">
        <f>+landbouw!I8</f>
        <v>0</v>
      </c>
      <c r="K24" s="681">
        <f>+landbouw!J8</f>
        <v>991.45841382490642</v>
      </c>
      <c r="L24" s="681">
        <f>+landbouw!K8</f>
        <v>0</v>
      </c>
      <c r="M24" s="681">
        <f>+landbouw!L8</f>
        <v>0</v>
      </c>
      <c r="N24" s="681">
        <f>+landbouw!M8</f>
        <v>0</v>
      </c>
      <c r="O24" s="681">
        <f>+landbouw!N8</f>
        <v>0</v>
      </c>
      <c r="P24" s="681">
        <f>+landbouw!O8</f>
        <v>0</v>
      </c>
      <c r="Q24" s="682">
        <f>+landbouw!P8</f>
        <v>0</v>
      </c>
      <c r="R24" s="684">
        <f>SUM(C24:Q24)</f>
        <v>17856.780228591611</v>
      </c>
      <c r="S24" s="67"/>
    </row>
    <row r="25" spans="1:19" s="443" customFormat="1" ht="15" thickBot="1">
      <c r="A25" s="824" t="s">
        <v>690</v>
      </c>
      <c r="B25" s="937"/>
      <c r="C25" s="938">
        <f>IF(Onbekend_ele_kWh="---",0,Onbekend_ele_kWh)/1000+IF(REST_rest_ele_kWh="---",0,REST_rest_ele_kWh)/1000</f>
        <v>1065.6787409999999</v>
      </c>
      <c r="D25" s="938"/>
      <c r="E25" s="938">
        <f>IF(onbekend_gas_kWh="---",0,onbekend_gas_kWh)/1000+IF(REST_rest_gas_kWh="---",0,REST_rest_gas_kWh)/1000</f>
        <v>1428.110453</v>
      </c>
      <c r="F25" s="938"/>
      <c r="G25" s="938"/>
      <c r="H25" s="938"/>
      <c r="I25" s="938"/>
      <c r="J25" s="938"/>
      <c r="K25" s="938"/>
      <c r="L25" s="938"/>
      <c r="M25" s="938"/>
      <c r="N25" s="938"/>
      <c r="O25" s="938"/>
      <c r="P25" s="938"/>
      <c r="Q25" s="939"/>
      <c r="R25" s="684">
        <f>SUM(C25:Q25)</f>
        <v>2493.789194</v>
      </c>
      <c r="S25" s="67"/>
    </row>
    <row r="26" spans="1:19" s="443" customFormat="1" ht="15.75" thickBot="1">
      <c r="A26" s="689" t="s">
        <v>691</v>
      </c>
      <c r="B26" s="810"/>
      <c r="C26" s="805">
        <f>SUM(C24:C25)</f>
        <v>4964.9349729999994</v>
      </c>
      <c r="D26" s="805">
        <f t="shared" ref="D26:R26" si="2">SUM(D24:D25)</f>
        <v>124.71428571428569</v>
      </c>
      <c r="E26" s="805">
        <f t="shared" si="2"/>
        <v>1814.749433084</v>
      </c>
      <c r="F26" s="805">
        <f t="shared" si="2"/>
        <v>111.68129723412005</v>
      </c>
      <c r="G26" s="805">
        <f t="shared" si="2"/>
        <v>12343.031019734299</v>
      </c>
      <c r="H26" s="805">
        <f t="shared" si="2"/>
        <v>0</v>
      </c>
      <c r="I26" s="805">
        <f t="shared" si="2"/>
        <v>0</v>
      </c>
      <c r="J26" s="805">
        <f t="shared" si="2"/>
        <v>0</v>
      </c>
      <c r="K26" s="805">
        <f t="shared" si="2"/>
        <v>991.45841382490642</v>
      </c>
      <c r="L26" s="805">
        <f t="shared" si="2"/>
        <v>0</v>
      </c>
      <c r="M26" s="805">
        <f t="shared" si="2"/>
        <v>0</v>
      </c>
      <c r="N26" s="805">
        <f t="shared" si="2"/>
        <v>0</v>
      </c>
      <c r="O26" s="805">
        <f t="shared" si="2"/>
        <v>0</v>
      </c>
      <c r="P26" s="805">
        <f t="shared" si="2"/>
        <v>0</v>
      </c>
      <c r="Q26" s="805">
        <f t="shared" si="2"/>
        <v>0</v>
      </c>
      <c r="R26" s="805">
        <f t="shared" si="2"/>
        <v>20350.569422591612</v>
      </c>
      <c r="S26" s="67"/>
    </row>
    <row r="27" spans="1:19" s="443" customFormat="1" ht="17.25" thickTop="1" thickBot="1">
      <c r="A27" s="690" t="s">
        <v>109</v>
      </c>
      <c r="B27" s="797"/>
      <c r="C27" s="691">
        <f ca="1">C22+C16+C26</f>
        <v>76647.689114087028</v>
      </c>
      <c r="D27" s="691">
        <f t="shared" ref="D27:R27" ca="1" si="3">D22+D16+D26</f>
        <v>15411.857142857143</v>
      </c>
      <c r="E27" s="691">
        <f t="shared" ca="1" si="3"/>
        <v>89392.413749818254</v>
      </c>
      <c r="F27" s="691">
        <f t="shared" si="3"/>
        <v>2470.1259969007128</v>
      </c>
      <c r="G27" s="691">
        <f t="shared" ca="1" si="3"/>
        <v>63748.378833761672</v>
      </c>
      <c r="H27" s="691">
        <f t="shared" si="3"/>
        <v>80670.235512080995</v>
      </c>
      <c r="I27" s="691">
        <f t="shared" si="3"/>
        <v>24786.245261292363</v>
      </c>
      <c r="J27" s="691">
        <f t="shared" si="3"/>
        <v>0</v>
      </c>
      <c r="K27" s="691">
        <f t="shared" si="3"/>
        <v>1248.610426299103</v>
      </c>
      <c r="L27" s="691">
        <f t="shared" si="3"/>
        <v>0</v>
      </c>
      <c r="M27" s="691">
        <f t="shared" ca="1" si="3"/>
        <v>0</v>
      </c>
      <c r="N27" s="691">
        <f t="shared" si="3"/>
        <v>6389.0806806902656</v>
      </c>
      <c r="O27" s="691">
        <f t="shared" ca="1" si="3"/>
        <v>10783.472035549079</v>
      </c>
      <c r="P27" s="691">
        <f t="shared" si="3"/>
        <v>728.91674127685485</v>
      </c>
      <c r="Q27" s="691">
        <f t="shared" si="3"/>
        <v>1979.731058685134</v>
      </c>
      <c r="R27" s="691">
        <f t="shared" ca="1" si="3"/>
        <v>374256.75655329856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3930.0166884471196</v>
      </c>
      <c r="D40" s="681">
        <f ca="1">tertiair!C20</f>
        <v>0</v>
      </c>
      <c r="E40" s="681">
        <f ca="1">tertiair!D20</f>
        <v>8261.2720359202758</v>
      </c>
      <c r="F40" s="681">
        <f>tertiair!E20</f>
        <v>23.830190946556009</v>
      </c>
      <c r="G40" s="681">
        <f ca="1">tertiair!F20</f>
        <v>1457.5923526809179</v>
      </c>
      <c r="H40" s="681">
        <f>tertiair!G20</f>
        <v>0</v>
      </c>
      <c r="I40" s="681">
        <f>tertiair!H20</f>
        <v>0</v>
      </c>
      <c r="J40" s="681">
        <f>tertiair!I20</f>
        <v>0</v>
      </c>
      <c r="K40" s="681">
        <f>tertiair!J20</f>
        <v>1.4201493570006453E-2</v>
      </c>
      <c r="L40" s="681">
        <f>tertiair!K20</f>
        <v>0</v>
      </c>
      <c r="M40" s="681">
        <f ca="1">tertiair!L20</f>
        <v>0</v>
      </c>
      <c r="N40" s="681">
        <f>tertiair!M20</f>
        <v>0</v>
      </c>
      <c r="O40" s="681">
        <f ca="1">tertiair!N20</f>
        <v>0</v>
      </c>
      <c r="P40" s="681">
        <f>tertiair!O20</f>
        <v>0</v>
      </c>
      <c r="Q40" s="764">
        <f>tertiair!P20</f>
        <v>0</v>
      </c>
      <c r="R40" s="843">
        <f t="shared" ca="1" si="4"/>
        <v>13672.72546948844</v>
      </c>
    </row>
    <row r="41" spans="1:18">
      <c r="A41" s="815" t="s">
        <v>214</v>
      </c>
      <c r="B41" s="822"/>
      <c r="C41" s="681">
        <f ca="1">huishoudens!B12</f>
        <v>4512.5361627891698</v>
      </c>
      <c r="D41" s="681">
        <f ca="1">huishoudens!C12</f>
        <v>0</v>
      </c>
      <c r="E41" s="681">
        <f>huishoudens!D12</f>
        <v>8907.9981755450699</v>
      </c>
      <c r="F41" s="681">
        <f>huishoudens!E12</f>
        <v>461.68069395784011</v>
      </c>
      <c r="G41" s="681">
        <f>huishoudens!F12</f>
        <v>11896.034122483765</v>
      </c>
      <c r="H41" s="681">
        <f>huishoudens!G12</f>
        <v>0</v>
      </c>
      <c r="I41" s="681">
        <f>huishoudens!H12</f>
        <v>0</v>
      </c>
      <c r="J41" s="681">
        <f>huishoudens!I12</f>
        <v>0</v>
      </c>
      <c r="K41" s="681">
        <f>huishoudens!J12</f>
        <v>89.887891575319472</v>
      </c>
      <c r="L41" s="681">
        <f>huishoudens!K12</f>
        <v>0</v>
      </c>
      <c r="M41" s="681">
        <f>huishoudens!L12</f>
        <v>0</v>
      </c>
      <c r="N41" s="681">
        <f>huishoudens!M12</f>
        <v>0</v>
      </c>
      <c r="O41" s="681">
        <f>huishoudens!N12</f>
        <v>0</v>
      </c>
      <c r="P41" s="681">
        <f>huishoudens!O12</f>
        <v>0</v>
      </c>
      <c r="Q41" s="764">
        <f>huishoudens!P12</f>
        <v>0</v>
      </c>
      <c r="R41" s="843">
        <f t="shared" ca="1" si="4"/>
        <v>25868.137046351167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2552.5989910580838</v>
      </c>
      <c r="D43" s="681">
        <f ca="1">industrie!C22</f>
        <v>0</v>
      </c>
      <c r="E43" s="681">
        <f>industrie!D22</f>
        <v>418.89771598567205</v>
      </c>
      <c r="F43" s="681">
        <f>industrie!E22</f>
        <v>5.0485016898116006</v>
      </c>
      <c r="G43" s="681">
        <f>industrie!F22</f>
        <v>371.60139118062631</v>
      </c>
      <c r="H43" s="681">
        <f>industrie!G22</f>
        <v>0</v>
      </c>
      <c r="I43" s="681">
        <f>industrie!H22</f>
        <v>0</v>
      </c>
      <c r="J43" s="681">
        <f>industrie!I22</f>
        <v>0</v>
      </c>
      <c r="K43" s="681">
        <f>industrie!J22</f>
        <v>1.1297193469761331</v>
      </c>
      <c r="L43" s="681">
        <f>industrie!K22</f>
        <v>0</v>
      </c>
      <c r="M43" s="681">
        <f>industrie!L22</f>
        <v>0</v>
      </c>
      <c r="N43" s="681">
        <f>industrie!M22</f>
        <v>0</v>
      </c>
      <c r="O43" s="681">
        <f>industrie!N22</f>
        <v>0</v>
      </c>
      <c r="P43" s="681">
        <f>industrie!O22</f>
        <v>0</v>
      </c>
      <c r="Q43" s="764">
        <f>industrie!P22</f>
        <v>0</v>
      </c>
      <c r="R43" s="842">
        <f t="shared" ca="1" si="4"/>
        <v>3349.2763192611701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10995.151842294374</v>
      </c>
      <c r="D46" s="717">
        <f t="shared" ref="D46:Q46" ca="1" si="5">SUM(D39:D45)</f>
        <v>0</v>
      </c>
      <c r="E46" s="717">
        <f t="shared" ca="1" si="5"/>
        <v>17588.167927451017</v>
      </c>
      <c r="F46" s="717">
        <f t="shared" si="5"/>
        <v>490.55938659420769</v>
      </c>
      <c r="G46" s="717">
        <f t="shared" ca="1" si="5"/>
        <v>13725.227866345309</v>
      </c>
      <c r="H46" s="717">
        <f t="shared" si="5"/>
        <v>0</v>
      </c>
      <c r="I46" s="717">
        <f t="shared" si="5"/>
        <v>0</v>
      </c>
      <c r="J46" s="717">
        <f t="shared" si="5"/>
        <v>0</v>
      </c>
      <c r="K46" s="717">
        <f t="shared" si="5"/>
        <v>91.031812415865616</v>
      </c>
      <c r="L46" s="717">
        <f t="shared" si="5"/>
        <v>0</v>
      </c>
      <c r="M46" s="717">
        <f t="shared" ca="1" si="5"/>
        <v>0</v>
      </c>
      <c r="N46" s="717">
        <f t="shared" si="5"/>
        <v>0</v>
      </c>
      <c r="O46" s="717">
        <f t="shared" ca="1" si="5"/>
        <v>0</v>
      </c>
      <c r="P46" s="717">
        <f t="shared" si="5"/>
        <v>0</v>
      </c>
      <c r="Q46" s="717">
        <f t="shared" si="5"/>
        <v>0</v>
      </c>
      <c r="R46" s="717">
        <f ca="1">SUM(R39:R45)</f>
        <v>42890.13883510077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5.852293863828228</v>
      </c>
      <c r="D49" s="681">
        <f ca="1">transport!C58</f>
        <v>0</v>
      </c>
      <c r="E49" s="681">
        <f>transport!D58</f>
        <v>0</v>
      </c>
      <c r="F49" s="681">
        <f>transport!E58</f>
        <v>0</v>
      </c>
      <c r="G49" s="681">
        <f>transport!F58</f>
        <v>0</v>
      </c>
      <c r="H49" s="681">
        <f>transport!G58</f>
        <v>635.01947454044455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640.87176840427276</v>
      </c>
    </row>
    <row r="50" spans="1:18">
      <c r="A50" s="818" t="s">
        <v>296</v>
      </c>
      <c r="B50" s="828"/>
      <c r="C50" s="687">
        <f ca="1">transport!B18</f>
        <v>41.315955537922342</v>
      </c>
      <c r="D50" s="687">
        <f>transport!C18</f>
        <v>0</v>
      </c>
      <c r="E50" s="687">
        <f>transport!D18</f>
        <v>102.52026452930269</v>
      </c>
      <c r="F50" s="687">
        <f>transport!E18</f>
        <v>44.807560230108784</v>
      </c>
      <c r="G50" s="687">
        <f>transport!F18</f>
        <v>0</v>
      </c>
      <c r="H50" s="687">
        <f>transport!G18</f>
        <v>20903.933407185181</v>
      </c>
      <c r="I50" s="687">
        <f>transport!H18</f>
        <v>6171.775070061798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27264.352257544313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47.168249401750572</v>
      </c>
      <c r="D52" s="717">
        <f t="shared" ref="D52:Q52" ca="1" si="6">SUM(D48:D51)</f>
        <v>0</v>
      </c>
      <c r="E52" s="717">
        <f t="shared" si="6"/>
        <v>102.52026452930269</v>
      </c>
      <c r="F52" s="717">
        <f t="shared" si="6"/>
        <v>44.807560230108784</v>
      </c>
      <c r="G52" s="717">
        <f t="shared" si="6"/>
        <v>0</v>
      </c>
      <c r="H52" s="717">
        <f t="shared" si="6"/>
        <v>21538.952881725625</v>
      </c>
      <c r="I52" s="717">
        <f t="shared" si="6"/>
        <v>6171.775070061798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27905.224025948584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600.65821897049091</v>
      </c>
      <c r="D54" s="687">
        <f ca="1">+landbouw!C12</f>
        <v>0</v>
      </c>
      <c r="E54" s="687">
        <f>+landbouw!D12</f>
        <v>78.10107397696801</v>
      </c>
      <c r="F54" s="687">
        <f>+landbouw!E12</f>
        <v>25.351654472145253</v>
      </c>
      <c r="G54" s="687">
        <f>+landbouw!F12</f>
        <v>3295.589282269058</v>
      </c>
      <c r="H54" s="687">
        <f>+landbouw!G12</f>
        <v>0</v>
      </c>
      <c r="I54" s="687">
        <f>+landbouw!H12</f>
        <v>0</v>
      </c>
      <c r="J54" s="687">
        <f>+landbouw!I12</f>
        <v>0</v>
      </c>
      <c r="K54" s="687">
        <f>+landbouw!J12</f>
        <v>350.97627849401687</v>
      </c>
      <c r="L54" s="687">
        <f>+landbouw!K12</f>
        <v>0</v>
      </c>
      <c r="M54" s="687">
        <f>+landbouw!L12</f>
        <v>0</v>
      </c>
      <c r="N54" s="687">
        <f>+landbouw!M12</f>
        <v>0</v>
      </c>
      <c r="O54" s="687">
        <f>+landbouw!N12</f>
        <v>0</v>
      </c>
      <c r="P54" s="687">
        <f>+landbouw!O12</f>
        <v>0</v>
      </c>
      <c r="Q54" s="688">
        <f>+landbouw!P12</f>
        <v>0</v>
      </c>
      <c r="R54" s="716">
        <f ca="1">SUM(C54:Q54)</f>
        <v>4350.6765081826788</v>
      </c>
    </row>
    <row r="55" spans="1:18" ht="15" thickBot="1">
      <c r="A55" s="818" t="s">
        <v>690</v>
      </c>
      <c r="B55" s="828"/>
      <c r="C55" s="687">
        <f ca="1">C25*'EF ele_warmte'!B12</f>
        <v>164.16174174720791</v>
      </c>
      <c r="D55" s="687"/>
      <c r="E55" s="687">
        <f>E25*EF_CO2_aardgas</f>
        <v>288.47831150600001</v>
      </c>
      <c r="F55" s="687"/>
      <c r="G55" s="687"/>
      <c r="H55" s="687"/>
      <c r="I55" s="687"/>
      <c r="J55" s="687"/>
      <c r="K55" s="687"/>
      <c r="L55" s="687"/>
      <c r="M55" s="687"/>
      <c r="N55" s="687"/>
      <c r="O55" s="687"/>
      <c r="P55" s="687"/>
      <c r="Q55" s="688"/>
      <c r="R55" s="716">
        <f ca="1">SUM(C55:Q55)</f>
        <v>452.64005325320795</v>
      </c>
    </row>
    <row r="56" spans="1:18" ht="15.75" thickBot="1">
      <c r="A56" s="816" t="s">
        <v>691</v>
      </c>
      <c r="B56" s="829"/>
      <c r="C56" s="717">
        <f ca="1">SUM(C54:C55)</f>
        <v>764.81996071769879</v>
      </c>
      <c r="D56" s="717">
        <f t="shared" ref="D56:Q56" ca="1" si="7">SUM(D54:D55)</f>
        <v>0</v>
      </c>
      <c r="E56" s="717">
        <f t="shared" si="7"/>
        <v>366.57938548296801</v>
      </c>
      <c r="F56" s="717">
        <f t="shared" si="7"/>
        <v>25.351654472145253</v>
      </c>
      <c r="G56" s="717">
        <f t="shared" si="7"/>
        <v>3295.589282269058</v>
      </c>
      <c r="H56" s="717">
        <f t="shared" si="7"/>
        <v>0</v>
      </c>
      <c r="I56" s="717">
        <f t="shared" si="7"/>
        <v>0</v>
      </c>
      <c r="J56" s="717">
        <f t="shared" si="7"/>
        <v>0</v>
      </c>
      <c r="K56" s="717">
        <f t="shared" si="7"/>
        <v>350.97627849401687</v>
      </c>
      <c r="L56" s="717">
        <f t="shared" si="7"/>
        <v>0</v>
      </c>
      <c r="M56" s="717">
        <f t="shared" si="7"/>
        <v>0</v>
      </c>
      <c r="N56" s="717">
        <f t="shared" si="7"/>
        <v>0</v>
      </c>
      <c r="O56" s="717">
        <f t="shared" si="7"/>
        <v>0</v>
      </c>
      <c r="P56" s="717">
        <f t="shared" si="7"/>
        <v>0</v>
      </c>
      <c r="Q56" s="718">
        <f t="shared" si="7"/>
        <v>0</v>
      </c>
      <c r="R56" s="719">
        <f ca="1">SUM(R54:R55)</f>
        <v>4803.3165614358868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11807.140052413824</v>
      </c>
      <c r="D61" s="725">
        <f t="shared" ref="D61:Q61" ca="1" si="8">D46+D52+D56</f>
        <v>0</v>
      </c>
      <c r="E61" s="725">
        <f t="shared" ca="1" si="8"/>
        <v>18057.267577463288</v>
      </c>
      <c r="F61" s="725">
        <f t="shared" si="8"/>
        <v>560.71860129646177</v>
      </c>
      <c r="G61" s="725">
        <f t="shared" ca="1" si="8"/>
        <v>17020.817148614366</v>
      </c>
      <c r="H61" s="725">
        <f t="shared" si="8"/>
        <v>21538.952881725625</v>
      </c>
      <c r="I61" s="725">
        <f t="shared" si="8"/>
        <v>6171.775070061798</v>
      </c>
      <c r="J61" s="725">
        <f t="shared" si="8"/>
        <v>0</v>
      </c>
      <c r="K61" s="725">
        <f t="shared" si="8"/>
        <v>442.00809090988247</v>
      </c>
      <c r="L61" s="725">
        <f t="shared" si="8"/>
        <v>0</v>
      </c>
      <c r="M61" s="725">
        <f t="shared" ca="1" si="8"/>
        <v>0</v>
      </c>
      <c r="N61" s="725">
        <f t="shared" si="8"/>
        <v>0</v>
      </c>
      <c r="O61" s="725">
        <f t="shared" ca="1" si="8"/>
        <v>0</v>
      </c>
      <c r="P61" s="725">
        <f t="shared" si="8"/>
        <v>0</v>
      </c>
      <c r="Q61" s="725">
        <f t="shared" si="8"/>
        <v>0</v>
      </c>
      <c r="R61" s="725">
        <f ca="1">R46+R52+R56</f>
        <v>75598.679422485249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0.15404430569119137</v>
      </c>
      <c r="D63" s="771">
        <f t="shared" ca="1" si="9"/>
        <v>0</v>
      </c>
      <c r="E63" s="963">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12433.41602624169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10788.3</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12692.117647058825</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23221.716026241687</v>
      </c>
      <c r="C78" s="743">
        <f>SUM(C72:C77)</f>
        <v>0</v>
      </c>
      <c r="D78" s="744">
        <f t="shared" ref="D78:H78" si="10">SUM(D76:D77)</f>
        <v>0</v>
      </c>
      <c r="E78" s="744">
        <f t="shared" si="10"/>
        <v>0</v>
      </c>
      <c r="F78" s="744">
        <f t="shared" si="10"/>
        <v>0</v>
      </c>
      <c r="G78" s="744">
        <f t="shared" si="10"/>
        <v>0</v>
      </c>
      <c r="H78" s="744">
        <f t="shared" si="10"/>
        <v>0</v>
      </c>
      <c r="I78" s="744">
        <f>SUM(I76:I77)</f>
        <v>0</v>
      </c>
      <c r="J78" s="744">
        <f>SUM(J76:J77)</f>
        <v>12692.117647058825</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15411.857142857143</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18131.596638655465</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15411.857142857143</v>
      </c>
      <c r="C90" s="743">
        <f>SUM(C87:C89)</f>
        <v>0</v>
      </c>
      <c r="D90" s="743">
        <f t="shared" ref="D90:H90" si="12">SUM(D87:D89)</f>
        <v>0</v>
      </c>
      <c r="E90" s="743">
        <f t="shared" si="12"/>
        <v>0</v>
      </c>
      <c r="F90" s="743">
        <f t="shared" si="12"/>
        <v>0</v>
      </c>
      <c r="G90" s="743">
        <f t="shared" si="12"/>
        <v>0</v>
      </c>
      <c r="H90" s="743">
        <f t="shared" si="12"/>
        <v>0</v>
      </c>
      <c r="I90" s="743">
        <f>SUM(I87:I89)</f>
        <v>0</v>
      </c>
      <c r="J90" s="743">
        <f>SUM(J87:J89)</f>
        <v>18131.596638655465</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29293.755082614574</v>
      </c>
      <c r="C4" s="447">
        <f>huishoudens!C8</f>
        <v>0</v>
      </c>
      <c r="D4" s="447">
        <f>huishoudens!D8</f>
        <v>44099.000869035001</v>
      </c>
      <c r="E4" s="447">
        <f>huishoudens!E8</f>
        <v>2033.8356562019387</v>
      </c>
      <c r="F4" s="447">
        <f>huishoudens!F8</f>
        <v>44554.434915669532</v>
      </c>
      <c r="G4" s="447">
        <f>huishoudens!G8</f>
        <v>0</v>
      </c>
      <c r="H4" s="447">
        <f>huishoudens!H8</f>
        <v>0</v>
      </c>
      <c r="I4" s="447">
        <f>huishoudens!I8</f>
        <v>0</v>
      </c>
      <c r="J4" s="447">
        <f>huishoudens!J8</f>
        <v>253.92059767039399</v>
      </c>
      <c r="K4" s="447">
        <f>huishoudens!K8</f>
        <v>0</v>
      </c>
      <c r="L4" s="447">
        <f>huishoudens!L8</f>
        <v>0</v>
      </c>
      <c r="M4" s="447">
        <f>huishoudens!M8</f>
        <v>0</v>
      </c>
      <c r="N4" s="447">
        <f>huishoudens!N8</f>
        <v>9240.1229444508936</v>
      </c>
      <c r="O4" s="447">
        <f>huishoudens!O8</f>
        <v>714.2249589793314</v>
      </c>
      <c r="P4" s="448">
        <f>huishoudens!P8</f>
        <v>1717.0353671526589</v>
      </c>
      <c r="Q4" s="449">
        <f>SUM(B4:P4)</f>
        <v>131906.3303917743</v>
      </c>
    </row>
    <row r="5" spans="1:17">
      <c r="A5" s="446" t="s">
        <v>149</v>
      </c>
      <c r="B5" s="447">
        <f ca="1">tertiair!B16</f>
        <v>24412.691393999998</v>
      </c>
      <c r="C5" s="447">
        <f ca="1">tertiair!C16</f>
        <v>0</v>
      </c>
      <c r="D5" s="447">
        <f ca="1">tertiair!D16</f>
        <v>40897.386316437005</v>
      </c>
      <c r="E5" s="447">
        <f>tertiair!E16</f>
        <v>104.97881474253748</v>
      </c>
      <c r="F5" s="447">
        <f ca="1">tertiair!F16</f>
        <v>5459.1473883180442</v>
      </c>
      <c r="G5" s="447">
        <f>tertiair!G16</f>
        <v>0</v>
      </c>
      <c r="H5" s="447">
        <f>tertiair!H16</f>
        <v>0</v>
      </c>
      <c r="I5" s="447">
        <f>tertiair!I16</f>
        <v>0</v>
      </c>
      <c r="J5" s="447">
        <f>tertiair!J16</f>
        <v>4.0117213474594501E-2</v>
      </c>
      <c r="K5" s="447">
        <f>tertiair!K16</f>
        <v>0</v>
      </c>
      <c r="L5" s="447">
        <f ca="1">tertiair!L16</f>
        <v>0</v>
      </c>
      <c r="M5" s="447">
        <f>tertiair!M16</f>
        <v>0</v>
      </c>
      <c r="N5" s="447">
        <f ca="1">tertiair!N16</f>
        <v>1543.3490910981855</v>
      </c>
      <c r="O5" s="447">
        <f>tertiair!O16</f>
        <v>14.691782297523464</v>
      </c>
      <c r="P5" s="448">
        <f>tertiair!P16</f>
        <v>262.69569153247511</v>
      </c>
      <c r="Q5" s="446">
        <f t="shared" ref="Q5:Q14" ca="1" si="0">SUM(B5:P5)</f>
        <v>72694.980595639237</v>
      </c>
    </row>
    <row r="6" spans="1:17">
      <c r="A6" s="446" t="s">
        <v>187</v>
      </c>
      <c r="B6" s="447">
        <f>'openbare verlichting'!B8</f>
        <v>1099.557636</v>
      </c>
      <c r="C6" s="447"/>
      <c r="D6" s="447"/>
      <c r="E6" s="447"/>
      <c r="F6" s="447"/>
      <c r="G6" s="447"/>
      <c r="H6" s="447"/>
      <c r="I6" s="447"/>
      <c r="J6" s="447"/>
      <c r="K6" s="447"/>
      <c r="L6" s="447"/>
      <c r="M6" s="447"/>
      <c r="N6" s="447"/>
      <c r="O6" s="447"/>
      <c r="P6" s="448"/>
      <c r="Q6" s="446">
        <f t="shared" si="0"/>
        <v>1099.557636</v>
      </c>
    </row>
    <row r="7" spans="1:17">
      <c r="A7" s="446" t="s">
        <v>105</v>
      </c>
      <c r="B7" s="447">
        <f>landbouw!B8</f>
        <v>3899.2562319999997</v>
      </c>
      <c r="C7" s="447">
        <f>landbouw!C8</f>
        <v>124.71428571428569</v>
      </c>
      <c r="D7" s="447">
        <f>landbouw!D8</f>
        <v>386.63898008400002</v>
      </c>
      <c r="E7" s="447">
        <f>landbouw!E8</f>
        <v>111.68129723412005</v>
      </c>
      <c r="F7" s="447">
        <f>landbouw!F8</f>
        <v>12343.031019734299</v>
      </c>
      <c r="G7" s="447">
        <f>landbouw!G8</f>
        <v>0</v>
      </c>
      <c r="H7" s="447">
        <f>landbouw!H8</f>
        <v>0</v>
      </c>
      <c r="I7" s="447">
        <f>landbouw!I8</f>
        <v>0</v>
      </c>
      <c r="J7" s="447">
        <f>landbouw!J8</f>
        <v>991.45841382490642</v>
      </c>
      <c r="K7" s="447">
        <f>landbouw!K8</f>
        <v>0</v>
      </c>
      <c r="L7" s="447">
        <f>landbouw!L8</f>
        <v>0</v>
      </c>
      <c r="M7" s="447">
        <f>landbouw!M8</f>
        <v>0</v>
      </c>
      <c r="N7" s="447">
        <f>landbouw!N8</f>
        <v>0</v>
      </c>
      <c r="O7" s="447">
        <f>landbouw!O8</f>
        <v>0</v>
      </c>
      <c r="P7" s="448">
        <f>landbouw!P8</f>
        <v>0</v>
      </c>
      <c r="Q7" s="446">
        <f t="shared" si="0"/>
        <v>17856.780228591611</v>
      </c>
    </row>
    <row r="8" spans="1:17">
      <c r="A8" s="446" t="s">
        <v>611</v>
      </c>
      <c r="B8" s="447">
        <f>industrie!B18</f>
        <v>16570.550788</v>
      </c>
      <c r="C8" s="447">
        <f>industrie!C18</f>
        <v>15287.142857142857</v>
      </c>
      <c r="D8" s="447">
        <f>industrie!D18</f>
        <v>2073.7510692360001</v>
      </c>
      <c r="E8" s="447">
        <f>industrie!E18</f>
        <v>22.240095549830841</v>
      </c>
      <c r="F8" s="447">
        <f>industrie!F18</f>
        <v>1391.7655100397988</v>
      </c>
      <c r="G8" s="447">
        <f>industrie!G18</f>
        <v>0</v>
      </c>
      <c r="H8" s="447">
        <f>industrie!H18</f>
        <v>0</v>
      </c>
      <c r="I8" s="447">
        <f>industrie!I18</f>
        <v>0</v>
      </c>
      <c r="J8" s="447">
        <f>industrie!J18</f>
        <v>3.1912975903280598</v>
      </c>
      <c r="K8" s="447">
        <f>industrie!K18</f>
        <v>0</v>
      </c>
      <c r="L8" s="447">
        <f>industrie!L18</f>
        <v>0</v>
      </c>
      <c r="M8" s="447">
        <f>industrie!M18</f>
        <v>0</v>
      </c>
      <c r="N8" s="447">
        <f>industrie!N18</f>
        <v>0</v>
      </c>
      <c r="O8" s="447">
        <f>industrie!O18</f>
        <v>0</v>
      </c>
      <c r="P8" s="448">
        <f>industrie!P18</f>
        <v>0</v>
      </c>
      <c r="Q8" s="446">
        <f t="shared" si="0"/>
        <v>35348.641617558809</v>
      </c>
    </row>
    <row r="9" spans="1:17" s="452" customFormat="1">
      <c r="A9" s="450" t="s">
        <v>537</v>
      </c>
      <c r="B9" s="451">
        <f>transport!B14</f>
        <v>268.20826224337935</v>
      </c>
      <c r="C9" s="451">
        <f>transport!C14</f>
        <v>0</v>
      </c>
      <c r="D9" s="451">
        <f>transport!D14</f>
        <v>507.52606202625094</v>
      </c>
      <c r="E9" s="451">
        <f>transport!E14</f>
        <v>197.39013317228537</v>
      </c>
      <c r="F9" s="451">
        <f>transport!F14</f>
        <v>0</v>
      </c>
      <c r="G9" s="451">
        <f>transport!G14</f>
        <v>78291.885420169216</v>
      </c>
      <c r="H9" s="451">
        <f>transport!H14</f>
        <v>24786.245261292363</v>
      </c>
      <c r="I9" s="451">
        <f>transport!I14</f>
        <v>0</v>
      </c>
      <c r="J9" s="451">
        <f>transport!J14</f>
        <v>0</v>
      </c>
      <c r="K9" s="451">
        <f>transport!K14</f>
        <v>0</v>
      </c>
      <c r="L9" s="451">
        <f>transport!L14</f>
        <v>0</v>
      </c>
      <c r="M9" s="451">
        <f>transport!M14</f>
        <v>6252.5210846335776</v>
      </c>
      <c r="N9" s="451">
        <f>transport!N14</f>
        <v>0</v>
      </c>
      <c r="O9" s="451">
        <f>transport!O14</f>
        <v>0</v>
      </c>
      <c r="P9" s="451">
        <f>transport!P14</f>
        <v>0</v>
      </c>
      <c r="Q9" s="450">
        <f>SUM(B9:P9)</f>
        <v>110303.77622353708</v>
      </c>
    </row>
    <row r="10" spans="1:17">
      <c r="A10" s="446" t="s">
        <v>527</v>
      </c>
      <c r="B10" s="447">
        <f>transport!B54</f>
        <v>37.990978229082813</v>
      </c>
      <c r="C10" s="447">
        <f>transport!C54</f>
        <v>0</v>
      </c>
      <c r="D10" s="447">
        <f>transport!D54</f>
        <v>0</v>
      </c>
      <c r="E10" s="447">
        <f>transport!E54</f>
        <v>0</v>
      </c>
      <c r="F10" s="447">
        <f>transport!F54</f>
        <v>0</v>
      </c>
      <c r="G10" s="447">
        <f>transport!G54</f>
        <v>2378.3500919117773</v>
      </c>
      <c r="H10" s="447">
        <f>transport!H54</f>
        <v>0</v>
      </c>
      <c r="I10" s="447">
        <f>transport!I54</f>
        <v>0</v>
      </c>
      <c r="J10" s="447">
        <f>transport!J54</f>
        <v>0</v>
      </c>
      <c r="K10" s="447">
        <f>transport!K54</f>
        <v>0</v>
      </c>
      <c r="L10" s="447">
        <f>transport!L54</f>
        <v>0</v>
      </c>
      <c r="M10" s="447">
        <f>transport!M54</f>
        <v>136.55959605668764</v>
      </c>
      <c r="N10" s="447">
        <f>transport!N54</f>
        <v>0</v>
      </c>
      <c r="O10" s="447">
        <f>transport!O54</f>
        <v>0</v>
      </c>
      <c r="P10" s="448">
        <f>transport!P54</f>
        <v>0</v>
      </c>
      <c r="Q10" s="446">
        <f t="shared" si="0"/>
        <v>2552.9006661975477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1065.6787409999999</v>
      </c>
      <c r="C14" s="454"/>
      <c r="D14" s="454">
        <f>'SEAP template'!E25</f>
        <v>1428.110453</v>
      </c>
      <c r="E14" s="454"/>
      <c r="F14" s="454"/>
      <c r="G14" s="454"/>
      <c r="H14" s="454"/>
      <c r="I14" s="454"/>
      <c r="J14" s="454"/>
      <c r="K14" s="454"/>
      <c r="L14" s="454"/>
      <c r="M14" s="454"/>
      <c r="N14" s="454"/>
      <c r="O14" s="454"/>
      <c r="P14" s="455"/>
      <c r="Q14" s="446">
        <f t="shared" si="0"/>
        <v>2493.789194</v>
      </c>
    </row>
    <row r="15" spans="1:17" s="458" customFormat="1">
      <c r="A15" s="456" t="s">
        <v>531</v>
      </c>
      <c r="B15" s="457">
        <f ca="1">SUM(B4:B14)</f>
        <v>76647.689114087014</v>
      </c>
      <c r="C15" s="457">
        <f t="shared" ref="C15:Q15" ca="1" si="1">SUM(C4:C14)</f>
        <v>15411.857142857143</v>
      </c>
      <c r="D15" s="457">
        <f t="shared" ca="1" si="1"/>
        <v>89392.413749818254</v>
      </c>
      <c r="E15" s="457">
        <f t="shared" si="1"/>
        <v>2470.1259969007128</v>
      </c>
      <c r="F15" s="457">
        <f t="shared" ca="1" si="1"/>
        <v>63748.378833761672</v>
      </c>
      <c r="G15" s="457">
        <f t="shared" si="1"/>
        <v>80670.235512080995</v>
      </c>
      <c r="H15" s="457">
        <f t="shared" si="1"/>
        <v>24786.245261292363</v>
      </c>
      <c r="I15" s="457">
        <f t="shared" si="1"/>
        <v>0</v>
      </c>
      <c r="J15" s="457">
        <f t="shared" si="1"/>
        <v>1248.610426299103</v>
      </c>
      <c r="K15" s="457">
        <f t="shared" si="1"/>
        <v>0</v>
      </c>
      <c r="L15" s="457">
        <f t="shared" ca="1" si="1"/>
        <v>0</v>
      </c>
      <c r="M15" s="457">
        <f t="shared" si="1"/>
        <v>6389.0806806902656</v>
      </c>
      <c r="N15" s="457">
        <f t="shared" ca="1" si="1"/>
        <v>10783.472035549079</v>
      </c>
      <c r="O15" s="457">
        <f t="shared" si="1"/>
        <v>728.91674127685485</v>
      </c>
      <c r="P15" s="457">
        <f t="shared" si="1"/>
        <v>1979.731058685134</v>
      </c>
      <c r="Q15" s="457">
        <f t="shared" ca="1" si="1"/>
        <v>374256.75655329862</v>
      </c>
    </row>
    <row r="17" spans="1:17">
      <c r="A17" s="459" t="s">
        <v>532</v>
      </c>
      <c r="B17" s="776">
        <f ca="1">huishoudens!B10</f>
        <v>0.15404430569119135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4512.5361627891698</v>
      </c>
      <c r="C22" s="447">
        <f t="shared" ref="C22:C32" ca="1" si="3">C4*$C$17</f>
        <v>0</v>
      </c>
      <c r="D22" s="447">
        <f t="shared" ref="D22:D32" si="4">D4*$D$17</f>
        <v>8907.9981755450699</v>
      </c>
      <c r="E22" s="447">
        <f t="shared" ref="E22:E32" si="5">E4*$E$17</f>
        <v>461.68069395784011</v>
      </c>
      <c r="F22" s="447">
        <f t="shared" ref="F22:F32" si="6">F4*$F$17</f>
        <v>11896.034122483765</v>
      </c>
      <c r="G22" s="447">
        <f t="shared" ref="G22:G32" si="7">G4*$G$17</f>
        <v>0</v>
      </c>
      <c r="H22" s="447">
        <f t="shared" ref="H22:H32" si="8">H4*$H$17</f>
        <v>0</v>
      </c>
      <c r="I22" s="447">
        <f t="shared" ref="I22:I32" si="9">I4*$I$17</f>
        <v>0</v>
      </c>
      <c r="J22" s="447">
        <f t="shared" ref="J22:J32" si="10">J4*$J$17</f>
        <v>89.887891575319472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25868.137046351167</v>
      </c>
    </row>
    <row r="23" spans="1:17">
      <c r="A23" s="446" t="s">
        <v>149</v>
      </c>
      <c r="B23" s="447">
        <f t="shared" ca="1" si="2"/>
        <v>3760.6360958420519</v>
      </c>
      <c r="C23" s="447">
        <f t="shared" ca="1" si="3"/>
        <v>0</v>
      </c>
      <c r="D23" s="447">
        <f t="shared" ca="1" si="4"/>
        <v>8261.2720359202758</v>
      </c>
      <c r="E23" s="447">
        <f t="shared" si="5"/>
        <v>23.830190946556009</v>
      </c>
      <c r="F23" s="447">
        <f t="shared" ca="1" si="6"/>
        <v>1457.5923526809179</v>
      </c>
      <c r="G23" s="447">
        <f t="shared" si="7"/>
        <v>0</v>
      </c>
      <c r="H23" s="447">
        <f t="shared" si="8"/>
        <v>0</v>
      </c>
      <c r="I23" s="447">
        <f t="shared" si="9"/>
        <v>0</v>
      </c>
      <c r="J23" s="447">
        <f t="shared" si="10"/>
        <v>1.4201493570006453E-2</v>
      </c>
      <c r="K23" s="447">
        <f t="shared" si="11"/>
        <v>0</v>
      </c>
      <c r="L23" s="447">
        <f t="shared" ca="1" si="12"/>
        <v>0</v>
      </c>
      <c r="M23" s="447">
        <f t="shared" si="13"/>
        <v>0</v>
      </c>
      <c r="N23" s="447">
        <f t="shared" ca="1" si="14"/>
        <v>0</v>
      </c>
      <c r="O23" s="447">
        <f t="shared" si="15"/>
        <v>0</v>
      </c>
      <c r="P23" s="448">
        <f t="shared" si="16"/>
        <v>0</v>
      </c>
      <c r="Q23" s="446">
        <f t="shared" ref="Q23:Q31" ca="1" si="17">SUM(B23:P23)</f>
        <v>13503.344876883371</v>
      </c>
    </row>
    <row r="24" spans="1:17">
      <c r="A24" s="446" t="s">
        <v>187</v>
      </c>
      <c r="B24" s="447">
        <f t="shared" ca="1" si="2"/>
        <v>169.3805926050677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169.3805926050677</v>
      </c>
    </row>
    <row r="25" spans="1:17">
      <c r="A25" s="446" t="s">
        <v>105</v>
      </c>
      <c r="B25" s="447">
        <f t="shared" ca="1" si="2"/>
        <v>600.65821897049091</v>
      </c>
      <c r="C25" s="447">
        <f t="shared" ca="1" si="3"/>
        <v>0</v>
      </c>
      <c r="D25" s="447">
        <f t="shared" si="4"/>
        <v>78.10107397696801</v>
      </c>
      <c r="E25" s="447">
        <f t="shared" si="5"/>
        <v>25.351654472145253</v>
      </c>
      <c r="F25" s="447">
        <f t="shared" si="6"/>
        <v>3295.589282269058</v>
      </c>
      <c r="G25" s="447">
        <f t="shared" si="7"/>
        <v>0</v>
      </c>
      <c r="H25" s="447">
        <f t="shared" si="8"/>
        <v>0</v>
      </c>
      <c r="I25" s="447">
        <f t="shared" si="9"/>
        <v>0</v>
      </c>
      <c r="J25" s="447">
        <f t="shared" si="10"/>
        <v>350.97627849401687</v>
      </c>
      <c r="K25" s="447">
        <f t="shared" si="11"/>
        <v>0</v>
      </c>
      <c r="L25" s="447">
        <f t="shared" si="12"/>
        <v>0</v>
      </c>
      <c r="M25" s="447">
        <f t="shared" si="13"/>
        <v>0</v>
      </c>
      <c r="N25" s="447">
        <f t="shared" si="14"/>
        <v>0</v>
      </c>
      <c r="O25" s="447">
        <f t="shared" si="15"/>
        <v>0</v>
      </c>
      <c r="P25" s="448">
        <f t="shared" si="16"/>
        <v>0</v>
      </c>
      <c r="Q25" s="446">
        <f t="shared" ca="1" si="17"/>
        <v>4350.6765081826788</v>
      </c>
    </row>
    <row r="26" spans="1:17">
      <c r="A26" s="446" t="s">
        <v>611</v>
      </c>
      <c r="B26" s="447">
        <f t="shared" ca="1" si="2"/>
        <v>2552.5989910580838</v>
      </c>
      <c r="C26" s="447">
        <f t="shared" ca="1" si="3"/>
        <v>0</v>
      </c>
      <c r="D26" s="447">
        <f t="shared" si="4"/>
        <v>418.89771598567205</v>
      </c>
      <c r="E26" s="447">
        <f t="shared" si="5"/>
        <v>5.0485016898116006</v>
      </c>
      <c r="F26" s="447">
        <f t="shared" si="6"/>
        <v>371.60139118062631</v>
      </c>
      <c r="G26" s="447">
        <f t="shared" si="7"/>
        <v>0</v>
      </c>
      <c r="H26" s="447">
        <f t="shared" si="8"/>
        <v>0</v>
      </c>
      <c r="I26" s="447">
        <f t="shared" si="9"/>
        <v>0</v>
      </c>
      <c r="J26" s="447">
        <f t="shared" si="10"/>
        <v>1.1297193469761331</v>
      </c>
      <c r="K26" s="447">
        <f t="shared" si="11"/>
        <v>0</v>
      </c>
      <c r="L26" s="447">
        <f t="shared" si="12"/>
        <v>0</v>
      </c>
      <c r="M26" s="447">
        <f t="shared" si="13"/>
        <v>0</v>
      </c>
      <c r="N26" s="447">
        <f t="shared" si="14"/>
        <v>0</v>
      </c>
      <c r="O26" s="447">
        <f t="shared" si="15"/>
        <v>0</v>
      </c>
      <c r="P26" s="448">
        <f t="shared" si="16"/>
        <v>0</v>
      </c>
      <c r="Q26" s="446">
        <f t="shared" ca="1" si="17"/>
        <v>3349.2763192611701</v>
      </c>
    </row>
    <row r="27" spans="1:17" s="452" customFormat="1">
      <c r="A27" s="450" t="s">
        <v>537</v>
      </c>
      <c r="B27" s="770">
        <f t="shared" ca="1" si="2"/>
        <v>41.315955537922342</v>
      </c>
      <c r="C27" s="451">
        <f t="shared" ca="1" si="3"/>
        <v>0</v>
      </c>
      <c r="D27" s="451">
        <f t="shared" si="4"/>
        <v>102.52026452930269</v>
      </c>
      <c r="E27" s="451">
        <f t="shared" si="5"/>
        <v>44.807560230108784</v>
      </c>
      <c r="F27" s="451">
        <f t="shared" si="6"/>
        <v>0</v>
      </c>
      <c r="G27" s="451">
        <f t="shared" si="7"/>
        <v>20903.933407185181</v>
      </c>
      <c r="H27" s="451">
        <f t="shared" si="8"/>
        <v>6171.775070061798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27264.352257544313</v>
      </c>
    </row>
    <row r="28" spans="1:17" ht="16.5" customHeight="1">
      <c r="A28" s="446" t="s">
        <v>527</v>
      </c>
      <c r="B28" s="447">
        <f t="shared" ca="1" si="2"/>
        <v>5.852293863828228</v>
      </c>
      <c r="C28" s="447">
        <f t="shared" ca="1" si="3"/>
        <v>0</v>
      </c>
      <c r="D28" s="447">
        <f t="shared" si="4"/>
        <v>0</v>
      </c>
      <c r="E28" s="447">
        <f t="shared" si="5"/>
        <v>0</v>
      </c>
      <c r="F28" s="447">
        <f t="shared" si="6"/>
        <v>0</v>
      </c>
      <c r="G28" s="447">
        <f t="shared" si="7"/>
        <v>635.01947454044455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640.87176840427276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164.16174174720791</v>
      </c>
      <c r="C32" s="447">
        <f t="shared" ca="1" si="3"/>
        <v>0</v>
      </c>
      <c r="D32" s="447">
        <f t="shared" si="4"/>
        <v>288.47831150600001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452.64005325320795</v>
      </c>
    </row>
    <row r="33" spans="1:17" s="458" customFormat="1">
      <c r="A33" s="456" t="s">
        <v>531</v>
      </c>
      <c r="B33" s="457">
        <f ca="1">SUM(B22:B32)</f>
        <v>11807.140052413823</v>
      </c>
      <c r="C33" s="457">
        <f t="shared" ref="C33:Q33" ca="1" si="19">SUM(C22:C32)</f>
        <v>0</v>
      </c>
      <c r="D33" s="457">
        <f t="shared" ca="1" si="19"/>
        <v>18057.267577463288</v>
      </c>
      <c r="E33" s="457">
        <f t="shared" si="19"/>
        <v>560.71860129646177</v>
      </c>
      <c r="F33" s="457">
        <f t="shared" ca="1" si="19"/>
        <v>17020.817148614366</v>
      </c>
      <c r="G33" s="457">
        <f t="shared" si="19"/>
        <v>21538.952881725625</v>
      </c>
      <c r="H33" s="457">
        <f t="shared" si="19"/>
        <v>6171.775070061798</v>
      </c>
      <c r="I33" s="457">
        <f t="shared" si="19"/>
        <v>0</v>
      </c>
      <c r="J33" s="457">
        <f t="shared" si="19"/>
        <v>442.00809090988247</v>
      </c>
      <c r="K33" s="457">
        <f t="shared" si="19"/>
        <v>0</v>
      </c>
      <c r="L33" s="457">
        <f t="shared" ca="1" si="19"/>
        <v>0</v>
      </c>
      <c r="M33" s="457">
        <f t="shared" si="19"/>
        <v>0</v>
      </c>
      <c r="N33" s="457">
        <f t="shared" ca="1" si="19"/>
        <v>0</v>
      </c>
      <c r="O33" s="457">
        <f t="shared" si="19"/>
        <v>0</v>
      </c>
      <c r="P33" s="457">
        <f t="shared" si="19"/>
        <v>0</v>
      </c>
      <c r="Q33" s="457">
        <f t="shared" ca="1" si="19"/>
        <v>75598.679422485264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12433.41602624169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10788.3</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12692.117647058825</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23221.716026241687</v>
      </c>
      <c r="C10" s="1016">
        <f>SUM(C4:C9)</f>
        <v>0</v>
      </c>
      <c r="D10" s="1016">
        <f t="shared" ref="D10:H10" si="0">SUM(D8:D9)</f>
        <v>0</v>
      </c>
      <c r="E10" s="1016">
        <f t="shared" si="0"/>
        <v>0</v>
      </c>
      <c r="F10" s="1016">
        <f t="shared" si="0"/>
        <v>0</v>
      </c>
      <c r="G10" s="1016">
        <f t="shared" si="0"/>
        <v>0</v>
      </c>
      <c r="H10" s="1016">
        <f t="shared" si="0"/>
        <v>0</v>
      </c>
      <c r="I10" s="1016">
        <f>SUM(I8:I9)</f>
        <v>0</v>
      </c>
      <c r="J10" s="1016">
        <f>SUM(J8:J9)</f>
        <v>12692.117647058825</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0.15404430569119135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15411.857142857143</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18131.596638655465</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15411.857142857143</v>
      </c>
      <c r="C20" s="1016">
        <f>SUM(C17:C19)</f>
        <v>0</v>
      </c>
      <c r="D20" s="1016">
        <f t="shared" ref="D20:H20" si="2">SUM(D17:D19)</f>
        <v>0</v>
      </c>
      <c r="E20" s="1016">
        <f t="shared" si="2"/>
        <v>0</v>
      </c>
      <c r="F20" s="1016">
        <f t="shared" si="2"/>
        <v>0</v>
      </c>
      <c r="G20" s="1016">
        <f t="shared" si="2"/>
        <v>0</v>
      </c>
      <c r="H20" s="1016">
        <f t="shared" si="2"/>
        <v>0</v>
      </c>
      <c r="I20" s="1016">
        <f>SUM(I17:I19)</f>
        <v>0</v>
      </c>
      <c r="J20" s="1016">
        <f>SUM(J17:J19)</f>
        <v>18131.596638655465</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0.15404430569119135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0.15404430569119135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0.15404430569119135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6750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5213.5600000000004</v>
      </c>
      <c r="C14" s="326"/>
      <c r="D14" s="326"/>
      <c r="E14" s="326"/>
      <c r="F14" s="326"/>
    </row>
    <row r="15" spans="1:6">
      <c r="A15" s="1310" t="s">
        <v>177</v>
      </c>
      <c r="B15" s="1311">
        <v>1623</v>
      </c>
      <c r="C15" s="326"/>
      <c r="D15" s="326"/>
      <c r="E15" s="326"/>
      <c r="F15" s="326"/>
    </row>
    <row r="16" spans="1:6">
      <c r="A16" s="1310" t="s">
        <v>6</v>
      </c>
      <c r="B16" s="1311">
        <v>4316</v>
      </c>
      <c r="C16" s="326"/>
      <c r="D16" s="326"/>
      <c r="E16" s="326"/>
      <c r="F16" s="326"/>
    </row>
    <row r="17" spans="1:6">
      <c r="A17" s="1310" t="s">
        <v>7</v>
      </c>
      <c r="B17" s="1311">
        <v>475</v>
      </c>
      <c r="C17" s="326"/>
      <c r="D17" s="326"/>
      <c r="E17" s="326"/>
      <c r="F17" s="326"/>
    </row>
    <row r="18" spans="1:6">
      <c r="A18" s="1310" t="s">
        <v>8</v>
      </c>
      <c r="B18" s="1311">
        <v>2186</v>
      </c>
      <c r="C18" s="326"/>
      <c r="D18" s="326"/>
      <c r="E18" s="326"/>
      <c r="F18" s="326"/>
    </row>
    <row r="19" spans="1:6">
      <c r="A19" s="1310" t="s">
        <v>9</v>
      </c>
      <c r="B19" s="1311">
        <v>1989</v>
      </c>
      <c r="C19" s="326"/>
      <c r="D19" s="326"/>
      <c r="E19" s="326"/>
      <c r="F19" s="326"/>
    </row>
    <row r="20" spans="1:6">
      <c r="A20" s="1310" t="s">
        <v>10</v>
      </c>
      <c r="B20" s="1311">
        <v>1238</v>
      </c>
      <c r="C20" s="326"/>
      <c r="D20" s="326"/>
      <c r="E20" s="326"/>
      <c r="F20" s="326"/>
    </row>
    <row r="21" spans="1:6">
      <c r="A21" s="1310" t="s">
        <v>11</v>
      </c>
      <c r="B21" s="1311">
        <v>7642</v>
      </c>
      <c r="C21" s="326"/>
      <c r="D21" s="326"/>
      <c r="E21" s="326"/>
      <c r="F21" s="326"/>
    </row>
    <row r="22" spans="1:6">
      <c r="A22" s="1310" t="s">
        <v>12</v>
      </c>
      <c r="B22" s="1311">
        <v>19396</v>
      </c>
      <c r="C22" s="326"/>
      <c r="D22" s="326"/>
      <c r="E22" s="326"/>
      <c r="F22" s="326"/>
    </row>
    <row r="23" spans="1:6">
      <c r="A23" s="1310" t="s">
        <v>13</v>
      </c>
      <c r="B23" s="1311">
        <v>715</v>
      </c>
      <c r="C23" s="326"/>
      <c r="D23" s="326"/>
      <c r="E23" s="326"/>
      <c r="F23" s="326"/>
    </row>
    <row r="24" spans="1:6">
      <c r="A24" s="1310" t="s">
        <v>14</v>
      </c>
      <c r="B24" s="1311">
        <v>24</v>
      </c>
      <c r="C24" s="326"/>
      <c r="D24" s="326"/>
      <c r="E24" s="326"/>
      <c r="F24" s="326"/>
    </row>
    <row r="25" spans="1:6">
      <c r="A25" s="1310" t="s">
        <v>15</v>
      </c>
      <c r="B25" s="1311">
        <v>3668</v>
      </c>
      <c r="C25" s="326"/>
      <c r="D25" s="326"/>
      <c r="E25" s="326"/>
      <c r="F25" s="326"/>
    </row>
    <row r="26" spans="1:6">
      <c r="A26" s="1310" t="s">
        <v>16</v>
      </c>
      <c r="B26" s="1311">
        <v>477</v>
      </c>
      <c r="C26" s="326"/>
      <c r="D26" s="326"/>
      <c r="E26" s="326"/>
      <c r="F26" s="326"/>
    </row>
    <row r="27" spans="1:6">
      <c r="A27" s="1310" t="s">
        <v>17</v>
      </c>
      <c r="B27" s="1311">
        <v>1233</v>
      </c>
      <c r="C27" s="326"/>
      <c r="D27" s="326"/>
      <c r="E27" s="326"/>
      <c r="F27" s="326"/>
    </row>
    <row r="28" spans="1:6">
      <c r="A28" s="1310" t="s">
        <v>18</v>
      </c>
      <c r="B28" s="1312">
        <v>402313</v>
      </c>
      <c r="C28" s="326"/>
      <c r="D28" s="326"/>
      <c r="E28" s="326"/>
      <c r="F28" s="326"/>
    </row>
    <row r="29" spans="1:6">
      <c r="A29" s="1310" t="s">
        <v>678</v>
      </c>
      <c r="B29" s="1312">
        <v>570</v>
      </c>
      <c r="C29" s="326"/>
      <c r="D29" s="326"/>
      <c r="E29" s="326"/>
      <c r="F29" s="326"/>
    </row>
    <row r="30" spans="1:6">
      <c r="A30" s="1305" t="s">
        <v>679</v>
      </c>
      <c r="B30" s="1313">
        <v>171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18</v>
      </c>
      <c r="F36" s="1311">
        <v>26375.655999999999</v>
      </c>
    </row>
    <row r="37" spans="1:6">
      <c r="A37" s="1310" t="s">
        <v>24</v>
      </c>
      <c r="B37" s="1310" t="s">
        <v>27</v>
      </c>
      <c r="C37" s="1311">
        <v>0</v>
      </c>
      <c r="D37" s="1311">
        <v>0</v>
      </c>
      <c r="E37" s="1311">
        <v>0</v>
      </c>
      <c r="F37" s="1311">
        <v>0</v>
      </c>
    </row>
    <row r="38" spans="1:6">
      <c r="A38" s="1310" t="s">
        <v>24</v>
      </c>
      <c r="B38" s="1310" t="s">
        <v>28</v>
      </c>
      <c r="C38" s="1311">
        <v>2</v>
      </c>
      <c r="D38" s="1311">
        <v>297647.86900000001</v>
      </c>
      <c r="E38" s="1311">
        <v>2</v>
      </c>
      <c r="F38" s="1311">
        <v>19198.496999999999</v>
      </c>
    </row>
    <row r="39" spans="1:6">
      <c r="A39" s="1310" t="s">
        <v>29</v>
      </c>
      <c r="B39" s="1310" t="s">
        <v>30</v>
      </c>
      <c r="C39" s="1311">
        <v>3561</v>
      </c>
      <c r="D39" s="1311">
        <v>48836102.844999999</v>
      </c>
      <c r="E39" s="1311">
        <v>6813</v>
      </c>
      <c r="F39" s="1311">
        <v>20127797.206999999</v>
      </c>
    </row>
    <row r="40" spans="1:6">
      <c r="A40" s="1310" t="s">
        <v>29</v>
      </c>
      <c r="B40" s="1310" t="s">
        <v>28</v>
      </c>
      <c r="C40" s="1311">
        <v>0</v>
      </c>
      <c r="D40" s="1311">
        <v>0</v>
      </c>
      <c r="E40" s="1311">
        <v>0</v>
      </c>
      <c r="F40" s="1311">
        <v>0</v>
      </c>
    </row>
    <row r="41" spans="1:6">
      <c r="A41" s="1310" t="s">
        <v>31</v>
      </c>
      <c r="B41" s="1310" t="s">
        <v>32</v>
      </c>
      <c r="C41" s="1311">
        <v>54</v>
      </c>
      <c r="D41" s="1311">
        <v>1566855.6359999999</v>
      </c>
      <c r="E41" s="1311">
        <v>143</v>
      </c>
      <c r="F41" s="1311">
        <v>2012832.3049999999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107428.395</v>
      </c>
      <c r="E44" s="1311">
        <v>24</v>
      </c>
      <c r="F44" s="1311">
        <v>340767.70899999997</v>
      </c>
    </row>
    <row r="45" spans="1:6">
      <c r="A45" s="1310" t="s">
        <v>31</v>
      </c>
      <c r="B45" s="1310" t="s">
        <v>36</v>
      </c>
      <c r="C45" s="1311">
        <v>0</v>
      </c>
      <c r="D45" s="1311">
        <v>0</v>
      </c>
      <c r="E45" s="1311">
        <v>3</v>
      </c>
      <c r="F45" s="1311">
        <v>41329.946000000004</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1770631.156</v>
      </c>
    </row>
    <row r="48" spans="1:6">
      <c r="A48" s="1310" t="s">
        <v>31</v>
      </c>
      <c r="B48" s="1310" t="s">
        <v>28</v>
      </c>
      <c r="C48" s="1311">
        <v>6</v>
      </c>
      <c r="D48" s="1311">
        <v>436104.74799999996</v>
      </c>
      <c r="E48" s="1311">
        <v>1</v>
      </c>
      <c r="F48" s="1311">
        <v>199441</v>
      </c>
    </row>
    <row r="49" spans="1:6">
      <c r="A49" s="1310" t="s">
        <v>31</v>
      </c>
      <c r="B49" s="1310" t="s">
        <v>39</v>
      </c>
      <c r="C49" s="1311">
        <v>0</v>
      </c>
      <c r="D49" s="1311">
        <v>0</v>
      </c>
      <c r="E49" s="1311">
        <v>4</v>
      </c>
      <c r="F49" s="1311">
        <v>1363896.1189999999</v>
      </c>
    </row>
    <row r="50" spans="1:6">
      <c r="A50" s="1310" t="s">
        <v>31</v>
      </c>
      <c r="B50" s="1310" t="s">
        <v>40</v>
      </c>
      <c r="C50" s="1311">
        <v>5</v>
      </c>
      <c r="D50" s="1311">
        <v>186124.033</v>
      </c>
      <c r="E50" s="1311">
        <v>9</v>
      </c>
      <c r="F50" s="1311">
        <v>140652.55300000001</v>
      </c>
    </row>
    <row r="51" spans="1:6">
      <c r="A51" s="1310" t="s">
        <v>41</v>
      </c>
      <c r="B51" s="1310" t="s">
        <v>42</v>
      </c>
      <c r="C51" s="1311">
        <v>6</v>
      </c>
      <c r="D51" s="1311">
        <v>428171.62800000003</v>
      </c>
      <c r="E51" s="1311">
        <v>174</v>
      </c>
      <c r="F51" s="1311">
        <v>3899256.2319999998</v>
      </c>
    </row>
    <row r="52" spans="1:6">
      <c r="A52" s="1310" t="s">
        <v>41</v>
      </c>
      <c r="B52" s="1310" t="s">
        <v>28</v>
      </c>
      <c r="C52" s="1311">
        <v>0</v>
      </c>
      <c r="D52" s="1311">
        <v>0</v>
      </c>
      <c r="E52" s="1311">
        <v>0</v>
      </c>
      <c r="F52" s="1311">
        <v>0</v>
      </c>
    </row>
    <row r="53" spans="1:6">
      <c r="A53" s="1310" t="s">
        <v>43</v>
      </c>
      <c r="B53" s="1310" t="s">
        <v>44</v>
      </c>
      <c r="C53" s="1311">
        <v>21</v>
      </c>
      <c r="D53" s="1311">
        <v>1428110.453</v>
      </c>
      <c r="E53" s="1311">
        <v>42</v>
      </c>
      <c r="F53" s="1311">
        <v>1065678.7409999999</v>
      </c>
    </row>
    <row r="54" spans="1:6">
      <c r="A54" s="1310" t="s">
        <v>45</v>
      </c>
      <c r="B54" s="1310" t="s">
        <v>46</v>
      </c>
      <c r="C54" s="1311">
        <v>0</v>
      </c>
      <c r="D54" s="1311">
        <v>0</v>
      </c>
      <c r="E54" s="1311">
        <v>3</v>
      </c>
      <c r="F54" s="1311">
        <v>1099557.6359999999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39</v>
      </c>
      <c r="D57" s="1311">
        <v>1292400.108</v>
      </c>
      <c r="E57" s="1311">
        <v>90</v>
      </c>
      <c r="F57" s="1311">
        <v>3966435.7110000001</v>
      </c>
    </row>
    <row r="58" spans="1:6">
      <c r="A58" s="1310" t="s">
        <v>48</v>
      </c>
      <c r="B58" s="1310" t="s">
        <v>50</v>
      </c>
      <c r="C58" s="1311">
        <v>38</v>
      </c>
      <c r="D58" s="1311">
        <v>5185255.3190000001</v>
      </c>
      <c r="E58" s="1311">
        <v>49</v>
      </c>
      <c r="F58" s="1311">
        <v>2169919.4500000002</v>
      </c>
    </row>
    <row r="59" spans="1:6">
      <c r="A59" s="1310" t="s">
        <v>48</v>
      </c>
      <c r="B59" s="1310" t="s">
        <v>51</v>
      </c>
      <c r="C59" s="1311">
        <v>78</v>
      </c>
      <c r="D59" s="1311">
        <v>4212140.0310000004</v>
      </c>
      <c r="E59" s="1311">
        <v>195</v>
      </c>
      <c r="F59" s="1311">
        <v>6574333.3679999998</v>
      </c>
    </row>
    <row r="60" spans="1:6">
      <c r="A60" s="1310" t="s">
        <v>48</v>
      </c>
      <c r="B60" s="1310" t="s">
        <v>52</v>
      </c>
      <c r="C60" s="1311">
        <v>54</v>
      </c>
      <c r="D60" s="1311">
        <v>29294242.612</v>
      </c>
      <c r="E60" s="1311">
        <v>82</v>
      </c>
      <c r="F60" s="1311">
        <v>7356240.3720000004</v>
      </c>
    </row>
    <row r="61" spans="1:6">
      <c r="A61" s="1310" t="s">
        <v>48</v>
      </c>
      <c r="B61" s="1310" t="s">
        <v>53</v>
      </c>
      <c r="C61" s="1311">
        <v>113</v>
      </c>
      <c r="D61" s="1311">
        <v>3784535.7110000001</v>
      </c>
      <c r="E61" s="1311">
        <v>252</v>
      </c>
      <c r="F61" s="1311">
        <v>4210556.523</v>
      </c>
    </row>
    <row r="62" spans="1:6">
      <c r="A62" s="1310" t="s">
        <v>48</v>
      </c>
      <c r="B62" s="1310" t="s">
        <v>54</v>
      </c>
      <c r="C62" s="1311">
        <v>16</v>
      </c>
      <c r="D62" s="1311">
        <v>1521997.9979999999</v>
      </c>
      <c r="E62" s="1311">
        <v>17</v>
      </c>
      <c r="F62" s="1311">
        <v>135205.97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56007.106</v>
      </c>
      <c r="E65" s="1311">
        <v>0</v>
      </c>
      <c r="F65" s="1311">
        <v>0</v>
      </c>
    </row>
    <row r="66" spans="1:6">
      <c r="A66" s="1310" t="s">
        <v>55</v>
      </c>
      <c r="B66" s="1310" t="s">
        <v>57</v>
      </c>
      <c r="C66" s="1311">
        <v>0</v>
      </c>
      <c r="D66" s="1311">
        <v>0</v>
      </c>
      <c r="E66" s="1311">
        <v>10</v>
      </c>
      <c r="F66" s="1311">
        <v>135186.71599999999</v>
      </c>
    </row>
    <row r="67" spans="1:6">
      <c r="A67" s="1310" t="s">
        <v>55</v>
      </c>
      <c r="B67" s="1310" t="s">
        <v>58</v>
      </c>
      <c r="C67" s="1311">
        <v>0</v>
      </c>
      <c r="D67" s="1311">
        <v>0</v>
      </c>
      <c r="E67" s="1311">
        <v>0</v>
      </c>
      <c r="F67" s="1311">
        <v>0</v>
      </c>
    </row>
    <row r="68" spans="1:6">
      <c r="A68" s="1305" t="s">
        <v>55</v>
      </c>
      <c r="B68" s="1305" t="s">
        <v>59</v>
      </c>
      <c r="C68" s="1313">
        <v>0</v>
      </c>
      <c r="D68" s="1313">
        <v>0</v>
      </c>
      <c r="E68" s="1313">
        <v>8</v>
      </c>
      <c r="F68" s="1313">
        <v>53218.601999999999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86426873</v>
      </c>
      <c r="E73" s="445"/>
      <c r="F73" s="326"/>
    </row>
    <row r="74" spans="1:6">
      <c r="A74" s="1310" t="s">
        <v>63</v>
      </c>
      <c r="B74" s="1310" t="s">
        <v>632</v>
      </c>
      <c r="C74" s="1323" t="s">
        <v>634</v>
      </c>
      <c r="D74" s="1311">
        <v>6968501.7544852607</v>
      </c>
      <c r="E74" s="445"/>
      <c r="F74" s="326"/>
    </row>
    <row r="75" spans="1:6">
      <c r="A75" s="1310" t="s">
        <v>64</v>
      </c>
      <c r="B75" s="1310" t="s">
        <v>631</v>
      </c>
      <c r="C75" s="1323" t="s">
        <v>635</v>
      </c>
      <c r="D75" s="1311">
        <v>40873072</v>
      </c>
      <c r="E75" s="445"/>
      <c r="F75" s="326"/>
    </row>
    <row r="76" spans="1:6">
      <c r="A76" s="1310" t="s">
        <v>64</v>
      </c>
      <c r="B76" s="1310" t="s">
        <v>632</v>
      </c>
      <c r="C76" s="1323" t="s">
        <v>636</v>
      </c>
      <c r="D76" s="1311">
        <v>717773.75448526093</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708614.49102947803</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9165.9578756145766</v>
      </c>
      <c r="C91" s="326"/>
      <c r="D91" s="326"/>
      <c r="E91" s="326"/>
      <c r="F91" s="326"/>
    </row>
    <row r="92" spans="1:6">
      <c r="A92" s="1305" t="s">
        <v>68</v>
      </c>
      <c r="B92" s="1306">
        <v>3267.4581506271138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903</v>
      </c>
      <c r="C97" s="326"/>
      <c r="D97" s="326"/>
      <c r="E97" s="326"/>
      <c r="F97" s="326"/>
    </row>
    <row r="98" spans="1:6">
      <c r="A98" s="1310" t="s">
        <v>71</v>
      </c>
      <c r="B98" s="1311">
        <v>5</v>
      </c>
      <c r="C98" s="326"/>
      <c r="D98" s="326"/>
      <c r="E98" s="326"/>
      <c r="F98" s="326"/>
    </row>
    <row r="99" spans="1:6">
      <c r="A99" s="1310" t="s">
        <v>72</v>
      </c>
      <c r="B99" s="1311">
        <v>58</v>
      </c>
      <c r="C99" s="326"/>
      <c r="D99" s="326"/>
      <c r="E99" s="326"/>
      <c r="F99" s="326"/>
    </row>
    <row r="100" spans="1:6">
      <c r="A100" s="1310" t="s">
        <v>73</v>
      </c>
      <c r="B100" s="1311">
        <v>226</v>
      </c>
      <c r="C100" s="326"/>
      <c r="D100" s="326"/>
      <c r="E100" s="326"/>
      <c r="F100" s="326"/>
    </row>
    <row r="101" spans="1:6">
      <c r="A101" s="1310" t="s">
        <v>74</v>
      </c>
      <c r="B101" s="1311">
        <v>79</v>
      </c>
      <c r="C101" s="326"/>
      <c r="D101" s="326"/>
      <c r="E101" s="326"/>
      <c r="F101" s="326"/>
    </row>
    <row r="102" spans="1:6">
      <c r="A102" s="1310" t="s">
        <v>75</v>
      </c>
      <c r="B102" s="1311">
        <v>57</v>
      </c>
      <c r="C102" s="326"/>
      <c r="D102" s="326"/>
      <c r="E102" s="326"/>
      <c r="F102" s="326"/>
    </row>
    <row r="103" spans="1:6">
      <c r="A103" s="1310" t="s">
        <v>76</v>
      </c>
      <c r="B103" s="1311">
        <v>102</v>
      </c>
      <c r="C103" s="326"/>
      <c r="D103" s="326"/>
      <c r="E103" s="326"/>
      <c r="F103" s="326"/>
    </row>
    <row r="104" spans="1:6">
      <c r="A104" s="1310" t="s">
        <v>77</v>
      </c>
      <c r="B104" s="1311">
        <v>3908</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89</v>
      </c>
      <c r="C123" s="1311">
        <v>69</v>
      </c>
      <c r="D123" s="326"/>
      <c r="E123" s="326"/>
      <c r="F123" s="326"/>
    </row>
    <row r="124" spans="1:6">
      <c r="A124" s="1310" t="s">
        <v>88</v>
      </c>
      <c r="B124" s="1311">
        <v>3</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291</v>
      </c>
      <c r="C129" s="326"/>
      <c r="D129" s="326"/>
      <c r="E129" s="326"/>
      <c r="F129" s="326"/>
    </row>
    <row r="130" spans="1:6">
      <c r="A130" s="1310" t="s">
        <v>284</v>
      </c>
      <c r="B130" s="1311">
        <v>3</v>
      </c>
      <c r="C130" s="326"/>
      <c r="D130" s="326"/>
      <c r="E130" s="326"/>
      <c r="F130" s="326"/>
    </row>
    <row r="131" spans="1:6">
      <c r="A131" s="1310" t="s">
        <v>285</v>
      </c>
      <c r="B131" s="1311">
        <v>4</v>
      </c>
      <c r="C131" s="326"/>
      <c r="D131" s="326"/>
      <c r="E131" s="326"/>
      <c r="F131" s="326"/>
    </row>
    <row r="132" spans="1:6">
      <c r="A132" s="1305" t="s">
        <v>286</v>
      </c>
      <c r="B132" s="1306">
        <v>71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76647.689114087028</v>
      </c>
      <c r="C3" s="43" t="s">
        <v>163</v>
      </c>
      <c r="D3" s="43"/>
      <c r="E3" s="154"/>
      <c r="F3" s="43"/>
      <c r="G3" s="43"/>
      <c r="H3" s="43"/>
      <c r="I3" s="43"/>
      <c r="J3" s="43"/>
      <c r="K3" s="96"/>
    </row>
    <row r="4" spans="1:11">
      <c r="A4" s="352" t="s">
        <v>164</v>
      </c>
      <c r="B4" s="49">
        <f>IF(ISERROR('SEAP template'!B78+'SEAP template'!C78),0,'SEAP template'!B78+'SEAP template'!C78)</f>
        <v>23221.716026241687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0.15404430569119135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15411.857142857143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1099.557636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1099.557636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0.15404430569119135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169.3805926050677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20127.797207</v>
      </c>
      <c r="C5" s="17">
        <f>IF(ISERROR('Eigen informatie GS &amp; warmtenet'!B59),0,'Eigen informatie GS &amp; warmtenet'!B59)</f>
        <v>0</v>
      </c>
      <c r="D5" s="30">
        <f>(SUM(HH_hh_gas_kWh,HH_rest_gas_kWh)/1000)*0.903</f>
        <v>44099.000869035001</v>
      </c>
      <c r="E5" s="17">
        <f>B32*B41</f>
        <v>2033.8356562019387</v>
      </c>
      <c r="F5" s="17">
        <f>B36*B45</f>
        <v>44554.434915669532</v>
      </c>
      <c r="G5" s="18"/>
      <c r="H5" s="17"/>
      <c r="I5" s="17"/>
      <c r="J5" s="17">
        <f>B35*B44+C35*C44</f>
        <v>253.92059767039399</v>
      </c>
      <c r="K5" s="17"/>
      <c r="L5" s="17"/>
      <c r="M5" s="17"/>
      <c r="N5" s="17">
        <f>B34*B43+C34*C43</f>
        <v>9240.1229444508936</v>
      </c>
      <c r="O5" s="17">
        <f>B52*B53*B54</f>
        <v>714.2249589793314</v>
      </c>
      <c r="P5" s="17">
        <f>B60*B61*B62/1000-B60*B61*B62/1000/B63</f>
        <v>1717.0353671526589</v>
      </c>
    </row>
    <row r="6" spans="1:16">
      <c r="A6" s="16" t="s">
        <v>597</v>
      </c>
      <c r="B6" s="778">
        <f>kWh_PV_kleiner_dan_10kW</f>
        <v>9165.9578756145766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29293.755082614574</v>
      </c>
      <c r="C8" s="21">
        <f>C5</f>
        <v>0</v>
      </c>
      <c r="D8" s="21">
        <f>D5</f>
        <v>44099.000869035001</v>
      </c>
      <c r="E8" s="21">
        <f>E5</f>
        <v>2033.8356562019387</v>
      </c>
      <c r="F8" s="21">
        <f>F5</f>
        <v>44554.434915669532</v>
      </c>
      <c r="G8" s="21"/>
      <c r="H8" s="21"/>
      <c r="I8" s="21"/>
      <c r="J8" s="21">
        <f>J5</f>
        <v>253.92059767039399</v>
      </c>
      <c r="K8" s="21"/>
      <c r="L8" s="21">
        <f>L5</f>
        <v>0</v>
      </c>
      <c r="M8" s="21">
        <f>M5</f>
        <v>0</v>
      </c>
      <c r="N8" s="21">
        <f>N5</f>
        <v>9240.1229444508936</v>
      </c>
      <c r="O8" s="21">
        <f>O5</f>
        <v>714.2249589793314</v>
      </c>
      <c r="P8" s="21">
        <f>P5</f>
        <v>1717.0353671526589</v>
      </c>
    </row>
    <row r="9" spans="1:16">
      <c r="B9" s="19"/>
      <c r="C9" s="19"/>
      <c r="D9" s="254"/>
      <c r="E9" s="19"/>
      <c r="F9" s="19"/>
      <c r="G9" s="19"/>
      <c r="H9" s="19"/>
      <c r="I9" s="19"/>
      <c r="J9" s="19"/>
      <c r="K9" s="19"/>
      <c r="L9" s="19"/>
      <c r="M9" s="19"/>
      <c r="N9" s="19"/>
      <c r="O9" s="19"/>
      <c r="P9" s="19"/>
    </row>
    <row r="10" spans="1:16">
      <c r="A10" s="24" t="s">
        <v>207</v>
      </c>
      <c r="B10" s="25">
        <f ca="1">'EF ele_warmte'!B12</f>
        <v>0.15404430569119135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4512.5361627891698</v>
      </c>
      <c r="C12" s="23">
        <f ca="1">C10*C8</f>
        <v>0</v>
      </c>
      <c r="D12" s="23">
        <f>D8*D10</f>
        <v>8907.9981755450699</v>
      </c>
      <c r="E12" s="23">
        <f>E10*E8</f>
        <v>461.68069395784011</v>
      </c>
      <c r="F12" s="23">
        <f>F10*F8</f>
        <v>11896.034122483765</v>
      </c>
      <c r="G12" s="23"/>
      <c r="H12" s="23"/>
      <c r="I12" s="23"/>
      <c r="J12" s="23">
        <f>J10*J8</f>
        <v>89.887891575319472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6750</v>
      </c>
      <c r="C26" s="36"/>
      <c r="D26" s="225"/>
    </row>
    <row r="27" spans="1:5" s="15" customFormat="1">
      <c r="A27" s="227" t="s">
        <v>860</v>
      </c>
      <c r="B27" s="37">
        <f>SUM(HH_hh_gas_aantal,HH_rest_gas_aantal)</f>
        <v>3561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3382.95</v>
      </c>
      <c r="C31" s="34" t="s">
        <v>104</v>
      </c>
      <c r="D31" s="171"/>
    </row>
    <row r="32" spans="1:5">
      <c r="A32" s="168" t="s">
        <v>72</v>
      </c>
      <c r="B32" s="33">
        <f>IF((B21*($B$26-($B$27-0.05*$B$27)-$B$60))&lt;0,0,(B21*($B$26-($B$27-0.05*$B$27)-$B$60)))</f>
        <v>50.864930375301469</v>
      </c>
      <c r="C32" s="34" t="s">
        <v>104</v>
      </c>
      <c r="D32" s="171"/>
    </row>
    <row r="33" spans="1:6">
      <c r="A33" s="168" t="s">
        <v>73</v>
      </c>
      <c r="B33" s="33">
        <f>IF((B22*($B$26-($B$27-0.05*$B$27)-$B$60))&lt;0,0,B22*($B$26-($B$27-0.05*$B$27)-$B$60))</f>
        <v>825.94573019458653</v>
      </c>
      <c r="C33" s="34" t="s">
        <v>104</v>
      </c>
      <c r="D33" s="171"/>
    </row>
    <row r="34" spans="1:6">
      <c r="A34" s="168" t="s">
        <v>74</v>
      </c>
      <c r="B34" s="33">
        <f>IF((B24*($B$26-($B$27-0.05*$B$27)-$B$60))&lt;0,0,B24*($B$26-($B$27-0.05*$B$27)-$B$60))</f>
        <v>158.34484966738174</v>
      </c>
      <c r="C34" s="33">
        <f>B26*C24</f>
        <v>1383.1150936941731</v>
      </c>
      <c r="D34" s="230"/>
    </row>
    <row r="35" spans="1:6">
      <c r="A35" s="168" t="s">
        <v>76</v>
      </c>
      <c r="B35" s="33">
        <f>IF((B19*($B$26-($B$27-0.05*$B$27)-$B$60))&lt;0,0,B19*($B$26-($B$27-0.05*$B$27)-$B$60))</f>
        <v>22.110863968830333</v>
      </c>
      <c r="C35" s="33">
        <f>B35/2</f>
        <v>11.055431984415167</v>
      </c>
      <c r="D35" s="230"/>
    </row>
    <row r="36" spans="1:6">
      <c r="A36" s="168" t="s">
        <v>77</v>
      </c>
      <c r="B36" s="33">
        <f>IF((B18*($B$26-($B$27-0.05*$B$27)-$B$60))&lt;0,0,B18*($B$26-($B$27-0.05*$B$27)-$B$60))</f>
        <v>2146.7836257938993</v>
      </c>
      <c r="C36" s="34" t="s">
        <v>104</v>
      </c>
      <c r="D36" s="171"/>
    </row>
    <row r="37" spans="1:6">
      <c r="A37" s="168" t="s">
        <v>78</v>
      </c>
      <c r="B37" s="33">
        <f>B60</f>
        <v>163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360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163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24412.691393999998</v>
      </c>
      <c r="C5" s="17">
        <f>IF(ISERROR('Eigen informatie GS &amp; warmtenet'!B60),0,'Eigen informatie GS &amp; warmtenet'!B60)</f>
        <v>0</v>
      </c>
      <c r="D5" s="30">
        <f>SUM(D6:D12)</f>
        <v>40897.386316437005</v>
      </c>
      <c r="E5" s="17">
        <f>SUM(E6:E12)</f>
        <v>104.97881474253748</v>
      </c>
      <c r="F5" s="17">
        <f>SUM(F6:F12)</f>
        <v>5459.1473883180442</v>
      </c>
      <c r="G5" s="18"/>
      <c r="H5" s="17"/>
      <c r="I5" s="17"/>
      <c r="J5" s="17">
        <f>SUM(J6:J12)</f>
        <v>4.0117213474594501E-2</v>
      </c>
      <c r="K5" s="17"/>
      <c r="L5" s="17"/>
      <c r="M5" s="17"/>
      <c r="N5" s="17">
        <f>SUM(N6:N12)</f>
        <v>1543.3490910981855</v>
      </c>
      <c r="O5" s="17">
        <f>B38*B39*B40</f>
        <v>14.691782297523464</v>
      </c>
      <c r="P5" s="17">
        <f>B46*B47*B48/1000-B46*B47*B48/1000/B49</f>
        <v>262.69569153247511</v>
      </c>
      <c r="R5" s="32"/>
    </row>
    <row r="6" spans="1:18">
      <c r="A6" s="32" t="s">
        <v>53</v>
      </c>
      <c r="B6" s="37">
        <f>B26</f>
        <v>4210.5565230000002</v>
      </c>
      <c r="C6" s="33"/>
      <c r="D6" s="37">
        <f>IF(ISERROR(TER_kantoor_gas_kWh/1000),0,TER_kantoor_gas_kWh/1000)*0.903</f>
        <v>3417.4357470330001</v>
      </c>
      <c r="E6" s="33">
        <f>$C$26*'E Balans VL '!I12/100/3.6*1000000</f>
        <v>1.0032515146343801</v>
      </c>
      <c r="F6" s="33">
        <f>$C$26*('E Balans VL '!L12+'E Balans VL '!N12)/100/3.6*1000000</f>
        <v>365.72808126140995</v>
      </c>
      <c r="G6" s="34"/>
      <c r="H6" s="33"/>
      <c r="I6" s="33"/>
      <c r="J6" s="33">
        <f>$C$26*('E Balans VL '!D12+'E Balans VL '!E12)/100/3.6*1000000</f>
        <v>0</v>
      </c>
      <c r="K6" s="33"/>
      <c r="L6" s="33"/>
      <c r="M6" s="33"/>
      <c r="N6" s="33">
        <f>$C$26*'E Balans VL '!Y12/100/3.6*1000000</f>
        <v>5.6279978506851842</v>
      </c>
      <c r="O6" s="33"/>
      <c r="P6" s="33"/>
      <c r="R6" s="32"/>
    </row>
    <row r="7" spans="1:18">
      <c r="A7" s="32" t="s">
        <v>52</v>
      </c>
      <c r="B7" s="37">
        <f t="shared" ref="B7:B12" si="0">B27</f>
        <v>7356.2403720000002</v>
      </c>
      <c r="C7" s="33"/>
      <c r="D7" s="37">
        <f>IF(ISERROR(TER_horeca_gas_kWh/1000),0,TER_horeca_gas_kWh/1000)*0.903</f>
        <v>26452.701078636001</v>
      </c>
      <c r="E7" s="33">
        <f>$C$27*'E Balans VL '!I9/100/3.6*1000000</f>
        <v>0</v>
      </c>
      <c r="F7" s="33">
        <f>$C$27*('E Balans VL '!L9+'E Balans VL '!N9)/100/3.6*1000000</f>
        <v>599.40046138430307</v>
      </c>
      <c r="G7" s="34"/>
      <c r="H7" s="33"/>
      <c r="I7" s="33"/>
      <c r="J7" s="33">
        <f>$C$27*('E Balans VL '!D9+'E Balans VL '!E9)/100/3.6*1000000</f>
        <v>0</v>
      </c>
      <c r="K7" s="33"/>
      <c r="L7" s="33"/>
      <c r="M7" s="33"/>
      <c r="N7" s="33">
        <f>$C$27*'E Balans VL '!Y9/100/3.6*1000000</f>
        <v>2.037541629336626</v>
      </c>
      <c r="O7" s="33"/>
      <c r="P7" s="33"/>
      <c r="R7" s="32"/>
    </row>
    <row r="8" spans="1:18">
      <c r="A8" s="6" t="s">
        <v>51</v>
      </c>
      <c r="B8" s="37">
        <f t="shared" si="0"/>
        <v>6574.3333679999996</v>
      </c>
      <c r="C8" s="33"/>
      <c r="D8" s="37">
        <f>IF(ISERROR(TER_handel_gas_kWh/1000),0,TER_handel_gas_kWh/1000)*0.903</f>
        <v>3803.5624479930007</v>
      </c>
      <c r="E8" s="33">
        <f>$C$28*'E Balans VL '!I13/100/3.6*1000000</f>
        <v>52.552687186636199</v>
      </c>
      <c r="F8" s="33">
        <f>$C$28*('E Balans VL '!L13+'E Balans VL '!N13)/100/3.6*1000000</f>
        <v>653.11915167012273</v>
      </c>
      <c r="G8" s="34"/>
      <c r="H8" s="33"/>
      <c r="I8" s="33"/>
      <c r="J8" s="33">
        <f>$C$28*('E Balans VL '!D13+'E Balans VL '!E13)/100/3.6*1000000</f>
        <v>0</v>
      </c>
      <c r="K8" s="33"/>
      <c r="L8" s="33"/>
      <c r="M8" s="33"/>
      <c r="N8" s="33">
        <f>$C$28*'E Balans VL '!Y13/100/3.6*1000000</f>
        <v>2.4559048433183808</v>
      </c>
      <c r="O8" s="33"/>
      <c r="P8" s="33"/>
      <c r="R8" s="32"/>
    </row>
    <row r="9" spans="1:18">
      <c r="A9" s="32" t="s">
        <v>50</v>
      </c>
      <c r="B9" s="37">
        <f t="shared" si="0"/>
        <v>2169.9194500000003</v>
      </c>
      <c r="C9" s="33"/>
      <c r="D9" s="37">
        <f>IF(ISERROR(TER_gezond_gas_kWh/1000),0,TER_gezond_gas_kWh/1000)*0.903</f>
        <v>4682.2855530569996</v>
      </c>
      <c r="E9" s="33">
        <f>$C$29*'E Balans VL '!I10/100/3.6*1000000</f>
        <v>0</v>
      </c>
      <c r="F9" s="33">
        <f>$C$29*('E Balans VL '!L10+'E Balans VL '!N10)/100/3.6*1000000</f>
        <v>197.8235182166201</v>
      </c>
      <c r="G9" s="34"/>
      <c r="H9" s="33"/>
      <c r="I9" s="33"/>
      <c r="J9" s="33">
        <f>$C$29*('E Balans VL '!D10+'E Balans VL '!E10)/100/3.6*1000000</f>
        <v>0</v>
      </c>
      <c r="K9" s="33"/>
      <c r="L9" s="33"/>
      <c r="M9" s="33"/>
      <c r="N9" s="33">
        <f>$C$29*'E Balans VL '!Y10/100/3.6*1000000</f>
        <v>15.860166584390777</v>
      </c>
      <c r="O9" s="33"/>
      <c r="P9" s="33"/>
      <c r="R9" s="32"/>
    </row>
    <row r="10" spans="1:18">
      <c r="A10" s="32" t="s">
        <v>49</v>
      </c>
      <c r="B10" s="37">
        <f t="shared" si="0"/>
        <v>3966.4357110000001</v>
      </c>
      <c r="C10" s="33"/>
      <c r="D10" s="37">
        <f>IF(ISERROR(TER_ander_gas_kWh/1000),0,TER_ander_gas_kWh/1000)*0.903</f>
        <v>1167.037297524</v>
      </c>
      <c r="E10" s="33">
        <f>$C$30*'E Balans VL '!I14/100/3.6*1000000</f>
        <v>51.422876041266903</v>
      </c>
      <c r="F10" s="33">
        <f>$C$30*('E Balans VL '!L14+'E Balans VL '!N14)/100/3.6*1000000</f>
        <v>3637.7784451347657</v>
      </c>
      <c r="G10" s="34"/>
      <c r="H10" s="33"/>
      <c r="I10" s="33"/>
      <c r="J10" s="33">
        <f>$C$30*('E Balans VL '!D14+'E Balans VL '!E14)/100/3.6*1000000</f>
        <v>4.0117213474594501E-2</v>
      </c>
      <c r="K10" s="33"/>
      <c r="L10" s="33"/>
      <c r="M10" s="33"/>
      <c r="N10" s="33">
        <f>$C$30*'E Balans VL '!Y14/100/3.6*1000000</f>
        <v>1516.9416831852034</v>
      </c>
      <c r="O10" s="33"/>
      <c r="P10" s="33"/>
      <c r="R10" s="32"/>
    </row>
    <row r="11" spans="1:18">
      <c r="A11" s="32" t="s">
        <v>54</v>
      </c>
      <c r="B11" s="37">
        <f t="shared" si="0"/>
        <v>135.20597000000001</v>
      </c>
      <c r="C11" s="33"/>
      <c r="D11" s="37">
        <f>IF(ISERROR(TER_onderwijs_gas_kWh/1000),0,TER_onderwijs_gas_kWh/1000)*0.903</f>
        <v>1374.3641921939998</v>
      </c>
      <c r="E11" s="33">
        <f>$C$31*'E Balans VL '!I11/100/3.6*1000000</f>
        <v>0</v>
      </c>
      <c r="F11" s="33">
        <f>$C$31*('E Balans VL '!L11+'E Balans VL '!N11)/100/3.6*1000000</f>
        <v>5.297730650822726</v>
      </c>
      <c r="G11" s="34"/>
      <c r="H11" s="33"/>
      <c r="I11" s="33"/>
      <c r="J11" s="33">
        <f>$C$31*('E Balans VL '!D11+'E Balans VL '!E11)/100/3.6*1000000</f>
        <v>0</v>
      </c>
      <c r="K11" s="33"/>
      <c r="L11" s="33"/>
      <c r="M11" s="33"/>
      <c r="N11" s="33">
        <f>$C$31*'E Balans VL '!Y11/100/3.6*1000000</f>
        <v>0.42579700525115349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24412.691393999998</v>
      </c>
      <c r="C16" s="21">
        <f t="shared" ca="1" si="1"/>
        <v>0</v>
      </c>
      <c r="D16" s="21">
        <f t="shared" ca="1" si="1"/>
        <v>40897.386316437005</v>
      </c>
      <c r="E16" s="21">
        <f t="shared" si="1"/>
        <v>104.97881474253748</v>
      </c>
      <c r="F16" s="21">
        <f t="shared" ca="1" si="1"/>
        <v>5459.1473883180442</v>
      </c>
      <c r="G16" s="21">
        <f t="shared" si="1"/>
        <v>0</v>
      </c>
      <c r="H16" s="21">
        <f t="shared" si="1"/>
        <v>0</v>
      </c>
      <c r="I16" s="21">
        <f t="shared" si="1"/>
        <v>0</v>
      </c>
      <c r="J16" s="21">
        <f t="shared" si="1"/>
        <v>4.0117213474594501E-2</v>
      </c>
      <c r="K16" s="21">
        <f t="shared" si="1"/>
        <v>0</v>
      </c>
      <c r="L16" s="21">
        <f t="shared" ca="1" si="1"/>
        <v>0</v>
      </c>
      <c r="M16" s="21">
        <f t="shared" si="1"/>
        <v>0</v>
      </c>
      <c r="N16" s="21">
        <f t="shared" ca="1" si="1"/>
        <v>1543.3490910981855</v>
      </c>
      <c r="O16" s="21">
        <f>O5</f>
        <v>14.691782297523464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0.15404430569119135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3760.6360958420519</v>
      </c>
      <c r="C20" s="23">
        <f t="shared" ref="C20:P20" ca="1" si="2">C16*C18</f>
        <v>0</v>
      </c>
      <c r="D20" s="23">
        <f t="shared" ca="1" si="2"/>
        <v>8261.2720359202758</v>
      </c>
      <c r="E20" s="23">
        <f t="shared" si="2"/>
        <v>23.830190946556009</v>
      </c>
      <c r="F20" s="23">
        <f t="shared" ca="1" si="2"/>
        <v>1457.5923526809179</v>
      </c>
      <c r="G20" s="23">
        <f t="shared" si="2"/>
        <v>0</v>
      </c>
      <c r="H20" s="23">
        <f t="shared" si="2"/>
        <v>0</v>
      </c>
      <c r="I20" s="23">
        <f t="shared" si="2"/>
        <v>0</v>
      </c>
      <c r="J20" s="23">
        <f t="shared" si="2"/>
        <v>1.4201493570006453E-2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4210.5565230000002</v>
      </c>
      <c r="C26" s="39">
        <f>IF(ISERROR(B26*3.6/1000000/'E Balans VL '!Z12*100),0,B26*3.6/1000000/'E Balans VL '!Z12*100)</f>
        <v>0.12080047041000065</v>
      </c>
      <c r="D26" s="233" t="s">
        <v>835</v>
      </c>
      <c r="F26" s="6"/>
    </row>
    <row r="27" spans="1:18" ht="30">
      <c r="A27" s="228" t="s">
        <v>52</v>
      </c>
      <c r="B27" s="33">
        <f>IF(ISERROR(TER_horeca_ele_kWh/1000),0,TER_horeca_ele_kWh/1000)</f>
        <v>7356.2403720000002</v>
      </c>
      <c r="C27" s="39">
        <f>IF(ISERROR(B27*3.6/1000000/'E Balans VL '!Z9*100),0,B27*3.6/1000000/'E Balans VL '!Z9*100)</f>
        <v>0.53892077402339988</v>
      </c>
      <c r="D27" s="233" t="s">
        <v>835</v>
      </c>
      <c r="F27" s="6"/>
    </row>
    <row r="28" spans="1:18" ht="30">
      <c r="A28" s="168" t="s">
        <v>51</v>
      </c>
      <c r="B28" s="33">
        <f>IF(ISERROR(TER_handel_ele_kWh/1000),0,TER_handel_ele_kWh/1000)</f>
        <v>6574.3333679999996</v>
      </c>
      <c r="C28" s="39">
        <f>IF(ISERROR(B28*3.6/1000000/'E Balans VL '!Z13*100),0,B28*3.6/1000000/'E Balans VL '!Z13*100)</f>
        <v>0.20315244620146711</v>
      </c>
      <c r="D28" s="233" t="s">
        <v>835</v>
      </c>
      <c r="F28" s="6"/>
    </row>
    <row r="29" spans="1:18" ht="30">
      <c r="A29" s="228" t="s">
        <v>50</v>
      </c>
      <c r="B29" s="33">
        <f>IF(ISERROR(TER_gezond_ele_kWh/1000),0,TER_gezond_ele_kWh/1000)</f>
        <v>2169.9194500000003</v>
      </c>
      <c r="C29" s="39">
        <f>IF(ISERROR(B29*3.6/1000000/'E Balans VL '!Z10*100),0,B29*3.6/1000000/'E Balans VL '!Z10*100)</f>
        <v>0.21266544883704899</v>
      </c>
      <c r="D29" s="233" t="s">
        <v>835</v>
      </c>
      <c r="F29" s="6"/>
    </row>
    <row r="30" spans="1:18" ht="30">
      <c r="A30" s="228" t="s">
        <v>49</v>
      </c>
      <c r="B30" s="33">
        <f>IF(ISERROR(TER_ander_ele_kWh/1000),0,TER_ander_ele_kWh/1000)</f>
        <v>3966.4357110000001</v>
      </c>
      <c r="C30" s="39">
        <f>IF(ISERROR(B30*3.6/1000000/'E Balans VL '!Z14*100),0,B30*3.6/1000000/'E Balans VL '!Z14*100)</f>
        <v>0.16430258078332216</v>
      </c>
      <c r="D30" s="233" t="s">
        <v>835</v>
      </c>
      <c r="F30" s="6"/>
    </row>
    <row r="31" spans="1:18" ht="30">
      <c r="A31" s="228" t="s">
        <v>54</v>
      </c>
      <c r="B31" s="33">
        <f>IF(ISERROR(TER_onderwijs_ele_kWh/1000),0,TER_onderwijs_ele_kWh/1000)</f>
        <v>135.20597000000001</v>
      </c>
      <c r="C31" s="39">
        <f>IF(ISERROR(B31*3.6/1000000/'E Balans VL '!Z11*100),0,B31*3.6/1000000/'E Balans VL '!Z11*100)</f>
        <v>4.1544683965260815E-2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5869.5507879999996</v>
      </c>
      <c r="C5" s="17">
        <f>IF(ISERROR('Eigen informatie GS &amp; warmtenet'!B61),0,'Eigen informatie GS &amp; warmtenet'!B61)</f>
        <v>0</v>
      </c>
      <c r="D5" s="30">
        <f>SUM(D6:D15)</f>
        <v>2073.7510692360001</v>
      </c>
      <c r="E5" s="17">
        <f>SUM(E6:E15)</f>
        <v>22.240095549830841</v>
      </c>
      <c r="F5" s="17">
        <f>SUM(F6:F15)</f>
        <v>1391.7655100397988</v>
      </c>
      <c r="G5" s="18"/>
      <c r="H5" s="17"/>
      <c r="I5" s="17"/>
      <c r="J5" s="17">
        <f>SUM(J6:J15)</f>
        <v>3.1912975903280598</v>
      </c>
      <c r="K5" s="17"/>
      <c r="L5" s="17"/>
      <c r="M5" s="17"/>
      <c r="N5" s="17">
        <f>SUM(N6:N15)</f>
        <v>123.2438416411797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340.76770899999997</v>
      </c>
      <c r="C8" s="33"/>
      <c r="D8" s="37">
        <f>IF( ISERROR(IND_metaal_Gas_kWH/1000),0,IND_metaal_Gas_kWH/1000)*0.903</f>
        <v>97.007840685000005</v>
      </c>
      <c r="E8" s="33">
        <f>C30*'E Balans VL '!I18/100/3.6*1000000</f>
        <v>1.8575779270294426</v>
      </c>
      <c r="F8" s="33">
        <f>C30*'E Balans VL '!L18/100/3.6*1000000+C30*'E Balans VL '!N18/100/3.6*1000000</f>
        <v>21.94546648835821</v>
      </c>
      <c r="G8" s="34"/>
      <c r="H8" s="33"/>
      <c r="I8" s="33"/>
      <c r="J8" s="40">
        <f>C30*'E Balans VL '!D18/100/3.6*1000000+C30*'E Balans VL '!E18/100/3.6*1000000</f>
        <v>0.27913031997364585</v>
      </c>
      <c r="K8" s="33"/>
      <c r="L8" s="33"/>
      <c r="M8" s="33"/>
      <c r="N8" s="33">
        <f>C30*'E Balans VL '!Y18/100/3.6*1000000</f>
        <v>7.3620611747001341</v>
      </c>
      <c r="O8" s="33"/>
      <c r="P8" s="33"/>
      <c r="R8" s="32"/>
    </row>
    <row r="9" spans="1:18">
      <c r="A9" s="6" t="s">
        <v>32</v>
      </c>
      <c r="B9" s="37">
        <f t="shared" si="0"/>
        <v>2012.8323049999999</v>
      </c>
      <c r="C9" s="33"/>
      <c r="D9" s="37">
        <f>IF( ISERROR(IND_andere_gas_kWh/1000),0,IND_andere_gas_kWh/1000)*0.903</f>
        <v>1414.8706393080001</v>
      </c>
      <c r="E9" s="33">
        <f>C31*'E Balans VL '!I19/100/3.6*1000000</f>
        <v>6.4977654669999465</v>
      </c>
      <c r="F9" s="33">
        <f>C31*'E Balans VL '!L19/100/3.6*1000000+C31*'E Balans VL '!N19/100/3.6*1000000</f>
        <v>1301.5131692702198</v>
      </c>
      <c r="G9" s="34"/>
      <c r="H9" s="33"/>
      <c r="I9" s="33"/>
      <c r="J9" s="40">
        <f>C31*'E Balans VL '!D19/100/3.6*1000000+C31*'E Balans VL '!E19/100/3.6*1000000</f>
        <v>0</v>
      </c>
      <c r="K9" s="33"/>
      <c r="L9" s="33"/>
      <c r="M9" s="33"/>
      <c r="N9" s="33">
        <f>C31*'E Balans VL '!Y19/100/3.6*1000000</f>
        <v>81.336228419833219</v>
      </c>
      <c r="O9" s="33"/>
      <c r="P9" s="33"/>
      <c r="R9" s="32"/>
    </row>
    <row r="10" spans="1:18">
      <c r="A10" s="6" t="s">
        <v>40</v>
      </c>
      <c r="B10" s="37">
        <f t="shared" si="0"/>
        <v>140.65255300000001</v>
      </c>
      <c r="C10" s="33"/>
      <c r="D10" s="37">
        <f>IF( ISERROR(IND_voed_gas_kWh/1000),0,IND_voed_gas_kWh/1000)*0.903</f>
        <v>168.07000179900001</v>
      </c>
      <c r="E10" s="33">
        <f>C32*'E Balans VL '!I20/100/3.6*1000000</f>
        <v>0.29484222130979487</v>
      </c>
      <c r="F10" s="33">
        <f>C32*'E Balans VL '!L20/100/3.6*1000000+C32*'E Balans VL '!N20/100/3.6*1000000</f>
        <v>2.7403978103848869</v>
      </c>
      <c r="G10" s="34"/>
      <c r="H10" s="33"/>
      <c r="I10" s="33"/>
      <c r="J10" s="40">
        <f>C32*'E Balans VL '!D20/100/3.6*1000000+C32*'E Balans VL '!E20/100/3.6*1000000</f>
        <v>0</v>
      </c>
      <c r="K10" s="33"/>
      <c r="L10" s="33"/>
      <c r="M10" s="33"/>
      <c r="N10" s="33">
        <f>C32*'E Balans VL '!Y20/100/3.6*1000000</f>
        <v>5.5947686123133948</v>
      </c>
      <c r="O10" s="33"/>
      <c r="P10" s="33"/>
      <c r="R10" s="32"/>
    </row>
    <row r="11" spans="1:18">
      <c r="A11" s="6" t="s">
        <v>39</v>
      </c>
      <c r="B11" s="37">
        <f t="shared" si="0"/>
        <v>1363.896119</v>
      </c>
      <c r="C11" s="33"/>
      <c r="D11" s="37">
        <f>IF( ISERROR(IND_textiel_gas_kWh/1000),0,IND_textiel_gas_kWh/1000)*0.903</f>
        <v>0</v>
      </c>
      <c r="E11" s="33">
        <f>C33*'E Balans VL '!I21/100/3.6*1000000</f>
        <v>1.1719549356918959</v>
      </c>
      <c r="F11" s="33">
        <f>C33*'E Balans VL '!L21/100/3.6*1000000+C33*'E Balans VL '!N21/100/3.6*1000000</f>
        <v>28.595497698266229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41.329946000000007</v>
      </c>
      <c r="C12" s="33"/>
      <c r="D12" s="37">
        <f>IF( ISERROR(IND_min_gas_kWh/1000),0,IND_min_gas_kWh/1000)*0.903</f>
        <v>0</v>
      </c>
      <c r="E12" s="33">
        <f>C34*'E Balans VL '!I22/100/3.6*1000000</f>
        <v>0.67636700005339867</v>
      </c>
      <c r="F12" s="33">
        <f>C34*'E Balans VL '!L22/100/3.6*1000000+C34*'E Balans VL '!N22/100/3.6*1000000</f>
        <v>6.3083685436229313</v>
      </c>
      <c r="G12" s="34"/>
      <c r="H12" s="33"/>
      <c r="I12" s="33"/>
      <c r="J12" s="40">
        <f>C34*'E Balans VL '!D22/100/3.6*1000000+C34*'E Balans VL '!E22/100/3.6*1000000</f>
        <v>1.4790568258714165</v>
      </c>
      <c r="K12" s="33"/>
      <c r="L12" s="33"/>
      <c r="M12" s="33"/>
      <c r="N12" s="33">
        <f>C34*'E Balans VL '!Y22/100/3.6*1000000</f>
        <v>22.649687589131652</v>
      </c>
      <c r="O12" s="33"/>
      <c r="P12" s="33"/>
      <c r="R12" s="32"/>
    </row>
    <row r="13" spans="1:18">
      <c r="A13" s="6" t="s">
        <v>38</v>
      </c>
      <c r="B13" s="37">
        <f t="shared" si="0"/>
        <v>1770.6311559999999</v>
      </c>
      <c r="C13" s="33"/>
      <c r="D13" s="37">
        <f>IF( ISERROR(IND_papier_gas_kWh/1000),0,IND_papier_gas_kWh/1000)*0.903</f>
        <v>0</v>
      </c>
      <c r="E13" s="33">
        <f>C35*'E Balans VL '!I23/100/3.6*1000000</f>
        <v>0</v>
      </c>
      <c r="F13" s="33">
        <f>C35*'E Balans VL '!L23/100/3.6*1000000+C35*'E Balans VL '!N23/100/3.6*1000000</f>
        <v>0.23718162555335601</v>
      </c>
      <c r="G13" s="34"/>
      <c r="H13" s="33"/>
      <c r="I13" s="33"/>
      <c r="J13" s="40">
        <f>C35*'E Balans VL '!D23/100/3.6*1000000+C35*'E Balans VL '!E23/100/3.6*1000000</f>
        <v>0.35024198341601087</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199.441</v>
      </c>
      <c r="C15" s="33"/>
      <c r="D15" s="37">
        <f>IF( ISERROR(IND_rest_gas_kWh/1000),0,IND_rest_gas_kWh/1000)*0.903</f>
        <v>393.80258744399998</v>
      </c>
      <c r="E15" s="33">
        <f>C37*'E Balans VL '!I15/100/3.6*1000000</f>
        <v>11.741587998746365</v>
      </c>
      <c r="F15" s="33">
        <f>C37*'E Balans VL '!L15/100/3.6*1000000+C37*'E Balans VL '!N15/100/3.6*1000000</f>
        <v>30.4254286033933</v>
      </c>
      <c r="G15" s="34"/>
      <c r="H15" s="33"/>
      <c r="I15" s="33"/>
      <c r="J15" s="40">
        <f>C37*'E Balans VL '!D15/100/3.6*1000000+C37*'E Balans VL '!E15/100/3.6*1000000</f>
        <v>1.082868461066987</v>
      </c>
      <c r="K15" s="33"/>
      <c r="L15" s="33"/>
      <c r="M15" s="33"/>
      <c r="N15" s="33">
        <f>C37*'E Balans VL '!Y15/100/3.6*1000000</f>
        <v>6.3010958452013019</v>
      </c>
      <c r="O15" s="33"/>
      <c r="P15" s="33"/>
      <c r="R15" s="32"/>
    </row>
    <row r="16" spans="1:18">
      <c r="A16" s="16" t="s">
        <v>467</v>
      </c>
      <c r="B16" s="243">
        <f>'lokale energieproductie'!N39+'lokale energieproductie'!N32</f>
        <v>10701</v>
      </c>
      <c r="C16" s="243">
        <f>'lokale energieproductie'!O39+'lokale energieproductie'!O32</f>
        <v>15287.142857142857</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-30574.285714285717</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16570.550788</v>
      </c>
      <c r="C18" s="21">
        <f>C5+C16</f>
        <v>15287.142857142857</v>
      </c>
      <c r="D18" s="21">
        <f>MAX((D5+D16),0)</f>
        <v>2073.7510692360001</v>
      </c>
      <c r="E18" s="21">
        <f>MAX((E5+E16),0)</f>
        <v>22.240095549830841</v>
      </c>
      <c r="F18" s="21">
        <f>MAX((F5+F16),0)</f>
        <v>1391.7655100397988</v>
      </c>
      <c r="G18" s="21"/>
      <c r="H18" s="21"/>
      <c r="I18" s="21"/>
      <c r="J18" s="21">
        <f>MAX((J5+J16),0)</f>
        <v>3.1912975903280598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0.15404430569119135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2552.5989910580838</v>
      </c>
      <c r="C22" s="23">
        <f ca="1">C18*C20</f>
        <v>0</v>
      </c>
      <c r="D22" s="23">
        <f>D18*D20</f>
        <v>418.89771598567205</v>
      </c>
      <c r="E22" s="23">
        <f>E18*E20</f>
        <v>5.0485016898116006</v>
      </c>
      <c r="F22" s="23">
        <f>F18*F20</f>
        <v>371.60139118062631</v>
      </c>
      <c r="G22" s="23"/>
      <c r="H22" s="23"/>
      <c r="I22" s="23"/>
      <c r="J22" s="23">
        <f>J18*J20</f>
        <v>1.1297193469761331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340.76770899999997</v>
      </c>
      <c r="C30" s="39">
        <f>IF(ISERROR(B30*3.6/1000000/'E Balans VL '!Z18*100),0,B30*3.6/1000000/'E Balans VL '!Z18*100)</f>
        <v>2.0520097037066126E-2</v>
      </c>
      <c r="D30" s="233" t="s">
        <v>835</v>
      </c>
    </row>
    <row r="31" spans="1:18" ht="30">
      <c r="A31" s="6" t="s">
        <v>32</v>
      </c>
      <c r="B31" s="37">
        <f>IF( ISERROR(IND_ander_ele_kWh/1000),0,IND_ander_ele_kWh/1000)</f>
        <v>2012.8323049999999</v>
      </c>
      <c r="C31" s="39">
        <f>IF(ISERROR(B31*3.6/1000000/'E Balans VL '!Z19*100),0,B31*3.6/1000000/'E Balans VL '!Z19*100)</f>
        <v>8.2006955148119912E-2</v>
      </c>
      <c r="D31" s="233" t="s">
        <v>835</v>
      </c>
    </row>
    <row r="32" spans="1:18" ht="30">
      <c r="A32" s="168" t="s">
        <v>40</v>
      </c>
      <c r="B32" s="37">
        <f>IF( ISERROR(IND_voed_ele_kWh/1000),0,IND_voed_ele_kWh/1000)</f>
        <v>140.65255300000001</v>
      </c>
      <c r="C32" s="39">
        <f>IF(ISERROR(B32*3.6/1000000/'E Balans VL '!Z20*100),0,B32*3.6/1000000/'E Balans VL '!Z20*100)</f>
        <v>4.0668313353984667E-3</v>
      </c>
      <c r="D32" s="233" t="s">
        <v>835</v>
      </c>
    </row>
    <row r="33" spans="1:5" ht="30">
      <c r="A33" s="168" t="s">
        <v>39</v>
      </c>
      <c r="B33" s="37">
        <f>IF( ISERROR(IND_textiel_ele_kWh/1000),0,IND_textiel_ele_kWh/1000)</f>
        <v>1363.896119</v>
      </c>
      <c r="C33" s="39">
        <f>IF(ISERROR(B33*3.6/1000000/'E Balans VL '!Z21*100),0,B33*3.6/1000000/'E Balans VL '!Z21*100)</f>
        <v>0.22429759534773128</v>
      </c>
      <c r="D33" s="233" t="s">
        <v>835</v>
      </c>
    </row>
    <row r="34" spans="1:5" ht="30">
      <c r="A34" s="168" t="s">
        <v>36</v>
      </c>
      <c r="B34" s="37">
        <f>IF( ISERROR(IND_min_ele_kWh/1000),0,IND_min_ele_kWh/1000)</f>
        <v>41.329946000000007</v>
      </c>
      <c r="C34" s="39">
        <f>IF(ISERROR(B34*3.6/1000000/'E Balans VL '!Z22*100),0,B34*3.6/1000000/'E Balans VL '!Z22*100)</f>
        <v>1.7647502893865484E-2</v>
      </c>
      <c r="D34" s="233" t="s">
        <v>835</v>
      </c>
    </row>
    <row r="35" spans="1:5" ht="30">
      <c r="A35" s="168" t="s">
        <v>38</v>
      </c>
      <c r="B35" s="37">
        <f>IF( ISERROR(IND_papier_ele_kWh/1000),0,IND_papier_ele_kWh/1000)</f>
        <v>1770.6311559999999</v>
      </c>
      <c r="C35" s="39">
        <f>IF(ISERROR(B35*3.6/1000000/'E Balans VL '!Z22*100),0,B35*3.6/1000000/'E Balans VL '!Z22*100)</f>
        <v>0.75604305046704823</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199.441</v>
      </c>
      <c r="C37" s="39">
        <f>IF(ISERROR(B37*3.6/1000000/'E Balans VL '!Z15*100),0,B37*3.6/1000000/'E Balans VL '!Z15*100)</f>
        <v>1.6375616709155851E-3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3899.2562319999997</v>
      </c>
      <c r="C5" s="17">
        <f>'Eigen informatie GS &amp; warmtenet'!B62</f>
        <v>0</v>
      </c>
      <c r="D5" s="30">
        <f>IF(ISERROR(SUM(LB_lb_gas_kWh,LB_rest_gas_kWh)/1000),0,SUM(LB_lb_gas_kWh,LB_rest_gas_kWh)/1000)*0.903</f>
        <v>386.63898008400002</v>
      </c>
      <c r="E5" s="17">
        <f>B17*'E Balans VL '!I25/3.6*1000000/100</f>
        <v>111.68129723412005</v>
      </c>
      <c r="F5" s="17">
        <f>B17*('E Balans VL '!L25/3.6*1000000+'E Balans VL '!N25/3.6*1000000)/100</f>
        <v>12343.031019734299</v>
      </c>
      <c r="G5" s="18"/>
      <c r="H5" s="17"/>
      <c r="I5" s="17"/>
      <c r="J5" s="17">
        <f>('E Balans VL '!D25+'E Balans VL '!E25)/3.6*1000000*landbouw!B17/100</f>
        <v>991.45841382490642</v>
      </c>
      <c r="K5" s="17"/>
      <c r="L5" s="17">
        <f>L6*(-1)</f>
        <v>0</v>
      </c>
      <c r="M5" s="17"/>
      <c r="N5" s="17">
        <f>N6*(-1)</f>
        <v>249.42857142857139</v>
      </c>
      <c r="O5" s="17"/>
      <c r="P5" s="17"/>
      <c r="R5" s="32"/>
    </row>
    <row r="6" spans="1:18">
      <c r="A6" s="16" t="s">
        <v>467</v>
      </c>
      <c r="B6" s="17" t="s">
        <v>204</v>
      </c>
      <c r="C6" s="17">
        <f>'lokale energieproductie'!O41+'lokale energieproductie'!O34</f>
        <v>124.71428571428569</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3899.2562319999997</v>
      </c>
      <c r="C8" s="21">
        <f>C5+C6</f>
        <v>124.71428571428569</v>
      </c>
      <c r="D8" s="21">
        <f>MAX((D5+D6),0)</f>
        <v>386.63898008400002</v>
      </c>
      <c r="E8" s="21">
        <f>MAX((E5+E6),0)</f>
        <v>111.68129723412005</v>
      </c>
      <c r="F8" s="21">
        <f>MAX((F5+F6),0)</f>
        <v>12343.031019734299</v>
      </c>
      <c r="G8" s="21"/>
      <c r="H8" s="21"/>
      <c r="I8" s="21"/>
      <c r="J8" s="21">
        <f>MAX((J5+J6),0)</f>
        <v>991.45841382490642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0.15404430569119135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600.65821897049091</v>
      </c>
      <c r="C12" s="23">
        <f ca="1">C8*C10</f>
        <v>0</v>
      </c>
      <c r="D12" s="23">
        <f>D8*D10</f>
        <v>78.10107397696801</v>
      </c>
      <c r="E12" s="23">
        <f>E8*E10</f>
        <v>25.351654472145253</v>
      </c>
      <c r="F12" s="23">
        <f>F8*F10</f>
        <v>3295.589282269058</v>
      </c>
      <c r="G12" s="23"/>
      <c r="H12" s="23"/>
      <c r="I12" s="23"/>
      <c r="J12" s="23">
        <f>J8*J10</f>
        <v>350.97627849401687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0.53995853155570428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905.92011162026597</v>
      </c>
      <c r="C26" s="243">
        <f>B26*'GWP N2O_CH4'!B5</f>
        <v>19024.322344025586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335.42091257507764</v>
      </c>
      <c r="C27" s="243">
        <f>B27*'GWP N2O_CH4'!B5</f>
        <v>7043.8391640766304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12.265011384754471</v>
      </c>
      <c r="C28" s="243">
        <f>B28*'GWP N2O_CH4'!B4</f>
        <v>3802.1535292738863</v>
      </c>
      <c r="D28" s="50"/>
    </row>
    <row r="29" spans="1:4">
      <c r="A29" s="41" t="s">
        <v>266</v>
      </c>
      <c r="B29" s="243">
        <f>B34*'ha_N2O bodem landbouw'!B4</f>
        <v>34.00128712927183</v>
      </c>
      <c r="C29" s="243">
        <f>B29*'GWP N2O_CH4'!B4</f>
        <v>10540.399010074267</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7.724483905292916E-3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9.655497440761656E-4</v>
      </c>
      <c r="C5" s="432" t="s">
        <v>204</v>
      </c>
      <c r="D5" s="417">
        <f>SUM(D6:D11)</f>
        <v>1.8270938232945034E-3</v>
      </c>
      <c r="E5" s="417">
        <f>SUM(E6:E11)</f>
        <v>7.1060447942022736E-4</v>
      </c>
      <c r="F5" s="430" t="s">
        <v>204</v>
      </c>
      <c r="G5" s="417">
        <f>SUM(G6:G11)</f>
        <v>0.28185078751260917</v>
      </c>
      <c r="H5" s="417">
        <f>SUM(H6:H11)</f>
        <v>8.92304829406525E-2</v>
      </c>
      <c r="I5" s="432" t="s">
        <v>204</v>
      </c>
      <c r="J5" s="432" t="s">
        <v>204</v>
      </c>
      <c r="K5" s="432" t="s">
        <v>204</v>
      </c>
      <c r="L5" s="432" t="s">
        <v>204</v>
      </c>
      <c r="M5" s="417">
        <f>SUM(M6:M11)</f>
        <v>2.2509075904680879E-2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6.0604298656437273E-4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1.0104471492123938E-3</v>
      </c>
      <c r="E6" s="884">
        <f>vkm_GW_PW*SUMIFS(TableVerdeelsleutelVkm[LPG],TableVerdeelsleutelVkm[Voertuigtype],"Lichte voertuigen")*SUMIFS(TableECFTransport[EnergieConsumptieFactor (PJ per km)],TableECFTransport[Index],CONCATENATE($A6,"_LPG_LPG"))</f>
        <v>4.0060119757404712E-4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0.12039072314944488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4.9554096728598764E-2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1.0425613517157139E-2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1.6954245069683322E-6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6.7207696100487185E-2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4.9589551736806941E-7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3.8589522521847728E-3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3.576366998832889E-4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8.1664667408210966E-4</v>
      </c>
      <c r="E8" s="420">
        <f>vkm_NGW_PW*SUMIFS(TableVerdeelsleutelVkm[LPG],TableVerdeelsleutelVkm[Voertuigtype],"Lichte voertuigen")*SUMIFS(TableECFTransport[EnergieConsumptieFactor (PJ per km)],TableECFTransport[Index],CONCATENATE($A8,"_LPG_LPG"))</f>
        <v>3.1000328184618029E-4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8.5337728698319112E-2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3.9675828663454704E-2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7.7126468998616245E-3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1.7463312153573141E-7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8.9146395643580189E-3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6.1653081670534858E-8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5.1186323547734432E-4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268.20826224337935</v>
      </c>
      <c r="C14" s="21"/>
      <c r="D14" s="21">
        <f t="shared" ref="D14:M14" si="0">((D5)*10^9/3600)+D12</f>
        <v>507.52606202625094</v>
      </c>
      <c r="E14" s="21">
        <f t="shared" si="0"/>
        <v>197.39013317228537</v>
      </c>
      <c r="F14" s="21"/>
      <c r="G14" s="21">
        <f t="shared" si="0"/>
        <v>78291.885420169216</v>
      </c>
      <c r="H14" s="21">
        <f t="shared" si="0"/>
        <v>24786.245261292363</v>
      </c>
      <c r="I14" s="21"/>
      <c r="J14" s="21"/>
      <c r="K14" s="21"/>
      <c r="L14" s="21"/>
      <c r="M14" s="21">
        <f t="shared" si="0"/>
        <v>6252.5210846335776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0.15404430569119135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41.315955537922342</v>
      </c>
      <c r="C18" s="23"/>
      <c r="D18" s="23">
        <f t="shared" ref="D18:M18" si="1">D14*D16</f>
        <v>102.52026452930269</v>
      </c>
      <c r="E18" s="23">
        <f t="shared" si="1"/>
        <v>44.807560230108784</v>
      </c>
      <c r="F18" s="23"/>
      <c r="G18" s="23">
        <f t="shared" si="1"/>
        <v>20903.933407185181</v>
      </c>
      <c r="H18" s="23">
        <f t="shared" si="1"/>
        <v>6171.775070061798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1.3676752162469812E-4</v>
      </c>
      <c r="C50" s="315">
        <f t="shared" ref="C50:P50" si="2">SUM(C51:C52)</f>
        <v>0</v>
      </c>
      <c r="D50" s="315">
        <f t="shared" si="2"/>
        <v>0</v>
      </c>
      <c r="E50" s="315">
        <f t="shared" si="2"/>
        <v>0</v>
      </c>
      <c r="F50" s="315">
        <f t="shared" si="2"/>
        <v>0</v>
      </c>
      <c r="G50" s="315">
        <f t="shared" si="2"/>
        <v>8.5620603308823977E-3</v>
      </c>
      <c r="H50" s="315">
        <f t="shared" si="2"/>
        <v>0</v>
      </c>
      <c r="I50" s="315">
        <f t="shared" si="2"/>
        <v>0</v>
      </c>
      <c r="J50" s="315">
        <f t="shared" si="2"/>
        <v>0</v>
      </c>
      <c r="K50" s="315">
        <f t="shared" si="2"/>
        <v>0</v>
      </c>
      <c r="L50" s="315">
        <f t="shared" si="2"/>
        <v>0</v>
      </c>
      <c r="M50" s="315">
        <f t="shared" si="2"/>
        <v>4.9161454580407547E-4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1.3676752162469812E-4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8.5620603308823977E-3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4.9161454580407547E-4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37.990978229082813</v>
      </c>
      <c r="C54" s="21">
        <f t="shared" ref="C54:P54" si="3">(C50)*10^9/3600</f>
        <v>0</v>
      </c>
      <c r="D54" s="21">
        <f t="shared" si="3"/>
        <v>0</v>
      </c>
      <c r="E54" s="21">
        <f t="shared" si="3"/>
        <v>0</v>
      </c>
      <c r="F54" s="21">
        <f t="shared" si="3"/>
        <v>0</v>
      </c>
      <c r="G54" s="21">
        <f t="shared" si="3"/>
        <v>2378.3500919117773</v>
      </c>
      <c r="H54" s="21">
        <f t="shared" si="3"/>
        <v>0</v>
      </c>
      <c r="I54" s="21">
        <f t="shared" si="3"/>
        <v>0</v>
      </c>
      <c r="J54" s="21">
        <f t="shared" si="3"/>
        <v>0</v>
      </c>
      <c r="K54" s="21">
        <f t="shared" si="3"/>
        <v>0</v>
      </c>
      <c r="L54" s="21">
        <f t="shared" si="3"/>
        <v>0</v>
      </c>
      <c r="M54" s="21">
        <f t="shared" si="3"/>
        <v>136.55959605668764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0.15404430569119135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5.852293863828228</v>
      </c>
      <c r="C58" s="23">
        <f t="shared" ref="C58:P58" ca="1" si="4">C54*C56</f>
        <v>0</v>
      </c>
      <c r="D58" s="23">
        <f t="shared" si="4"/>
        <v>0</v>
      </c>
      <c r="E58" s="23">
        <f t="shared" si="4"/>
        <v>0</v>
      </c>
      <c r="F58" s="23">
        <f t="shared" si="4"/>
        <v>0</v>
      </c>
      <c r="G58" s="23">
        <f t="shared" si="4"/>
        <v>635.01947454044455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12433.41602624169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N31</f>
        <v>10788.3</v>
      </c>
      <c r="C8" s="543">
        <f>B50</f>
        <v>0</v>
      </c>
      <c r="D8" s="544"/>
      <c r="E8" s="544">
        <f>E50</f>
        <v>0</v>
      </c>
      <c r="F8" s="545"/>
      <c r="G8" s="546"/>
      <c r="H8" s="544">
        <f>I50</f>
        <v>0</v>
      </c>
      <c r="I8" s="544">
        <f>G50+F50</f>
        <v>0</v>
      </c>
      <c r="J8" s="544">
        <f>H50+D50+C50</f>
        <v>12692.117647058825</v>
      </c>
      <c r="K8" s="544"/>
      <c r="L8" s="544"/>
      <c r="M8" s="544"/>
      <c r="N8" s="547"/>
      <c r="O8" s="548">
        <f>C8*$C$12+D8*$D$12+E8*$E$12+F8*$F$12+G8*$G$12+H8*$H$12+I8*$I$12+J8*$J$12</f>
        <v>0</v>
      </c>
      <c r="P8" s="1256"/>
      <c r="Q8" s="1257"/>
      <c r="S8" s="538"/>
      <c r="T8" s="1244"/>
      <c r="U8" s="1244"/>
    </row>
    <row r="9" spans="1:21" s="529" customFormat="1" ht="17.45" customHeight="1" thickBot="1">
      <c r="A9" s="549" t="s">
        <v>237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23221.716026241687</v>
      </c>
      <c r="C10" s="558">
        <f t="shared" ref="C10:L10" si="0">SUM(C8:C9)</f>
        <v>0</v>
      </c>
      <c r="D10" s="558">
        <f t="shared" si="0"/>
        <v>0</v>
      </c>
      <c r="E10" s="558">
        <f t="shared" si="0"/>
        <v>0</v>
      </c>
      <c r="F10" s="558">
        <f t="shared" si="0"/>
        <v>0</v>
      </c>
      <c r="G10" s="558">
        <f t="shared" si="0"/>
        <v>0</v>
      </c>
      <c r="H10" s="558">
        <f t="shared" si="0"/>
        <v>0</v>
      </c>
      <c r="I10" s="558">
        <f t="shared" si="0"/>
        <v>0</v>
      </c>
      <c r="J10" s="558">
        <f t="shared" si="0"/>
        <v>12692.117647058825</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O31</f>
        <v>15411.857142857143</v>
      </c>
      <c r="C17" s="574">
        <f>B51</f>
        <v>0</v>
      </c>
      <c r="D17" s="575"/>
      <c r="E17" s="575">
        <f>E51</f>
        <v>0</v>
      </c>
      <c r="F17" s="576"/>
      <c r="G17" s="577"/>
      <c r="H17" s="574">
        <f>I51</f>
        <v>0</v>
      </c>
      <c r="I17" s="575">
        <f>G51+F51</f>
        <v>0</v>
      </c>
      <c r="J17" s="575">
        <f>H51+D51+C51</f>
        <v>18131.596638655465</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15411.857142857143</v>
      </c>
      <c r="C20" s="557">
        <f>SUM(C17:C19)</f>
        <v>0</v>
      </c>
      <c r="D20" s="557">
        <f t="shared" ref="D20:L20" si="1">SUM(D17:D19)</f>
        <v>0</v>
      </c>
      <c r="E20" s="557">
        <f t="shared" si="1"/>
        <v>0</v>
      </c>
      <c r="F20" s="557">
        <f t="shared" si="1"/>
        <v>0</v>
      </c>
      <c r="G20" s="557">
        <f t="shared" si="1"/>
        <v>0</v>
      </c>
      <c r="H20" s="557">
        <f t="shared" si="1"/>
        <v>0</v>
      </c>
      <c r="I20" s="557">
        <f t="shared" si="1"/>
        <v>0</v>
      </c>
      <c r="J20" s="557">
        <f t="shared" si="1"/>
        <v>18131.596638655465</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72030</v>
      </c>
      <c r="C28" s="785">
        <v>3990</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105</v>
      </c>
      <c r="Z28" s="636" t="s">
        <v>105</v>
      </c>
    </row>
    <row r="29" spans="1:26" s="588" customFormat="1" ht="38.25" hidden="1">
      <c r="A29" s="587"/>
      <c r="B29" s="785">
        <v>72030</v>
      </c>
      <c r="C29" s="785">
        <v>3990</v>
      </c>
      <c r="D29" s="635"/>
      <c r="E29" s="634"/>
      <c r="F29" s="634"/>
      <c r="G29" s="634" t="s">
        <v>871</v>
      </c>
      <c r="H29" s="634" t="s">
        <v>869</v>
      </c>
      <c r="I29" s="634"/>
      <c r="J29" s="784"/>
      <c r="K29" s="784"/>
      <c r="L29" s="634" t="s">
        <v>872</v>
      </c>
      <c r="M29" s="634">
        <v>2378</v>
      </c>
      <c r="N29" s="634">
        <v>10701</v>
      </c>
      <c r="O29" s="634">
        <v>15287.142857142857</v>
      </c>
      <c r="P29" s="634">
        <v>0</v>
      </c>
      <c r="Q29" s="634">
        <v>30574.285714285717</v>
      </c>
      <c r="R29" s="634">
        <v>0</v>
      </c>
      <c r="S29" s="634">
        <v>0</v>
      </c>
      <c r="T29" s="634">
        <v>0</v>
      </c>
      <c r="U29" s="634">
        <v>0</v>
      </c>
      <c r="V29" s="634">
        <v>0</v>
      </c>
      <c r="W29" s="634">
        <v>0</v>
      </c>
      <c r="X29" s="634">
        <v>600</v>
      </c>
      <c r="Y29" s="634" t="s">
        <v>39</v>
      </c>
      <c r="Z29" s="636" t="s">
        <v>373</v>
      </c>
    </row>
    <row r="30" spans="1:26" s="588" customFormat="1" ht="25.5" hidden="1">
      <c r="A30" s="587"/>
      <c r="B30" s="785">
        <v>72030</v>
      </c>
      <c r="C30" s="785">
        <v>3990</v>
      </c>
      <c r="D30" s="635"/>
      <c r="E30" s="634"/>
      <c r="F30" s="634"/>
      <c r="G30" s="634" t="s">
        <v>873</v>
      </c>
      <c r="H30" s="634" t="s">
        <v>869</v>
      </c>
      <c r="I30" s="634"/>
      <c r="J30" s="784"/>
      <c r="K30" s="784"/>
      <c r="L30" s="634" t="s">
        <v>872</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105</v>
      </c>
      <c r="Z30" s="636" t="s">
        <v>105</v>
      </c>
    </row>
    <row r="31" spans="1:26" s="568" customFormat="1" hidden="1">
      <c r="A31" s="590" t="s">
        <v>269</v>
      </c>
      <c r="B31" s="591"/>
      <c r="C31" s="591"/>
      <c r="D31" s="591"/>
      <c r="E31" s="591"/>
      <c r="F31" s="591"/>
      <c r="G31" s="591"/>
      <c r="H31" s="591"/>
      <c r="I31" s="591"/>
      <c r="J31" s="591"/>
      <c r="K31" s="591"/>
      <c r="L31" s="592"/>
      <c r="M31" s="592">
        <f>SUM(M28:M30)</f>
        <v>2397.3999999999996</v>
      </c>
      <c r="N31" s="592">
        <f>SUM(N28:N30)</f>
        <v>10788.3</v>
      </c>
      <c r="O31" s="592">
        <f>SUM(O28:O30)</f>
        <v>15411.857142857143</v>
      </c>
      <c r="P31" s="592">
        <f>SUM(P28:P30)</f>
        <v>0</v>
      </c>
      <c r="Q31" s="592">
        <f>SUM(Q28:Q30)</f>
        <v>30823.71428571429</v>
      </c>
      <c r="R31" s="592">
        <f>SUM(R28:R30)</f>
        <v>0</v>
      </c>
      <c r="S31" s="592">
        <f>SUM(S28:S30)</f>
        <v>0</v>
      </c>
      <c r="T31" s="592">
        <f>SUM(T28:T30)</f>
        <v>0</v>
      </c>
      <c r="U31" s="592">
        <f>SUM(U28:U30)</f>
        <v>0</v>
      </c>
      <c r="V31" s="592">
        <f>SUM(V28:V30)</f>
        <v>0</v>
      </c>
      <c r="W31" s="592">
        <f>SUM(W28:W30)</f>
        <v>0</v>
      </c>
      <c r="X31" s="593"/>
      <c r="Y31" s="593"/>
      <c r="Z31" s="594"/>
    </row>
    <row r="32" spans="1:26" s="568" customFormat="1">
      <c r="A32" s="590" t="s">
        <v>276</v>
      </c>
      <c r="B32" s="591"/>
      <c r="C32" s="591"/>
      <c r="D32" s="591"/>
      <c r="E32" s="591"/>
      <c r="F32" s="591"/>
      <c r="G32" s="591"/>
      <c r="H32" s="591"/>
      <c r="I32" s="591"/>
      <c r="J32" s="591"/>
      <c r="K32" s="591"/>
      <c r="L32" s="592"/>
      <c r="M32" s="592">
        <f>SUMIF($Z$28:$Z$30,"industrie",M28:M30)</f>
        <v>2378</v>
      </c>
      <c r="N32" s="592">
        <f>SUMIF($Z$28:$Z$30,"industrie",N28:N30)</f>
        <v>10701</v>
      </c>
      <c r="O32" s="592">
        <f>SUMIF($Z$28:$Z$30,"industrie",O28:O30)</f>
        <v>15287.142857142857</v>
      </c>
      <c r="P32" s="592">
        <f>SUMIF($Z$28:$Z$30,"industrie",P28:P30)</f>
        <v>0</v>
      </c>
      <c r="Q32" s="592">
        <f>SUMIF($Z$28:$Z$30,"industrie",Q28:Q30)</f>
        <v>30574.285714285717</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277</v>
      </c>
      <c r="B33" s="591"/>
      <c r="C33" s="591"/>
      <c r="D33" s="591"/>
      <c r="E33" s="591"/>
      <c r="F33" s="591"/>
      <c r="G33" s="591"/>
      <c r="H33" s="591"/>
      <c r="I33" s="591"/>
      <c r="J33" s="591"/>
      <c r="K33" s="591"/>
      <c r="L33" s="592"/>
      <c r="M33" s="592">
        <f ca="1">SUMIF($Z$28:AC30,"tertiair",M28:M30)</f>
        <v>0</v>
      </c>
      <c r="N33" s="592">
        <f ca="1">SUMIF($Z$28:AD30,"tertiair",N28:N30)</f>
        <v>0</v>
      </c>
      <c r="O33" s="592">
        <f ca="1">SUMIF($Z$28:AE30,"tertiair",O28:O30)</f>
        <v>0</v>
      </c>
      <c r="P33" s="592">
        <f ca="1">SUMIF($Z$28:AF30,"tertiair",P28:P30)</f>
        <v>0</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278</v>
      </c>
      <c r="B34" s="596"/>
      <c r="C34" s="596"/>
      <c r="D34" s="596"/>
      <c r="E34" s="596"/>
      <c r="F34" s="596"/>
      <c r="G34" s="596"/>
      <c r="H34" s="596"/>
      <c r="I34" s="596"/>
      <c r="J34" s="596"/>
      <c r="K34" s="596"/>
      <c r="L34" s="597"/>
      <c r="M34" s="597">
        <f>SUMIF($Z$28:$Z$30,"landbouw",M28:M30)</f>
        <v>19.399999999999999</v>
      </c>
      <c r="N34" s="597">
        <f>SUMIF($Z$28:$Z$30,"landbouw",N28:N30)</f>
        <v>87.299999999999983</v>
      </c>
      <c r="O34" s="597">
        <f>SUMIF($Z$28:$Z$30,"landbouw",O28:O30)</f>
        <v>124.71428571428569</v>
      </c>
      <c r="P34" s="597">
        <f>SUMIF($Z$28:$Z$30,"landbouw",P28:P30)</f>
        <v>0</v>
      </c>
      <c r="Q34" s="597">
        <f>SUMIF($Z$28:$Z$30,"landbouw",Q28:Q30)</f>
        <v>249.42857142857139</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270</v>
      </c>
      <c r="B36" s="631" t="s">
        <v>89</v>
      </c>
      <c r="C36" s="631" t="s">
        <v>90</v>
      </c>
      <c r="D36" s="631"/>
      <c r="E36" s="631"/>
      <c r="F36" s="631"/>
      <c r="G36" s="631" t="s">
        <v>91</v>
      </c>
      <c r="H36" s="631" t="s">
        <v>92</v>
      </c>
      <c r="I36" s="631"/>
      <c r="J36" s="631"/>
      <c r="K36" s="631"/>
      <c r="L36" s="631" t="s">
        <v>93</v>
      </c>
      <c r="M36" s="632" t="s">
        <v>287</v>
      </c>
      <c r="N36" s="632" t="s">
        <v>94</v>
      </c>
      <c r="O36" s="632" t="s">
        <v>95</v>
      </c>
      <c r="P36" s="632" t="s">
        <v>511</v>
      </c>
      <c r="Q36" s="632" t="s">
        <v>96</v>
      </c>
      <c r="R36" s="632" t="s">
        <v>97</v>
      </c>
      <c r="S36" s="632" t="s">
        <v>98</v>
      </c>
      <c r="T36" s="632" t="s">
        <v>99</v>
      </c>
      <c r="U36" s="632" t="s">
        <v>100</v>
      </c>
      <c r="V36" s="632" t="s">
        <v>101</v>
      </c>
      <c r="W36" s="631" t="s">
        <v>102</v>
      </c>
      <c r="X36" s="631" t="s">
        <v>288</v>
      </c>
      <c r="Y36" s="631" t="s">
        <v>103</v>
      </c>
      <c r="Z36" s="633" t="s">
        <v>289</v>
      </c>
    </row>
    <row r="37" spans="1:27" s="603" customFormat="1" ht="12.75" hidden="1">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hidden="1">
      <c r="A38" s="590" t="s">
        <v>269</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276</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277</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278</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271</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272</v>
      </c>
      <c r="C46" s="614" t="s">
        <v>273</v>
      </c>
      <c r="D46" s="614"/>
      <c r="E46" s="614"/>
      <c r="F46" s="614"/>
      <c r="G46" s="614"/>
      <c r="H46" s="614"/>
      <c r="I46" s="615"/>
      <c r="J46" s="614"/>
      <c r="K46" s="614"/>
      <c r="L46" s="614"/>
      <c r="M46" s="614"/>
      <c r="N46" s="614"/>
      <c r="O46" s="614"/>
      <c r="P46" s="609"/>
    </row>
    <row r="47" spans="1:27">
      <c r="A47" s="611" t="s">
        <v>269</v>
      </c>
      <c r="B47" s="616">
        <f>IF(ISERROR(O31/(O31+N31)),0,O31/(O31+N31))</f>
        <v>0.58823529411764708</v>
      </c>
      <c r="C47" s="617">
        <f>IF(ISERROR(N31/(O31+N31)),0,N31/(N31+O31))</f>
        <v>0.41176470588235292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511</v>
      </c>
      <c r="C49" s="624" t="s">
        <v>96</v>
      </c>
      <c r="D49" s="624" t="s">
        <v>97</v>
      </c>
      <c r="E49" s="624" t="s">
        <v>98</v>
      </c>
      <c r="F49" s="624" t="s">
        <v>99</v>
      </c>
      <c r="G49" s="624" t="s">
        <v>100</v>
      </c>
      <c r="H49" s="624" t="s">
        <v>101</v>
      </c>
      <c r="I49" s="625" t="s">
        <v>102</v>
      </c>
      <c r="J49" s="614"/>
      <c r="K49" s="614"/>
      <c r="L49" s="622"/>
      <c r="M49" s="622"/>
      <c r="N49" s="622"/>
      <c r="O49" s="609"/>
      <c r="P49" s="609"/>
    </row>
    <row r="50" spans="1:16">
      <c r="A50" s="613" t="s">
        <v>274</v>
      </c>
      <c r="B50" s="626">
        <f t="shared" ref="B50:I50" si="2">$C$47*P31</f>
        <v>0</v>
      </c>
      <c r="C50" s="626">
        <f t="shared" si="2"/>
        <v>12692.117647058825</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275</v>
      </c>
      <c r="B51" s="629">
        <f t="shared" ref="B51:I51" si="3">$B$47*P31</f>
        <v>0</v>
      </c>
      <c r="C51" s="629">
        <f t="shared" si="3"/>
        <v>18131.596638655465</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2021-11-11T12:21:30Z</dcterms:modified>
</cp:coreProperties>
</file>