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C6A418FB-E05B-475F-A6FA-5FB497E99D35}"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AC25" i="5" l="1"/>
  <c r="P5" i="59"/>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D6" i="22" l="1"/>
  <c r="A3" i="23"/>
  <c r="B51" i="22" s="1"/>
  <c r="A4" i="23"/>
  <c r="A7" i="23"/>
  <c r="A8" i="23"/>
  <c r="A9" i="23"/>
  <c r="A10" i="23"/>
  <c r="A11" i="23"/>
  <c r="A12" i="23"/>
  <c r="A13" i="23"/>
  <c r="A14" i="23"/>
  <c r="A15" i="23"/>
  <c r="A16" i="23"/>
  <c r="A17" i="23"/>
  <c r="A18" i="23"/>
  <c r="A19" i="23"/>
  <c r="A20" i="23"/>
  <c r="A21" i="23"/>
  <c r="A22" i="23"/>
  <c r="A23" i="23"/>
  <c r="A24" i="23"/>
  <c r="A25" i="23"/>
  <c r="A26" i="23"/>
  <c r="A27" i="23"/>
  <c r="A28" i="23"/>
  <c r="A29" i="23"/>
  <c r="A30" i="23"/>
  <c r="D8" i="22" l="1"/>
  <c r="D10"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l="1"/>
  <c r="B34" i="13"/>
  <c r="B33" i="13"/>
  <c r="B36" i="13"/>
  <c r="F5" i="13" s="1"/>
  <c r="F8" i="13" s="1"/>
  <c r="G11" i="14" s="1"/>
  <c r="B32"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Q13" i="14" l="1"/>
  <c r="N46" i="14"/>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<sst xmlns="http://schemas.openxmlformats.org/spreadsheetml/2006/main" count="2417" uniqueCount="868">
  <si>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</si>
  <si>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</si>
  <si>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</si>
  <si>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</si>
  <si>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</si>
  <si>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</si>
  <si>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</si>
  <si>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</si>
  <si>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</si>
  <si>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</si>
  <si>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</si>
  <si>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</si>
  <si>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</si>
  <si>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</si>
  <si>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</si>
  <si>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</si>
  <si>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</si>
  <si>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</si>
  <si>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</si>
  <si>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</si>
  <si>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</si>
  <si>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</si>
  <si>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</si>
  <si>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</si>
  <si>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</si>
  <si>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</si>
  <si>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</si>
  <si>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</si>
  <si>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</si>
  <si>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</si>
  <si>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</si>
  <si>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</si>
  <si>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</si>
  <si>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</si>
  <si>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</si>
  <si>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</si>
  <si>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</si>
  <si>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</si>
  <si>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</si>
  <si>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</si>
  <si>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</si>
  <si>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</si>
  <si>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</si>
  <si>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</si>
  <si>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</si>
  <si>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</si>
  <si>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</si>
  <si>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</si>
  <si>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</si>
  <si>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</si>
  <si>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</si>
  <si>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</si>
  <si>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</si>
  <si>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</si>
  <si>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</si>
  <si>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</si>
  <si>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</si>
  <si>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</si>
  <si>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</si>
  <si>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</si>
  <si>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</si>
  <si>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</si>
  <si>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</si>
  <si>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</si>
  <si>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</si>
  <si>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</si>
  <si>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</si>
  <si>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</si>
  <si>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</si>
  <si>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</si>
  <si>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</si>
  <si>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</si>
  <si>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</si>
  <si>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</si>
  <si>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</si>
  <si>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</si>
  <si>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</si>
  <si>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</si>
  <si>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</si>
  <si>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</si>
  <si>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</si>
  <si>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</si>
  <si>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</si>
  <si>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</si>
  <si>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</si>
  <si>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</si>
  <si>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</si>
  <si>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</si>
  <si>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</si>
  <si>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</si>
  <si>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</si>
  <si>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</si>
  <si>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</si>
  <si>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</si>
  <si>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</si>
  <si>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</si>
  <si>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</si>
  <si>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</si>
  <si>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</si>
  <si>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</si>
  <si>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</si>
  <si>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</si>
  <si>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</si>
  <si>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</si>
  <si>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</si>
  <si>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</si>
  <si>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</si>
  <si>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</si>
  <si>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</si>
  <si>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</si>
  <si>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</si>
  <si>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</si>
  <si>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</si>
  <si>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</si>
  <si>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</si>
  <si>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</si>
  <si>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</si>
  <si>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</si>
  <si>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</si>
  <si>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</si>
  <si>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</si>
  <si>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</si>
  <si>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</si>
  <si>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</si>
  <si>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</si>
  <si>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</si>
  <si>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</si>
  <si>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</si>
  <si>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</si>
  <si>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</si>
  <si>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</si>
  <si>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</si>
  <si>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</si>
  <si>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</si>
  <si>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</si>
  <si>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</si>
  <si>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</si>
  <si>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</si>
  <si>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</si>
  <si>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</si>
  <si>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</si>
  <si>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</si>
  <si>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</si>
  <si>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</si>
  <si>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</si>
  <si>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</si>
  <si>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</si>
  <si>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</si>
  <si>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</si>
  <si>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</si>
  <si>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</si>
  <si>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</si>
  <si>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</si>
  <si>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</si>
  <si>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</si>
  <si>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</si>
  <si>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</si>
  <si>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</si>
  <si>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</si>
  <si>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</si>
  <si>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</si>
  <si>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</si>
  <si>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</si>
  <si>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</si>
  <si>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</si>
  <si>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</si>
  <si>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</si>
  <si>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</si>
  <si>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</si>
  <si>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</si>
  <si>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</si>
  <si>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</si>
  <si>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</si>
  <si>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</si>
  <si>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</si>
  <si>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</si>
  <si>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</si>
  <si>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</si>
  <si>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</si>
  <si>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</si>
  <si>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</si>
  <si>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</si>
  <si>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</si>
  <si>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</si>
  <si>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</si>
  <si>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</si>
  <si>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</si>
  <si>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</si>
  <si>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</si>
  <si>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</si>
  <si>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</si>
  <si>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</si>
  <si>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</si>
  <si>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</si>
  <si>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</si>
  <si>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</si>
  <si>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</si>
  <si>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</si>
  <si>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</si>
  <si>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</si>
  <si>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</si>
  <si>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</si>
  <si>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</si>
  <si>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</si>
  <si>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</si>
  <si>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</si>
  <si>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</si>
  <si>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</si>
  <si>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</si>
  <si>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</si>
  <si>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</si>
  <si>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</si>
  <si>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</si>
  <si>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</si>
  <si>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</si>
  <si>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</si>
  <si>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</si>
  <si>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</si>
  <si>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</si>
  <si>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</si>
  <si>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</si>
  <si>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</si>
  <si>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</si>
  <si>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</si>
  <si>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</si>
  <si>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</si>
  <si>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</si>
  <si>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</si>
  <si>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</si>
  <si>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</si>
  <si>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</si>
  <si>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</si>
  <si>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</si>
  <si>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</si>
  <si>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</si>
  <si>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</si>
  <si>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</si>
  <si>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</si>
  <si>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</si>
  <si>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</si>
  <si>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</si>
  <si>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</si>
  <si>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</si>
  <si>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</si>
  <si>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</si>
  <si>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</si>
  <si>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</si>
  <si>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</si>
  <si>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</si>
  <si>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</si>
  <si>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</si>
  <si>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</si>
  <si>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</si>
  <si>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</si>
  <si>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</si>
  <si>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</si>
  <si>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</si>
  <si>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</si>
  <si>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</si>
  <si>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</si>
  <si>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</si>
  <si>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</si>
  <si>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</si>
  <si>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</si>
  <si>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</si>
  <si>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</si>
  <si>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</si>
  <si>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</si>
  <si>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</si>
  <si>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</si>
  <si>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</si>
  <si>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</si>
  <si>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</si>
  <si>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</si>
  <si>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</si>
  <si>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</si>
  <si>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</si>
  <si>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</si>
  <si>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</si>
  <si>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</si>
  <si>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</si>
  <si>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</si>
  <si>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</si>
  <si>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</si>
  <si>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</si>
  <si>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</si>
  <si>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</si>
  <si>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</si>
  <si>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</si>
  <si>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</si>
  <si>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</si>
  <si>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</si>
  <si>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</si>
  <si>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</si>
  <si>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</si>
  <si>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</si>
  <si>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</si>
  <si>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</si>
  <si>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</si>
  <si>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</si>
  <si>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</si>
  <si>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</si>
  <si>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</si>
  <si>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</si>
  <si>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</si>
  <si>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</si>
  <si>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</si>
  <si>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</si>
  <si>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</si>
  <si>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</si>
  <si>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</si>
  <si>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</si>
  <si>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</si>
  <si>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</si>
  <si>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</si>
  <si>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</si>
  <si>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</si>
  <si>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</si>
  <si>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</si>
  <si>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</si>
  <si>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</si>
  <si>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</si>
  <si>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</si>
  <si>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</si>
  <si>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</si>
  <si>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</si>
  <si>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</si>
  <si>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</si>
  <si>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</si>
  <si>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</si>
  <si>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</si>
  <si>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</si>
  <si>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</si>
  <si>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</si>
  <si>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</si>
  <si>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</si>
  <si>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</si>
  <si>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</si>
  <si>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</si>
  <si>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</si>
  <si>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</si>
  <si>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</si>
  <si>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</si>
  <si>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</si>
  <si>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</si>
  <si>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</si>
  <si>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</si>
  <si>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</si>
  <si>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</si>
  <si>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</si>
  <si>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</si>
  <si>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</si>
  <si>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</si>
  <si>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</si>
  <si>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</si>
  <si>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</si>
  <si>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</si>
  <si>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</si>
  <si>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</si>
  <si>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</si>
  <si>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</si>
  <si>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</si>
  <si>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</si>
  <si>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</si>
  <si>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</si>
  <si>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</si>
  <si>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</si>
  <si>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</si>
  <si>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</si>
  <si>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</si>
  <si>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</si>
  <si>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</si>
  <si>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</si>
  <si>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</si>
  <si>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</si>
  <si>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</si>
  <si>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</si>
  <si>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</si>
  <si>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</si>
  <si>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</si>
  <si>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</si>
  <si>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</si>
  <si>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</si>
  <si>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</si>
  <si>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</si>
  <si>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</si>
  <si>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</si>
  <si>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</si>
  <si>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</si>
  <si>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</si>
  <si>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</si>
  <si>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</si>
  <si>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</si>
  <si>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</si>
  <si>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</si>
  <si>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</si>
  <si>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</si>
  <si>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</si>
  <si>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</si>
  <si>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</si>
  <si>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</si>
  <si>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</si>
  <si>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</si>
  <si>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</si>
  <si>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</si>
  <si>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</si>
  <si>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</si>
  <si>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</si>
  <si>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</si>
  <si>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</si>
  <si>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</si>
  <si>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</si>
  <si>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</si>
  <si>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</si>
  <si>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</si>
  <si>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</si>
  <si>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</si>
  <si>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</si>
  <si>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</si>
  <si>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</si>
  <si>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</si>
  <si>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</si>
  <si>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</si>
  <si>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</si>
  <si>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</si>
  <si>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</si>
  <si>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</si>
  <si>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</si>
  <si>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</si>
  <si>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</si>
  <si>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</si>
  <si>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</si>
  <si>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</si>
  <si>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</si>
  <si>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</si>
  <si>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</si>
  <si>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</si>
  <si>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</si>
  <si>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</si>
  <si>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</si>
  <si>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</si>
  <si>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</si>
  <si>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</si>
  <si>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</si>
  <si>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</si>
  <si>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</si>
  <si>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</si>
  <si>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</si>
  <si>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</si>
  <si>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</si>
  <si>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</si>
  <si>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</si>
  <si>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</si>
  <si>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</si>
  <si>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</si>
  <si>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</si>
  <si>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</si>
  <si>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</si>
  <si>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</si>
  <si>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</si>
  <si>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</si>
  <si>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</si>
  <si>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</si>
  <si>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</si>
  <si>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</si>
  <si>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</si>
  <si>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</si>
  <si>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</si>
  <si>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</si>
  <si>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</si>
  <si>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</si>
  <si>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</si>
  <si>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</si>
  <si>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</si>
  <si>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</si>
  <si>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</si>
  <si>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</si>
  <si>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</si>
  <si>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</si>
  <si>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</si>
  <si>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</si>
  <si>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</si>
  <si>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</si>
  <si>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</si>
  <si>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</si>
  <si>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</si>
  <si>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</si>
  <si>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</si>
  <si>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</si>
  <si>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</si>
  <si>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</si>
  <si>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</si>
  <si>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</si>
  <si>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</si>
  <si>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</si>
  <si>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</si>
  <si>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</si>
  <si>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</si>
  <si>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</si>
  <si>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</si>
  <si>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</si>
  <si>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</si>
  <si>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</si>
  <si>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</si>
  <si>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</si>
  <si>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</si>
  <si>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</si>
  <si>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</si>
  <si>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</si>
  <si>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</si>
  <si>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</si>
  <si>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</si>
  <si>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</si>
  <si>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</si>
  <si>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</si>
  <si>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</si>
  <si>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</si>
  <si>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</si>
  <si>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</si>
  <si>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</si>
  <si>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</si>
  <si>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</si>
  <si>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</si>
  <si>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</si>
  <si>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</si>
  <si>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</si>
  <si>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</si>
  <si>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</si>
  <si>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</si>
  <si>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</si>
  <si>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</si>
  <si>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</si>
  <si>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</si>
  <si>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</si>
  <si>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</si>
  <si>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</si>
  <si>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</si>
  <si>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</si>
  <si>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</si>
  <si>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</si>
  <si>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</si>
  <si>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</si>
  <si>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</si>
  <si>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</si>
  <si>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</si>
  <si>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</si>
  <si>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</si>
  <si>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</si>
  <si>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</si>
  <si>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</si>
  <si>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</si>
  <si>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</si>
  <si>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</si>
  <si>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</si>
  <si>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</si>
  <si>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</si>
  <si>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</si>
  <si>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</si>
  <si>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</si>
  <si>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</si>
  <si>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</si>
  <si>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</si>
  <si>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</si>
  <si>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</si>
  <si>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</si>
  <si>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</si>
  <si>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</si>
  <si>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</si>
  <si>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</si>
  <si>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</si>
  <si>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</si>
  <si>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</si>
  <si>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</si>
  <si>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</si>
  <si>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</si>
  <si>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</si>
  <si>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</si>
  <si>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</si>
  <si>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</si>
  <si>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</si>
  <si>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</si>
  <si>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</si>
  <si>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</si>
  <si>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</si>
  <si>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</si>
  <si>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</si>
  <si>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</si>
  <si>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</si>
  <si>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</si>
  <si>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</si>
  <si>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</si>
  <si>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</si>
  <si>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</si>
  <si>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</si>
  <si>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</si>
  <si>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</si>
  <si>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</si>
  <si>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</si>
  <si>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</si>
  <si>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</si>
  <si>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</si>
  <si>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</si>
  <si>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</si>
  <si>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</si>
  <si>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</si>
  <si>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</si>
  <si>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</si>
  <si>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</si>
  <si>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</si>
  <si>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</si>
  <si>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</si>
  <si>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</si>
  <si>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</si>
  <si>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</si>
  <si>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</si>
  <si>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</si>
  <si>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</si>
  <si>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</si>
  <si>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</si>
  <si>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</si>
  <si>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</si>
  <si>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</si>
  <si>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</si>
  <si>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</si>
  <si>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</si>
  <si>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</si>
  <si>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</si>
  <si>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</si>
  <si>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</si>
  <si>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</si>
  <si>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</si>
  <si>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</si>
  <si>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</si>
  <si>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</si>
  <si>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</si>
  <si>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</si>
  <si>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</si>
  <si>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</si>
  <si>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</si>
  <si>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</si>
  <si>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</si>
  <si>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</si>
  <si>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</si>
  <si>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</si>
  <si>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</si>
  <si>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</si>
  <si>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</si>
  <si>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</si>
  <si>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</si>
  <si>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</si>
  <si>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</si>
  <si>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</si>
  <si>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</si>
  <si>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</si>
  <si>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</si>
  <si>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</si>
  <si>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</si>
  <si>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</si>
  <si>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</si>
  <si>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</si>
  <si>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</si>
  <si>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</si>
  <si>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</si>
  <si>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</si>
  <si>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</si>
  <si>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</si>
  <si>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</si>
  <si>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</si>
  <si>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</si>
  <si>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</si>
  <si>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</si>
  <si>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</si>
  <si>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</si>
  <si>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</si>
  <si>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</si>
  <si>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</si>
  <si>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</si>
  <si>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</si>
  <si>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</si>
  <si>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</si>
  <si>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</si>
  <si>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</si>
  <si>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</si>
  <si>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</si>
  <si>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</si>
  <si>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</si>
  <si>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</si>
  <si>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</si>
  <si>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</si>
  <si>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</si>
  <si>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</si>
  <si>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</si>
  <si>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</si>
  <si>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</si>
  <si>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</si>
  <si>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</si>
  <si>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</si>
  <si>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</si>
  <si>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</si>
  <si>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</si>
  <si>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</si>
  <si>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</si>
  <si>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</si>
  <si>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</si>
  <si>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</si>
  <si>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</si>
  <si>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</si>
  <si>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</si>
  <si>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</si>
  <si>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</si>
  <si>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</si>
  <si>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</si>
  <si>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</si>
  <si>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</si>
  <si>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</si>
  <si>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</si>
  <si>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</si>
  <si>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</si>
  <si>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</si>
  <si>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</si>
  <si>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</si>
  <si>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</si>
  <si>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</si>
  <si>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</si>
  <si>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</si>
  <si>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</si>
  <si>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</si>
  <si>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</si>
  <si>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</si>
  <si>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</si>
  <si>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</si>
  <si>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</si>
  <si>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</si>
  <si>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</si>
  <si>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</si>
  <si>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</si>
  <si>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</si>
  <si>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</si>
  <si>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</si>
  <si>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</si>
  <si>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</si>
  <si>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</si>
  <si>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</si>
  <si>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</si>
  <si>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</si>
  <si>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</si>
  <si>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</si>
  <si>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</si>
  <si>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</si>
  <si>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</si>
  <si>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</si>
  <si>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</si>
  <si>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</si>
  <si>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</si>
  <si>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</si>
  <si>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</si>
  <si>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</si>
  <si>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</si>
  <si>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</si>
  <si>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</si>
  <si>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</si>
  <si>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</si>
  <si>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</si>
  <si>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</si>
  <si>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</si>
  <si>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</si>
  <si>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</si>
  <si>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</si>
  <si>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</si>
  <si>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</si>
  <si>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</si>
  <si>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</si>
  <si>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</si>
  <si>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</si>
  <si>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</si>
  <si>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</si>
  <si>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</si>
  <si>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</si>
  <si>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</si>
  <si>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</si>
  <si>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</si>
  <si>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</si>
  <si>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</si>
  <si>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</si>
  <si>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</si>
  <si>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</si>
  <si>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</si>
  <si>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</si>
  <si>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</si>
  <si>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</si>
  <si>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</si>
  <si>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</si>
  <si>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</si>
  <si>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</si>
  <si>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</si>
  <si>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</si>
  <si>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</si>
  <si>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</si>
  <si>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</si>
  <si>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</si>
  <si>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</si>
  <si>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</si>
  <si>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</si>
  <si>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</si>
  <si>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</si>
  <si>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</si>
  <si>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</si>
  <si>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</si>
  <si>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</si>
  <si>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</si>
  <si>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</si>
  <si>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</si>
  <si>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</si>
  <si>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</si>
  <si>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</si>
  <si>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</si>
  <si>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</si>
  <si>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</si>
  <si>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</si>
  <si>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</si>
  <si>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</si>
  <si>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</si>
  <si>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</si>
  <si>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</si>
  <si>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</si>
  <si>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</si>
  <si>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</si>
  <si>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</si>
  <si>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</si>
  <si>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</si>
  <si>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</si>
  <si>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</si>
  <si>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</si>
  <si>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</si>
  <si>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</si>
  <si>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</si>
  <si>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</si>
  <si>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</si>
  <si>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</si>
  <si>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</si>
  <si>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</si>
  <si>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</si>
  <si>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</si>
  <si>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</si>
  <si>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</si>
  <si>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</si>
  <si>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</si>
  <si>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</si>
  <si>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</si>
  <si>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</si>
  <si>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</si>
  <si>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</si>
  <si>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</si>
  <si>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</si>
  <si>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</si>
  <si>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</si>
  <si>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</si>
  <si>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</si>
  <si>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</si>
  <si>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</si>
  <si>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</si>
  <si>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</si>
  <si>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</si>
  <si>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</si>
  <si>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72021</t>
  </si>
  <si>
    <t>MAASEIK</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</si>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</sst>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BD8C2CFB-B303-46DE-80BE-37757761D391}"/>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212417.73938491687</c:v>
                </c:pt>
                <c:pt idx="1">
                  <c:v>76261.892681904923</c:v>
                </c:pt>
                <c:pt idx="2">
                  <c:v>1462.528174</c:v>
                </c:pt>
                <c:pt idx="3">
                  <c:v>13696.884411533278</c:v>
                </c:pt>
                <c:pt idx="4">
                  <c:v>21152.537052185649</c:v>
                </c:pt>
                <c:pt idx="5">
                  <c:v>98808.212606563276</c:v>
                </c:pt>
                <c:pt idx="6">
                  <c:v>2272.9149944347796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212417.73938491687</c:v>
                </c:pt>
                <c:pt idx="1">
                  <c:v>76261.892681904923</c:v>
                </c:pt>
                <c:pt idx="2">
                  <c:v>1462.528174</c:v>
                </c:pt>
                <c:pt idx="3">
                  <c:v>13696.884411533278</c:v>
                </c:pt>
                <c:pt idx="4">
                  <c:v>21152.537052185649</c:v>
                </c:pt>
                <c:pt idx="5">
                  <c:v>98808.212606563276</c:v>
                </c:pt>
                <c:pt idx="6">
                  <c:v>2272.9149944347796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41749.847859620546</c:v>
                </c:pt>
                <c:pt idx="1">
                  <c:v>13884.385183477778</c:v>
                </c:pt>
                <c:pt idx="2">
                  <c:v>222.33691983923728</c:v>
                </c:pt>
                <c:pt idx="3">
                  <c:v>3272.8093345260031</c:v>
                </c:pt>
                <c:pt idx="4">
                  <c:v>3764.2313360058452</c:v>
                </c:pt>
                <c:pt idx="5">
                  <c:v>24406.192307689787</c:v>
                </c:pt>
                <c:pt idx="6">
                  <c:v>570.51669570783099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41749.847859620546</c:v>
                </c:pt>
                <c:pt idx="1">
                  <c:v>13884.385183477778</c:v>
                </c:pt>
                <c:pt idx="2">
                  <c:v>222.33691983923728</c:v>
                </c:pt>
                <c:pt idx="3">
                  <c:v>3272.8093345260031</c:v>
                </c:pt>
                <c:pt idx="4">
                  <c:v>3764.2313360058452</c:v>
                </c:pt>
                <c:pt idx="5">
                  <c:v>24406.192307689787</c:v>
                </c:pt>
                <c:pt idx="6">
                  <c:v>570.51669570783099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72021</v>
      </c>
      <c r="B6" s="384"/>
      <c r="C6" s="385"/>
    </row>
    <row r="7" spans="1:7" s="382" customFormat="1" ht="15.75" customHeight="1">
      <c r="A7" s="386" t="str">
        <f>txtMunicipality</f>
        <v>MAASEIK</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31512.906580000003</v>
      </c>
      <c r="D10" s="681">
        <f ca="1">tertiair!C16</f>
        <v>0</v>
      </c>
      <c r="E10" s="681">
        <f ca="1">tertiair!D16</f>
        <v>35775.378085797005</v>
      </c>
      <c r="F10" s="681">
        <f>tertiair!E16</f>
        <v>139.19733159059922</v>
      </c>
      <c r="G10" s="681">
        <f ca="1">tertiair!F16</f>
        <v>7707.1582003676149</v>
      </c>
      <c r="H10" s="681">
        <f>tertiair!G16</f>
        <v>0</v>
      </c>
      <c r="I10" s="681">
        <f>tertiair!H16</f>
        <v>0</v>
      </c>
      <c r="J10" s="681">
        <f>tertiair!I16</f>
        <v>0</v>
      </c>
      <c r="K10" s="681">
        <f>tertiair!J16</f>
        <v>6.1193171858517477E-2</v>
      </c>
      <c r="L10" s="681">
        <f>tertiair!K16</f>
        <v>0</v>
      </c>
      <c r="M10" s="681">
        <f ca="1">tertiair!L16</f>
        <v>0</v>
      </c>
      <c r="N10" s="681">
        <f>tertiair!M16</f>
        <v>0</v>
      </c>
      <c r="O10" s="681">
        <f ca="1">tertiair!N16</f>
        <v>2369.7683902201711</v>
      </c>
      <c r="P10" s="681">
        <f>tertiair!O16</f>
        <v>9.7945215316823084</v>
      </c>
      <c r="Q10" s="682">
        <f>tertiair!P16</f>
        <v>210.15655322598008</v>
      </c>
      <c r="R10" s="684">
        <f ca="1">SUM(C10:Q10)</f>
        <v>77724.420855904915</v>
      </c>
      <c r="S10" s="67"/>
    </row>
    <row r="11" spans="1:19" s="443" customFormat="1">
      <c r="A11" s="802" t="s">
        <v>214</v>
      </c>
      <c r="B11" s="807"/>
      <c r="C11" s="681">
        <f>huishoudens!B8</f>
        <v>43452.496558277038</v>
      </c>
      <c r="D11" s="681">
        <f>huishoudens!C8</f>
        <v>0</v>
      </c>
      <c r="E11" s="681">
        <f>huishoudens!D8</f>
        <v>84577.58813941518</v>
      </c>
      <c r="F11" s="681">
        <f>huishoudens!E8</f>
        <v>2950.7612988678461</v>
      </c>
      <c r="G11" s="681">
        <f>huishoudens!F8</f>
        <v>64641.163036543003</v>
      </c>
      <c r="H11" s="681">
        <f>huishoudens!G8</f>
        <v>0</v>
      </c>
      <c r="I11" s="681">
        <f>huishoudens!H8</f>
        <v>0</v>
      </c>
      <c r="J11" s="681">
        <f>huishoudens!I8</f>
        <v>0</v>
      </c>
      <c r="K11" s="681">
        <f>huishoudens!J8</f>
        <v>368.39705819219739</v>
      </c>
      <c r="L11" s="681">
        <f>huishoudens!K8</f>
        <v>0</v>
      </c>
      <c r="M11" s="681">
        <f>huishoudens!L8</f>
        <v>0</v>
      </c>
      <c r="N11" s="681">
        <f>huishoudens!M8</f>
        <v>0</v>
      </c>
      <c r="O11" s="681">
        <f>huishoudens!N8</f>
        <v>14530.565312164261</v>
      </c>
      <c r="P11" s="681">
        <f>huishoudens!O8</f>
        <v>738.03245761197581</v>
      </c>
      <c r="Q11" s="682">
        <f>huishoudens!P8</f>
        <v>1158.7355238453526</v>
      </c>
      <c r="R11" s="684">
        <f>SUM(C11:Q11)</f>
        <v>212417.73938491687</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7058.8668659999994</v>
      </c>
      <c r="D13" s="681">
        <f>industrie!C18</f>
        <v>0</v>
      </c>
      <c r="E13" s="681">
        <f>industrie!D18</f>
        <v>10838.776858644</v>
      </c>
      <c r="F13" s="681">
        <f>industrie!E18</f>
        <v>56.22462674525638</v>
      </c>
      <c r="G13" s="681">
        <f>industrie!F18</f>
        <v>1721.5447352124063</v>
      </c>
      <c r="H13" s="681">
        <f>industrie!G18</f>
        <v>0</v>
      </c>
      <c r="I13" s="681">
        <f>industrie!H18</f>
        <v>0</v>
      </c>
      <c r="J13" s="681">
        <f>industrie!I18</f>
        <v>0</v>
      </c>
      <c r="K13" s="681">
        <f>industrie!J18</f>
        <v>82.705334892999531</v>
      </c>
      <c r="L13" s="681">
        <f>industrie!K18</f>
        <v>0</v>
      </c>
      <c r="M13" s="681">
        <f>industrie!L18</f>
        <v>0</v>
      </c>
      <c r="N13" s="681">
        <f>industrie!M18</f>
        <v>0</v>
      </c>
      <c r="O13" s="681">
        <f>industrie!N18</f>
        <v>1394.4186306909871</v>
      </c>
      <c r="P13" s="681">
        <f>industrie!O18</f>
        <v>0</v>
      </c>
      <c r="Q13" s="682">
        <f>industrie!P18</f>
        <v>0</v>
      </c>
      <c r="R13" s="684">
        <f>SUM(C13:Q13)</f>
        <v>21152.537052185649</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82024.27000427703</v>
      </c>
      <c r="D16" s="717">
        <f t="shared" ref="D16:R16" ca="1" si="0">SUM(D9:D15)</f>
        <v>0</v>
      </c>
      <c r="E16" s="717">
        <f t="shared" ca="1" si="0"/>
        <v>131191.74308385618</v>
      </c>
      <c r="F16" s="717">
        <f t="shared" si="0"/>
        <v>3146.1832572037019</v>
      </c>
      <c r="G16" s="717">
        <f t="shared" ca="1" si="0"/>
        <v>74069.865972123021</v>
      </c>
      <c r="H16" s="717">
        <f t="shared" si="0"/>
        <v>0</v>
      </c>
      <c r="I16" s="717">
        <f t="shared" si="0"/>
        <v>0</v>
      </c>
      <c r="J16" s="717">
        <f t="shared" si="0"/>
        <v>0</v>
      </c>
      <c r="K16" s="717">
        <f t="shared" si="0"/>
        <v>451.16358625705544</v>
      </c>
      <c r="L16" s="717">
        <f t="shared" si="0"/>
        <v>0</v>
      </c>
      <c r="M16" s="717">
        <f t="shared" ca="1" si="0"/>
        <v>0</v>
      </c>
      <c r="N16" s="717">
        <f t="shared" si="0"/>
        <v>0</v>
      </c>
      <c r="O16" s="717">
        <f t="shared" ca="1" si="0"/>
        <v>18294.752333075419</v>
      </c>
      <c r="P16" s="717">
        <f t="shared" si="0"/>
        <v>747.82697914365815</v>
      </c>
      <c r="Q16" s="717">
        <f t="shared" si="0"/>
        <v>1368.8920770713328</v>
      </c>
      <c r="R16" s="717">
        <f t="shared" ca="1" si="0"/>
        <v>311294.6972930074</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33.82437288433286</v>
      </c>
      <c r="D19" s="681">
        <f>transport!C54</f>
        <v>0</v>
      </c>
      <c r="E19" s="681">
        <f>transport!D54</f>
        <v>0</v>
      </c>
      <c r="F19" s="681">
        <f>transport!E54</f>
        <v>0</v>
      </c>
      <c r="G19" s="681">
        <f>transport!F54</f>
        <v>0</v>
      </c>
      <c r="H19" s="681">
        <f>transport!G54</f>
        <v>2117.5080008002578</v>
      </c>
      <c r="I19" s="681">
        <f>transport!H54</f>
        <v>0</v>
      </c>
      <c r="J19" s="681">
        <f>transport!I54</f>
        <v>0</v>
      </c>
      <c r="K19" s="681">
        <f>transport!J54</f>
        <v>0</v>
      </c>
      <c r="L19" s="681">
        <f>transport!K54</f>
        <v>0</v>
      </c>
      <c r="M19" s="681">
        <f>transport!L54</f>
        <v>0</v>
      </c>
      <c r="N19" s="681">
        <f>transport!M54</f>
        <v>121.58262075018928</v>
      </c>
      <c r="O19" s="681">
        <f>transport!N54</f>
        <v>0</v>
      </c>
      <c r="P19" s="681">
        <f>transport!O54</f>
        <v>0</v>
      </c>
      <c r="Q19" s="682">
        <f>transport!P54</f>
        <v>0</v>
      </c>
      <c r="R19" s="684">
        <f>SUM(C19:Q19)</f>
        <v>2272.9149944347796</v>
      </c>
      <c r="S19" s="67"/>
    </row>
    <row r="20" spans="1:19" s="443" customFormat="1">
      <c r="A20" s="802" t="s">
        <v>296</v>
      </c>
      <c r="B20" s="807"/>
      <c r="C20" s="681">
        <f>transport!B14</f>
        <v>256.92995257403027</v>
      </c>
      <c r="D20" s="681">
        <f>transport!C14</f>
        <v>0</v>
      </c>
      <c r="E20" s="681">
        <f>transport!D14</f>
        <v>467.24410997120015</v>
      </c>
      <c r="F20" s="681">
        <f>transport!E14</f>
        <v>182.77469561782016</v>
      </c>
      <c r="G20" s="681">
        <f>transport!F14</f>
        <v>0</v>
      </c>
      <c r="H20" s="681">
        <f>transport!G14</f>
        <v>69446.548760840844</v>
      </c>
      <c r="I20" s="681">
        <f>transport!H14</f>
        <v>22847.516209051606</v>
      </c>
      <c r="J20" s="681">
        <f>transport!I14</f>
        <v>0</v>
      </c>
      <c r="K20" s="681">
        <f>transport!J14</f>
        <v>0</v>
      </c>
      <c r="L20" s="681">
        <f>transport!K14</f>
        <v>0</v>
      </c>
      <c r="M20" s="681">
        <f>transport!L14</f>
        <v>0</v>
      </c>
      <c r="N20" s="681">
        <f>transport!M14</f>
        <v>5607.198878507771</v>
      </c>
      <c r="O20" s="681">
        <f>transport!N14</f>
        <v>0</v>
      </c>
      <c r="P20" s="681">
        <f>transport!O14</f>
        <v>0</v>
      </c>
      <c r="Q20" s="682">
        <f>transport!P14</f>
        <v>0</v>
      </c>
      <c r="R20" s="684">
        <f>SUM(C20:Q20)</f>
        <v>98808.212606563276</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290.75432545836316</v>
      </c>
      <c r="D22" s="805">
        <f t="shared" ref="D22:R22" si="1">SUM(D18:D21)</f>
        <v>0</v>
      </c>
      <c r="E22" s="805">
        <f t="shared" si="1"/>
        <v>467.24410997120015</v>
      </c>
      <c r="F22" s="805">
        <f t="shared" si="1"/>
        <v>182.77469561782016</v>
      </c>
      <c r="G22" s="805">
        <f t="shared" si="1"/>
        <v>0</v>
      </c>
      <c r="H22" s="805">
        <f t="shared" si="1"/>
        <v>71564.056761641099</v>
      </c>
      <c r="I22" s="805">
        <f t="shared" si="1"/>
        <v>22847.516209051606</v>
      </c>
      <c r="J22" s="805">
        <f t="shared" si="1"/>
        <v>0</v>
      </c>
      <c r="K22" s="805">
        <f t="shared" si="1"/>
        <v>0</v>
      </c>
      <c r="L22" s="805">
        <f t="shared" si="1"/>
        <v>0</v>
      </c>
      <c r="M22" s="805">
        <f t="shared" si="1"/>
        <v>0</v>
      </c>
      <c r="N22" s="805">
        <f t="shared" si="1"/>
        <v>5728.7814992579606</v>
      </c>
      <c r="O22" s="805">
        <f t="shared" si="1"/>
        <v>0</v>
      </c>
      <c r="P22" s="805">
        <f t="shared" si="1"/>
        <v>0</v>
      </c>
      <c r="Q22" s="805">
        <f t="shared" si="1"/>
        <v>0</v>
      </c>
      <c r="R22" s="805">
        <f t="shared" si="1"/>
        <v>101081.12760099805</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2593.1604309999998</v>
      </c>
      <c r="D24" s="681">
        <f>+landbouw!C8</f>
        <v>0</v>
      </c>
      <c r="E24" s="681">
        <f>+landbouw!D8</f>
        <v>2161.4858169030003</v>
      </c>
      <c r="F24" s="681">
        <f>+landbouw!E8</f>
        <v>74.272503174720796</v>
      </c>
      <c r="G24" s="681">
        <f>+landbouw!F8</f>
        <v>8208.606394292623</v>
      </c>
      <c r="H24" s="681">
        <f>+landbouw!G8</f>
        <v>0</v>
      </c>
      <c r="I24" s="681">
        <f>+landbouw!H8</f>
        <v>0</v>
      </c>
      <c r="J24" s="681">
        <f>+landbouw!I8</f>
        <v>0</v>
      </c>
      <c r="K24" s="681">
        <f>+landbouw!J8</f>
        <v>659.359266162935</v>
      </c>
      <c r="L24" s="681">
        <f>+landbouw!K8</f>
        <v>0</v>
      </c>
      <c r="M24" s="681">
        <f>+landbouw!L8</f>
        <v>0</v>
      </c>
      <c r="N24" s="681">
        <f>+landbouw!M8</f>
        <v>0</v>
      </c>
      <c r="O24" s="681">
        <f>+landbouw!N8</f>
        <v>0</v>
      </c>
      <c r="P24" s="681">
        <f>+landbouw!O8</f>
        <v>0</v>
      </c>
      <c r="Q24" s="682">
        <f>+landbouw!P8</f>
        <v>0</v>
      </c>
      <c r="R24" s="684">
        <f>SUM(C24:Q24)</f>
        <v>13696.884411533278</v>
      </c>
      <c r="S24" s="67"/>
    </row>
    <row r="25" spans="1:19" s="443" customFormat="1" ht="15" thickBot="1">
      <c r="A25" s="824" t="s">
        <v>690</v>
      </c>
      <c r="B25" s="937"/>
      <c r="C25" s="938">
        <f>IF(Onbekend_ele_kWh="---",0,Onbekend_ele_kWh)/1000+IF(REST_rest_ele_kWh="---",0,REST_rest_ele_kWh)/1000</f>
        <v>1263.304519</v>
      </c>
      <c r="D25" s="938"/>
      <c r="E25" s="938">
        <f>IF(onbekend_gas_kWh="---",0,onbekend_gas_kWh)/1000+IF(REST_rest_gas_kWh="---",0,REST_rest_gas_kWh)/1000</f>
        <v>3733.4365339999999</v>
      </c>
      <c r="F25" s="938"/>
      <c r="G25" s="938"/>
      <c r="H25" s="938"/>
      <c r="I25" s="938"/>
      <c r="J25" s="938"/>
      <c r="K25" s="938"/>
      <c r="L25" s="938"/>
      <c r="M25" s="938"/>
      <c r="N25" s="938"/>
      <c r="O25" s="938"/>
      <c r="P25" s="938"/>
      <c r="Q25" s="939"/>
      <c r="R25" s="684">
        <f>SUM(C25:Q25)</f>
        <v>4996.7410529999997</v>
      </c>
      <c r="S25" s="67"/>
    </row>
    <row r="26" spans="1:19" s="443" customFormat="1" ht="15.75" thickBot="1">
      <c r="A26" s="689" t="s">
        <v>691</v>
      </c>
      <c r="B26" s="810"/>
      <c r="C26" s="805">
        <f>SUM(C24:C25)</f>
        <v>3856.4649499999996</v>
      </c>
      <c r="D26" s="805">
        <f t="shared" ref="D26:R26" si="2">SUM(D24:D25)</f>
        <v>0</v>
      </c>
      <c r="E26" s="805">
        <f t="shared" si="2"/>
        <v>5894.9223509029998</v>
      </c>
      <c r="F26" s="805">
        <f t="shared" si="2"/>
        <v>74.272503174720796</v>
      </c>
      <c r="G26" s="805">
        <f t="shared" si="2"/>
        <v>8208.606394292623</v>
      </c>
      <c r="H26" s="805">
        <f t="shared" si="2"/>
        <v>0</v>
      </c>
      <c r="I26" s="805">
        <f t="shared" si="2"/>
        <v>0</v>
      </c>
      <c r="J26" s="805">
        <f t="shared" si="2"/>
        <v>0</v>
      </c>
      <c r="K26" s="805">
        <f t="shared" si="2"/>
        <v>659.359266162935</v>
      </c>
      <c r="L26" s="805">
        <f t="shared" si="2"/>
        <v>0</v>
      </c>
      <c r="M26" s="805">
        <f t="shared" si="2"/>
        <v>0</v>
      </c>
      <c r="N26" s="805">
        <f t="shared" si="2"/>
        <v>0</v>
      </c>
      <c r="O26" s="805">
        <f t="shared" si="2"/>
        <v>0</v>
      </c>
      <c r="P26" s="805">
        <f t="shared" si="2"/>
        <v>0</v>
      </c>
      <c r="Q26" s="805">
        <f t="shared" si="2"/>
        <v>0</v>
      </c>
      <c r="R26" s="805">
        <f t="shared" si="2"/>
        <v>18693.625464533277</v>
      </c>
      <c r="S26" s="67"/>
    </row>
    <row r="27" spans="1:19" s="443" customFormat="1" ht="17.25" thickTop="1" thickBot="1">
      <c r="A27" s="690" t="s">
        <v>109</v>
      </c>
      <c r="B27" s="797"/>
      <c r="C27" s="691">
        <f ca="1">C22+C16+C26</f>
        <v>86171.489279735382</v>
      </c>
      <c r="D27" s="691">
        <f t="shared" ref="D27:R27" ca="1" si="3">D22+D16+D26</f>
        <v>0</v>
      </c>
      <c r="E27" s="691">
        <f t="shared" ca="1" si="3"/>
        <v>137553.90954473038</v>
      </c>
      <c r="F27" s="691">
        <f t="shared" si="3"/>
        <v>3403.2304559962431</v>
      </c>
      <c r="G27" s="691">
        <f t="shared" ca="1" si="3"/>
        <v>82278.472366415648</v>
      </c>
      <c r="H27" s="691">
        <f t="shared" si="3"/>
        <v>71564.056761641099</v>
      </c>
      <c r="I27" s="691">
        <f t="shared" si="3"/>
        <v>22847.516209051606</v>
      </c>
      <c r="J27" s="691">
        <f t="shared" si="3"/>
        <v>0</v>
      </c>
      <c r="K27" s="691">
        <f t="shared" si="3"/>
        <v>1110.5228524199904</v>
      </c>
      <c r="L27" s="691">
        <f t="shared" si="3"/>
        <v>0</v>
      </c>
      <c r="M27" s="691">
        <f t="shared" ca="1" si="3"/>
        <v>0</v>
      </c>
      <c r="N27" s="691">
        <f t="shared" si="3"/>
        <v>5728.7814992579606</v>
      </c>
      <c r="O27" s="691">
        <f t="shared" ca="1" si="3"/>
        <v>18294.752333075419</v>
      </c>
      <c r="P27" s="691">
        <f t="shared" si="3"/>
        <v>747.82697914365815</v>
      </c>
      <c r="Q27" s="691">
        <f t="shared" si="3"/>
        <v>1368.8920770713328</v>
      </c>
      <c r="R27" s="691">
        <f t="shared" ca="1" si="3"/>
        <v>431069.45035853871</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4790.6650338339632</v>
      </c>
      <c r="D40" s="681">
        <f ca="1">tertiair!C20</f>
        <v>0</v>
      </c>
      <c r="E40" s="681">
        <f ca="1">tertiair!D20</f>
        <v>7226.6263733309952</v>
      </c>
      <c r="F40" s="681">
        <f>tertiair!E20</f>
        <v>31.597794271066025</v>
      </c>
      <c r="G40" s="681">
        <f ca="1">tertiair!F20</f>
        <v>2057.8112394981531</v>
      </c>
      <c r="H40" s="681">
        <f>tertiair!G20</f>
        <v>0</v>
      </c>
      <c r="I40" s="681">
        <f>tertiair!H20</f>
        <v>0</v>
      </c>
      <c r="J40" s="681">
        <f>tertiair!I20</f>
        <v>0</v>
      </c>
      <c r="K40" s="681">
        <f>tertiair!J20</f>
        <v>2.1662382837915186E-2</v>
      </c>
      <c r="L40" s="681">
        <f>tertiair!K20</f>
        <v>0</v>
      </c>
      <c r="M40" s="681">
        <f ca="1">tertiair!L20</f>
        <v>0</v>
      </c>
      <c r="N40" s="681">
        <f>tertiair!M20</f>
        <v>0</v>
      </c>
      <c r="O40" s="681">
        <f ca="1">tertiair!N20</f>
        <v>0</v>
      </c>
      <c r="P40" s="681">
        <f>tertiair!O20</f>
        <v>0</v>
      </c>
      <c r="Q40" s="764">
        <f>tertiair!P20</f>
        <v>0</v>
      </c>
      <c r="R40" s="843">
        <f t="shared" ca="1" si="4"/>
        <v>14106.722103317014</v>
      </c>
    </row>
    <row r="41" spans="1:18">
      <c r="A41" s="815" t="s">
        <v>214</v>
      </c>
      <c r="B41" s="822"/>
      <c r="C41" s="681">
        <f ca="1">huishoudens!B12</f>
        <v>6605.7491512586585</v>
      </c>
      <c r="D41" s="681">
        <f ca="1">huishoudens!C12</f>
        <v>0</v>
      </c>
      <c r="E41" s="681">
        <f>huishoudens!D12</f>
        <v>17084.672804161866</v>
      </c>
      <c r="F41" s="681">
        <f>huishoudens!E12</f>
        <v>669.82281484300108</v>
      </c>
      <c r="G41" s="681">
        <f>huishoudens!F12</f>
        <v>17259.190530756983</v>
      </c>
      <c r="H41" s="681">
        <f>huishoudens!G12</f>
        <v>0</v>
      </c>
      <c r="I41" s="681">
        <f>huishoudens!H12</f>
        <v>0</v>
      </c>
      <c r="J41" s="681">
        <f>huishoudens!I12</f>
        <v>0</v>
      </c>
      <c r="K41" s="681">
        <f>huishoudens!J12</f>
        <v>130.41255860003787</v>
      </c>
      <c r="L41" s="681">
        <f>huishoudens!K12</f>
        <v>0</v>
      </c>
      <c r="M41" s="681">
        <f>huishoudens!L12</f>
        <v>0</v>
      </c>
      <c r="N41" s="681">
        <f>huishoudens!M12</f>
        <v>0</v>
      </c>
      <c r="O41" s="681">
        <f>huishoudens!N12</f>
        <v>0</v>
      </c>
      <c r="P41" s="681">
        <f>huishoudens!O12</f>
        <v>0</v>
      </c>
      <c r="Q41" s="764">
        <f>huishoudens!P12</f>
        <v>0</v>
      </c>
      <c r="R41" s="843">
        <f t="shared" ca="1" si="4"/>
        <v>41749.847859620546</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1073.1052874347499</v>
      </c>
      <c r="D43" s="681">
        <f ca="1">industrie!C22</f>
        <v>0</v>
      </c>
      <c r="E43" s="681">
        <f>industrie!D22</f>
        <v>2189.4329254460881</v>
      </c>
      <c r="F43" s="681">
        <f>industrie!E22</f>
        <v>12.762990271173198</v>
      </c>
      <c r="G43" s="681">
        <f>industrie!F22</f>
        <v>459.65244430171253</v>
      </c>
      <c r="H43" s="681">
        <f>industrie!G22</f>
        <v>0</v>
      </c>
      <c r="I43" s="681">
        <f>industrie!H22</f>
        <v>0</v>
      </c>
      <c r="J43" s="681">
        <f>industrie!I22</f>
        <v>0</v>
      </c>
      <c r="K43" s="681">
        <f>industrie!J22</f>
        <v>29.277688552121834</v>
      </c>
      <c r="L43" s="681">
        <f>industrie!K22</f>
        <v>0</v>
      </c>
      <c r="M43" s="681">
        <f>industrie!L22</f>
        <v>0</v>
      </c>
      <c r="N43" s="681">
        <f>industrie!M22</f>
        <v>0</v>
      </c>
      <c r="O43" s="681">
        <f>industrie!N22</f>
        <v>0</v>
      </c>
      <c r="P43" s="681">
        <f>industrie!O22</f>
        <v>0</v>
      </c>
      <c r="Q43" s="764">
        <f>industrie!P22</f>
        <v>0</v>
      </c>
      <c r="R43" s="842">
        <f t="shared" ca="1" si="4"/>
        <v>3764.2313360058452</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12469.51947252737</v>
      </c>
      <c r="D46" s="717">
        <f t="shared" ref="D46:Q46" ca="1" si="5">SUM(D39:D45)</f>
        <v>0</v>
      </c>
      <c r="E46" s="717">
        <f t="shared" ca="1" si="5"/>
        <v>26500.73210293895</v>
      </c>
      <c r="F46" s="717">
        <f t="shared" si="5"/>
        <v>714.18359938524031</v>
      </c>
      <c r="G46" s="717">
        <f t="shared" ca="1" si="5"/>
        <v>19776.654214556849</v>
      </c>
      <c r="H46" s="717">
        <f t="shared" si="5"/>
        <v>0</v>
      </c>
      <c r="I46" s="717">
        <f t="shared" si="5"/>
        <v>0</v>
      </c>
      <c r="J46" s="717">
        <f t="shared" si="5"/>
        <v>0</v>
      </c>
      <c r="K46" s="717">
        <f t="shared" si="5"/>
        <v>159.71190953499763</v>
      </c>
      <c r="L46" s="717">
        <f t="shared" si="5"/>
        <v>0</v>
      </c>
      <c r="M46" s="717">
        <f t="shared" ca="1" si="5"/>
        <v>0</v>
      </c>
      <c r="N46" s="717">
        <f t="shared" si="5"/>
        <v>0</v>
      </c>
      <c r="O46" s="717">
        <f t="shared" ca="1" si="5"/>
        <v>0</v>
      </c>
      <c r="P46" s="717">
        <f t="shared" si="5"/>
        <v>0</v>
      </c>
      <c r="Q46" s="717">
        <f t="shared" si="5"/>
        <v>0</v>
      </c>
      <c r="R46" s="717">
        <f ca="1">SUM(R39:R45)</f>
        <v>59620.801298943406</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5.1420594941621864</v>
      </c>
      <c r="D49" s="681">
        <f ca="1">transport!C58</f>
        <v>0</v>
      </c>
      <c r="E49" s="681">
        <f>transport!D58</f>
        <v>0</v>
      </c>
      <c r="F49" s="681">
        <f>transport!E58</f>
        <v>0</v>
      </c>
      <c r="G49" s="681">
        <f>transport!F58</f>
        <v>0</v>
      </c>
      <c r="H49" s="681">
        <f>transport!G58</f>
        <v>565.37463621366885</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570.51669570783099</v>
      </c>
    </row>
    <row r="50" spans="1:18">
      <c r="A50" s="818" t="s">
        <v>296</v>
      </c>
      <c r="B50" s="828"/>
      <c r="C50" s="687">
        <f ca="1">transport!B18</f>
        <v>39.059086372001204</v>
      </c>
      <c r="D50" s="687">
        <f>transport!C18</f>
        <v>0</v>
      </c>
      <c r="E50" s="687">
        <f>transport!D18</f>
        <v>94.38331021418243</v>
      </c>
      <c r="F50" s="687">
        <f>transport!E18</f>
        <v>41.489855905245179</v>
      </c>
      <c r="G50" s="687">
        <f>transport!F18</f>
        <v>0</v>
      </c>
      <c r="H50" s="687">
        <f>transport!G18</f>
        <v>18542.228519144508</v>
      </c>
      <c r="I50" s="687">
        <f>transport!H18</f>
        <v>5689.0315360538498</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24406.192307689787</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44.201145866163387</v>
      </c>
      <c r="D52" s="717">
        <f t="shared" ref="D52:Q52" ca="1" si="6">SUM(D48:D51)</f>
        <v>0</v>
      </c>
      <c r="E52" s="717">
        <f t="shared" si="6"/>
        <v>94.38331021418243</v>
      </c>
      <c r="F52" s="717">
        <f t="shared" si="6"/>
        <v>41.489855905245179</v>
      </c>
      <c r="G52" s="717">
        <f t="shared" si="6"/>
        <v>0</v>
      </c>
      <c r="H52" s="717">
        <f t="shared" si="6"/>
        <v>19107.603155358178</v>
      </c>
      <c r="I52" s="717">
        <f t="shared" si="6"/>
        <v>5689.0315360538498</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24976.70900339762</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394.21825379312588</v>
      </c>
      <c r="D54" s="687">
        <f ca="1">+landbouw!C12</f>
        <v>0</v>
      </c>
      <c r="E54" s="687">
        <f>+landbouw!D12</f>
        <v>436.62013501440612</v>
      </c>
      <c r="F54" s="687">
        <f>+landbouw!E12</f>
        <v>16.859858220661621</v>
      </c>
      <c r="G54" s="687">
        <f>+landbouw!F12</f>
        <v>2191.6979072761305</v>
      </c>
      <c r="H54" s="687">
        <f>+landbouw!G12</f>
        <v>0</v>
      </c>
      <c r="I54" s="687">
        <f>+landbouw!H12</f>
        <v>0</v>
      </c>
      <c r="J54" s="687">
        <f>+landbouw!I12</f>
        <v>0</v>
      </c>
      <c r="K54" s="687">
        <f>+landbouw!J12</f>
        <v>233.41318022167897</v>
      </c>
      <c r="L54" s="687">
        <f>+landbouw!K12</f>
        <v>0</v>
      </c>
      <c r="M54" s="687">
        <f>+landbouw!L12</f>
        <v>0</v>
      </c>
      <c r="N54" s="687">
        <f>+landbouw!M12</f>
        <v>0</v>
      </c>
      <c r="O54" s="687">
        <f>+landbouw!N12</f>
        <v>0</v>
      </c>
      <c r="P54" s="687">
        <f>+landbouw!O12</f>
        <v>0</v>
      </c>
      <c r="Q54" s="688">
        <f>+landbouw!P12</f>
        <v>0</v>
      </c>
      <c r="R54" s="716">
        <f ca="1">SUM(C54:Q54)</f>
        <v>3272.8093345260031</v>
      </c>
    </row>
    <row r="55" spans="1:18" ht="15" thickBot="1">
      <c r="A55" s="818" t="s">
        <v>690</v>
      </c>
      <c r="B55" s="828"/>
      <c r="C55" s="687">
        <f ca="1">C25*'EF ele_warmte'!B12</f>
        <v>192.05047845693619</v>
      </c>
      <c r="D55" s="687"/>
      <c r="E55" s="687">
        <f>E25*EF_CO2_aardgas</f>
        <v>754.15417986800003</v>
      </c>
      <c r="F55" s="687"/>
      <c r="G55" s="687"/>
      <c r="H55" s="687"/>
      <c r="I55" s="687"/>
      <c r="J55" s="687"/>
      <c r="K55" s="687"/>
      <c r="L55" s="687"/>
      <c r="M55" s="687"/>
      <c r="N55" s="687"/>
      <c r="O55" s="687"/>
      <c r="P55" s="687"/>
      <c r="Q55" s="688"/>
      <c r="R55" s="716">
        <f ca="1">SUM(C55:Q55)</f>
        <v>946.20465832493619</v>
      </c>
    </row>
    <row r="56" spans="1:18" ht="15.75" thickBot="1">
      <c r="A56" s="816" t="s">
        <v>691</v>
      </c>
      <c r="B56" s="829"/>
      <c r="C56" s="717">
        <f ca="1">SUM(C54:C55)</f>
        <v>586.26873225006204</v>
      </c>
      <c r="D56" s="717">
        <f t="shared" ref="D56:Q56" ca="1" si="7">SUM(D54:D55)</f>
        <v>0</v>
      </c>
      <c r="E56" s="717">
        <f t="shared" si="7"/>
        <v>1190.7743148824061</v>
      </c>
      <c r="F56" s="717">
        <f t="shared" si="7"/>
        <v>16.859858220661621</v>
      </c>
      <c r="G56" s="717">
        <f t="shared" si="7"/>
        <v>2191.6979072761305</v>
      </c>
      <c r="H56" s="717">
        <f t="shared" si="7"/>
        <v>0</v>
      </c>
      <c r="I56" s="717">
        <f t="shared" si="7"/>
        <v>0</v>
      </c>
      <c r="J56" s="717">
        <f t="shared" si="7"/>
        <v>0</v>
      </c>
      <c r="K56" s="717">
        <f t="shared" si="7"/>
        <v>233.41318022167897</v>
      </c>
      <c r="L56" s="717">
        <f t="shared" si="7"/>
        <v>0</v>
      </c>
      <c r="M56" s="717">
        <f t="shared" si="7"/>
        <v>0</v>
      </c>
      <c r="N56" s="717">
        <f t="shared" si="7"/>
        <v>0</v>
      </c>
      <c r="O56" s="717">
        <f t="shared" si="7"/>
        <v>0</v>
      </c>
      <c r="P56" s="717">
        <f t="shared" si="7"/>
        <v>0</v>
      </c>
      <c r="Q56" s="718">
        <f t="shared" si="7"/>
        <v>0</v>
      </c>
      <c r="R56" s="719">
        <f ca="1">SUM(R54:R55)</f>
        <v>4219.0139928509398</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13099.989350643596</v>
      </c>
      <c r="D61" s="725">
        <f t="shared" ref="D61:Q61" ca="1" si="8">D46+D52+D56</f>
        <v>0</v>
      </c>
      <c r="E61" s="725">
        <f t="shared" ca="1" si="8"/>
        <v>27785.889728035538</v>
      </c>
      <c r="F61" s="725">
        <f t="shared" si="8"/>
        <v>772.53331351114707</v>
      </c>
      <c r="G61" s="725">
        <f t="shared" ca="1" si="8"/>
        <v>21968.352121832981</v>
      </c>
      <c r="H61" s="725">
        <f t="shared" si="8"/>
        <v>19107.603155358178</v>
      </c>
      <c r="I61" s="725">
        <f t="shared" si="8"/>
        <v>5689.0315360538498</v>
      </c>
      <c r="J61" s="725">
        <f t="shared" si="8"/>
        <v>0</v>
      </c>
      <c r="K61" s="725">
        <f t="shared" si="8"/>
        <v>393.12508975667663</v>
      </c>
      <c r="L61" s="725">
        <f t="shared" si="8"/>
        <v>0</v>
      </c>
      <c r="M61" s="725">
        <f t="shared" ca="1" si="8"/>
        <v>0</v>
      </c>
      <c r="N61" s="725">
        <f t="shared" si="8"/>
        <v>0</v>
      </c>
      <c r="O61" s="725">
        <f t="shared" ca="1" si="8"/>
        <v>0</v>
      </c>
      <c r="P61" s="725">
        <f t="shared" si="8"/>
        <v>0</v>
      </c>
      <c r="Q61" s="725">
        <f t="shared" si="8"/>
        <v>0</v>
      </c>
      <c r="R61" s="725">
        <f ca="1">R46+R52+R56</f>
        <v>88816.524295191964</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0.15202231573505218</v>
      </c>
      <c r="D63" s="771">
        <f t="shared" ca="1" si="9"/>
        <v>0</v>
      </c>
      <c r="E63" s="963">
        <f t="shared" ca="1" si="9"/>
        <v>0.20200000000000001</v>
      </c>
      <c r="F63" s="771">
        <f t="shared" si="9"/>
        <v>0.22699999999999998</v>
      </c>
      <c r="G63" s="771">
        <f t="shared" ca="1" si="9"/>
        <v>0.26700000000000002</v>
      </c>
      <c r="H63" s="771">
        <f t="shared" si="9"/>
        <v>0.26700000000000007</v>
      </c>
      <c r="I63" s="771">
        <f t="shared" si="9"/>
        <v>0.249</v>
      </c>
      <c r="J63" s="771">
        <f t="shared" si="9"/>
        <v>0</v>
      </c>
      <c r="K63" s="771">
        <f t="shared" si="9"/>
        <v>0.35400000000000004</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12434.368383861321</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14461.150983459615</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0</v>
      </c>
      <c r="D76" s="946">
        <f>'lokale energieproductie'!C8</f>
        <v>0</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26895.519367320936</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0</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43452.496558277038</v>
      </c>
      <c r="C4" s="447">
        <f>huishoudens!C8</f>
        <v>0</v>
      </c>
      <c r="D4" s="447">
        <f>huishoudens!D8</f>
        <v>84577.58813941518</v>
      </c>
      <c r="E4" s="447">
        <f>huishoudens!E8</f>
        <v>2950.7612988678461</v>
      </c>
      <c r="F4" s="447">
        <f>huishoudens!F8</f>
        <v>64641.163036543003</v>
      </c>
      <c r="G4" s="447">
        <f>huishoudens!G8</f>
        <v>0</v>
      </c>
      <c r="H4" s="447">
        <f>huishoudens!H8</f>
        <v>0</v>
      </c>
      <c r="I4" s="447">
        <f>huishoudens!I8</f>
        <v>0</v>
      </c>
      <c r="J4" s="447">
        <f>huishoudens!J8</f>
        <v>368.39705819219739</v>
      </c>
      <c r="K4" s="447">
        <f>huishoudens!K8</f>
        <v>0</v>
      </c>
      <c r="L4" s="447">
        <f>huishoudens!L8</f>
        <v>0</v>
      </c>
      <c r="M4" s="447">
        <f>huishoudens!M8</f>
        <v>0</v>
      </c>
      <c r="N4" s="447">
        <f>huishoudens!N8</f>
        <v>14530.565312164261</v>
      </c>
      <c r="O4" s="447">
        <f>huishoudens!O8</f>
        <v>738.03245761197581</v>
      </c>
      <c r="P4" s="448">
        <f>huishoudens!P8</f>
        <v>1158.7355238453526</v>
      </c>
      <c r="Q4" s="449">
        <f>SUM(B4:P4)</f>
        <v>212417.73938491687</v>
      </c>
    </row>
    <row r="5" spans="1:17">
      <c r="A5" s="446" t="s">
        <v>149</v>
      </c>
      <c r="B5" s="447">
        <f ca="1">tertiair!B16</f>
        <v>30050.378406000003</v>
      </c>
      <c r="C5" s="447">
        <f ca="1">tertiair!C16</f>
        <v>0</v>
      </c>
      <c r="D5" s="447">
        <f ca="1">tertiair!D16</f>
        <v>35775.378085797005</v>
      </c>
      <c r="E5" s="447">
        <f>tertiair!E16</f>
        <v>139.19733159059922</v>
      </c>
      <c r="F5" s="447">
        <f ca="1">tertiair!F16</f>
        <v>7707.1582003676149</v>
      </c>
      <c r="G5" s="447">
        <f>tertiair!G16</f>
        <v>0</v>
      </c>
      <c r="H5" s="447">
        <f>tertiair!H16</f>
        <v>0</v>
      </c>
      <c r="I5" s="447">
        <f>tertiair!I16</f>
        <v>0</v>
      </c>
      <c r="J5" s="447">
        <f>tertiair!J16</f>
        <v>6.1193171858517477E-2</v>
      </c>
      <c r="K5" s="447">
        <f>tertiair!K16</f>
        <v>0</v>
      </c>
      <c r="L5" s="447">
        <f ca="1">tertiair!L16</f>
        <v>0</v>
      </c>
      <c r="M5" s="447">
        <f>tertiair!M16</f>
        <v>0</v>
      </c>
      <c r="N5" s="447">
        <f ca="1">tertiair!N16</f>
        <v>2369.7683902201711</v>
      </c>
      <c r="O5" s="447">
        <f>tertiair!O16</f>
        <v>9.7945215316823084</v>
      </c>
      <c r="P5" s="448">
        <f>tertiair!P16</f>
        <v>210.15655322598008</v>
      </c>
      <c r="Q5" s="446">
        <f t="shared" ref="Q5:Q14" ca="1" si="0">SUM(B5:P5)</f>
        <v>76261.892681904923</v>
      </c>
    </row>
    <row r="6" spans="1:17">
      <c r="A6" s="446" t="s">
        <v>187</v>
      </c>
      <c r="B6" s="447">
        <f>'openbare verlichting'!B8</f>
        <v>1462.528174</v>
      </c>
      <c r="C6" s="447"/>
      <c r="D6" s="447"/>
      <c r="E6" s="447"/>
      <c r="F6" s="447"/>
      <c r="G6" s="447"/>
      <c r="H6" s="447"/>
      <c r="I6" s="447"/>
      <c r="J6" s="447"/>
      <c r="K6" s="447"/>
      <c r="L6" s="447"/>
      <c r="M6" s="447"/>
      <c r="N6" s="447"/>
      <c r="O6" s="447"/>
      <c r="P6" s="448"/>
      <c r="Q6" s="446">
        <f t="shared" si="0"/>
        <v>1462.528174</v>
      </c>
    </row>
    <row r="7" spans="1:17">
      <c r="A7" s="446" t="s">
        <v>105</v>
      </c>
      <c r="B7" s="447">
        <f>landbouw!B8</f>
        <v>2593.1604309999998</v>
      </c>
      <c r="C7" s="447">
        <f>landbouw!C8</f>
        <v>0</v>
      </c>
      <c r="D7" s="447">
        <f>landbouw!D8</f>
        <v>2161.4858169030003</v>
      </c>
      <c r="E7" s="447">
        <f>landbouw!E8</f>
        <v>74.272503174720796</v>
      </c>
      <c r="F7" s="447">
        <f>landbouw!F8</f>
        <v>8208.606394292623</v>
      </c>
      <c r="G7" s="447">
        <f>landbouw!G8</f>
        <v>0</v>
      </c>
      <c r="H7" s="447">
        <f>landbouw!H8</f>
        <v>0</v>
      </c>
      <c r="I7" s="447">
        <f>landbouw!I8</f>
        <v>0</v>
      </c>
      <c r="J7" s="447">
        <f>landbouw!J8</f>
        <v>659.359266162935</v>
      </c>
      <c r="K7" s="447">
        <f>landbouw!K8</f>
        <v>0</v>
      </c>
      <c r="L7" s="447">
        <f>landbouw!L8</f>
        <v>0</v>
      </c>
      <c r="M7" s="447">
        <f>landbouw!M8</f>
        <v>0</v>
      </c>
      <c r="N7" s="447">
        <f>landbouw!N8</f>
        <v>0</v>
      </c>
      <c r="O7" s="447">
        <f>landbouw!O8</f>
        <v>0</v>
      </c>
      <c r="P7" s="448">
        <f>landbouw!P8</f>
        <v>0</v>
      </c>
      <c r="Q7" s="446">
        <f t="shared" si="0"/>
        <v>13696.884411533278</v>
      </c>
    </row>
    <row r="8" spans="1:17">
      <c r="A8" s="446" t="s">
        <v>611</v>
      </c>
      <c r="B8" s="447">
        <f>industrie!B18</f>
        <v>7058.8668659999994</v>
      </c>
      <c r="C8" s="447">
        <f>industrie!C18</f>
        <v>0</v>
      </c>
      <c r="D8" s="447">
        <f>industrie!D18</f>
        <v>10838.776858644</v>
      </c>
      <c r="E8" s="447">
        <f>industrie!E18</f>
        <v>56.22462674525638</v>
      </c>
      <c r="F8" s="447">
        <f>industrie!F18</f>
        <v>1721.5447352124063</v>
      </c>
      <c r="G8" s="447">
        <f>industrie!G18</f>
        <v>0</v>
      </c>
      <c r="H8" s="447">
        <f>industrie!H18</f>
        <v>0</v>
      </c>
      <c r="I8" s="447">
        <f>industrie!I18</f>
        <v>0</v>
      </c>
      <c r="J8" s="447">
        <f>industrie!J18</f>
        <v>82.705334892999531</v>
      </c>
      <c r="K8" s="447">
        <f>industrie!K18</f>
        <v>0</v>
      </c>
      <c r="L8" s="447">
        <f>industrie!L18</f>
        <v>0</v>
      </c>
      <c r="M8" s="447">
        <f>industrie!M18</f>
        <v>0</v>
      </c>
      <c r="N8" s="447">
        <f>industrie!N18</f>
        <v>1394.4186306909871</v>
      </c>
      <c r="O8" s="447">
        <f>industrie!O18</f>
        <v>0</v>
      </c>
      <c r="P8" s="448">
        <f>industrie!P18</f>
        <v>0</v>
      </c>
      <c r="Q8" s="446">
        <f t="shared" si="0"/>
        <v>21152.537052185649</v>
      </c>
    </row>
    <row r="9" spans="1:17" s="452" customFormat="1">
      <c r="A9" s="450" t="s">
        <v>537</v>
      </c>
      <c r="B9" s="451">
        <f>transport!B14</f>
        <v>256.92995257403027</v>
      </c>
      <c r="C9" s="451">
        <f>transport!C14</f>
        <v>0</v>
      </c>
      <c r="D9" s="451">
        <f>transport!D14</f>
        <v>467.24410997120015</v>
      </c>
      <c r="E9" s="451">
        <f>transport!E14</f>
        <v>182.77469561782016</v>
      </c>
      <c r="F9" s="451">
        <f>transport!F14</f>
        <v>0</v>
      </c>
      <c r="G9" s="451">
        <f>transport!G14</f>
        <v>69446.548760840844</v>
      </c>
      <c r="H9" s="451">
        <f>transport!H14</f>
        <v>22847.516209051606</v>
      </c>
      <c r="I9" s="451">
        <f>transport!I14</f>
        <v>0</v>
      </c>
      <c r="J9" s="451">
        <f>transport!J14</f>
        <v>0</v>
      </c>
      <c r="K9" s="451">
        <f>transport!K14</f>
        <v>0</v>
      </c>
      <c r="L9" s="451">
        <f>transport!L14</f>
        <v>0</v>
      </c>
      <c r="M9" s="451">
        <f>transport!M14</f>
        <v>5607.198878507771</v>
      </c>
      <c r="N9" s="451">
        <f>transport!N14</f>
        <v>0</v>
      </c>
      <c r="O9" s="451">
        <f>transport!O14</f>
        <v>0</v>
      </c>
      <c r="P9" s="451">
        <f>transport!P14</f>
        <v>0</v>
      </c>
      <c r="Q9" s="450">
        <f>SUM(B9:P9)</f>
        <v>98808.212606563276</v>
      </c>
    </row>
    <row r="10" spans="1:17">
      <c r="A10" s="446" t="s">
        <v>527</v>
      </c>
      <c r="B10" s="447">
        <f>transport!B54</f>
        <v>33.82437288433286</v>
      </c>
      <c r="C10" s="447">
        <f>transport!C54</f>
        <v>0</v>
      </c>
      <c r="D10" s="447">
        <f>transport!D54</f>
        <v>0</v>
      </c>
      <c r="E10" s="447">
        <f>transport!E54</f>
        <v>0</v>
      </c>
      <c r="F10" s="447">
        <f>transport!F54</f>
        <v>0</v>
      </c>
      <c r="G10" s="447">
        <f>transport!G54</f>
        <v>2117.5080008002578</v>
      </c>
      <c r="H10" s="447">
        <f>transport!H54</f>
        <v>0</v>
      </c>
      <c r="I10" s="447">
        <f>transport!I54</f>
        <v>0</v>
      </c>
      <c r="J10" s="447">
        <f>transport!J54</f>
        <v>0</v>
      </c>
      <c r="K10" s="447">
        <f>transport!K54</f>
        <v>0</v>
      </c>
      <c r="L10" s="447">
        <f>transport!L54</f>
        <v>0</v>
      </c>
      <c r="M10" s="447">
        <f>transport!M54</f>
        <v>121.58262075018928</v>
      </c>
      <c r="N10" s="447">
        <f>transport!N54</f>
        <v>0</v>
      </c>
      <c r="O10" s="447">
        <f>transport!O54</f>
        <v>0</v>
      </c>
      <c r="P10" s="448">
        <f>transport!P54</f>
        <v>0</v>
      </c>
      <c r="Q10" s="446">
        <f t="shared" si="0"/>
        <v>2272.9149944347796</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1263.304519</v>
      </c>
      <c r="C14" s="454"/>
      <c r="D14" s="454">
        <f>'SEAP template'!E25</f>
        <v>3733.4365339999999</v>
      </c>
      <c r="E14" s="454"/>
      <c r="F14" s="454"/>
      <c r="G14" s="454"/>
      <c r="H14" s="454"/>
      <c r="I14" s="454"/>
      <c r="J14" s="454"/>
      <c r="K14" s="454"/>
      <c r="L14" s="454"/>
      <c r="M14" s="454"/>
      <c r="N14" s="454"/>
      <c r="O14" s="454"/>
      <c r="P14" s="455"/>
      <c r="Q14" s="446">
        <f t="shared" si="0"/>
        <v>4996.7410529999997</v>
      </c>
    </row>
    <row r="15" spans="1:17" s="458" customFormat="1">
      <c r="A15" s="456" t="s">
        <v>531</v>
      </c>
      <c r="B15" s="457">
        <f ca="1">SUM(B4:B14)</f>
        <v>86171.489279735411</v>
      </c>
      <c r="C15" s="457">
        <f t="shared" ref="C15:Q15" ca="1" si="1">SUM(C4:C14)</f>
        <v>0</v>
      </c>
      <c r="D15" s="457">
        <f t="shared" ca="1" si="1"/>
        <v>137553.90954473038</v>
      </c>
      <c r="E15" s="457">
        <f t="shared" si="1"/>
        <v>3403.2304559962431</v>
      </c>
      <c r="F15" s="457">
        <f t="shared" ca="1" si="1"/>
        <v>82278.472366415648</v>
      </c>
      <c r="G15" s="457">
        <f t="shared" si="1"/>
        <v>71564.056761641099</v>
      </c>
      <c r="H15" s="457">
        <f t="shared" si="1"/>
        <v>22847.516209051606</v>
      </c>
      <c r="I15" s="457">
        <f t="shared" si="1"/>
        <v>0</v>
      </c>
      <c r="J15" s="457">
        <f t="shared" si="1"/>
        <v>1110.5228524199906</v>
      </c>
      <c r="K15" s="457">
        <f t="shared" si="1"/>
        <v>0</v>
      </c>
      <c r="L15" s="457">
        <f t="shared" ca="1" si="1"/>
        <v>0</v>
      </c>
      <c r="M15" s="457">
        <f t="shared" si="1"/>
        <v>5728.7814992579606</v>
      </c>
      <c r="N15" s="457">
        <f t="shared" ca="1" si="1"/>
        <v>18294.752333075419</v>
      </c>
      <c r="O15" s="457">
        <f t="shared" si="1"/>
        <v>747.82697914365815</v>
      </c>
      <c r="P15" s="457">
        <f t="shared" si="1"/>
        <v>1368.8920770713328</v>
      </c>
      <c r="Q15" s="457">
        <f t="shared" ca="1" si="1"/>
        <v>431069.45035853877</v>
      </c>
    </row>
    <row r="17" spans="1:17">
      <c r="A17" s="459" t="s">
        <v>532</v>
      </c>
      <c r="B17" s="776">
        <f ca="1">huishoudens!B10</f>
        <v>0.15202231573505215</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6605.7491512586585</v>
      </c>
      <c r="C22" s="447">
        <f t="shared" ref="C22:C32" ca="1" si="3">C4*$C$17</f>
        <v>0</v>
      </c>
      <c r="D22" s="447">
        <f t="shared" ref="D22:D32" si="4">D4*$D$17</f>
        <v>17084.672804161866</v>
      </c>
      <c r="E22" s="447">
        <f t="shared" ref="E22:E32" si="5">E4*$E$17</f>
        <v>669.82281484300108</v>
      </c>
      <c r="F22" s="447">
        <f t="shared" ref="F22:F32" si="6">F4*$F$17</f>
        <v>17259.190530756983</v>
      </c>
      <c r="G22" s="447">
        <f t="shared" ref="G22:G32" si="7">G4*$G$17</f>
        <v>0</v>
      </c>
      <c r="H22" s="447">
        <f t="shared" ref="H22:H32" si="8">H4*$H$17</f>
        <v>0</v>
      </c>
      <c r="I22" s="447">
        <f t="shared" ref="I22:I32" si="9">I4*$I$17</f>
        <v>0</v>
      </c>
      <c r="J22" s="447">
        <f t="shared" ref="J22:J32" si="10">J4*$J$17</f>
        <v>130.41255860003787</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41749.847859620546</v>
      </c>
    </row>
    <row r="23" spans="1:17">
      <c r="A23" s="446" t="s">
        <v>149</v>
      </c>
      <c r="B23" s="447">
        <f t="shared" ca="1" si="2"/>
        <v>4568.3281139947258</v>
      </c>
      <c r="C23" s="447">
        <f t="shared" ca="1" si="3"/>
        <v>0</v>
      </c>
      <c r="D23" s="447">
        <f t="shared" ca="1" si="4"/>
        <v>7226.6263733309952</v>
      </c>
      <c r="E23" s="447">
        <f t="shared" si="5"/>
        <v>31.597794271066025</v>
      </c>
      <c r="F23" s="447">
        <f t="shared" ca="1" si="6"/>
        <v>2057.8112394981531</v>
      </c>
      <c r="G23" s="447">
        <f t="shared" si="7"/>
        <v>0</v>
      </c>
      <c r="H23" s="447">
        <f t="shared" si="8"/>
        <v>0</v>
      </c>
      <c r="I23" s="447">
        <f t="shared" si="9"/>
        <v>0</v>
      </c>
      <c r="J23" s="447">
        <f t="shared" si="10"/>
        <v>2.1662382837915186E-2</v>
      </c>
      <c r="K23" s="447">
        <f t="shared" si="11"/>
        <v>0</v>
      </c>
      <c r="L23" s="447">
        <f t="shared" ca="1" si="12"/>
        <v>0</v>
      </c>
      <c r="M23" s="447">
        <f t="shared" si="13"/>
        <v>0</v>
      </c>
      <c r="N23" s="447">
        <f t="shared" ca="1" si="14"/>
        <v>0</v>
      </c>
      <c r="O23" s="447">
        <f t="shared" si="15"/>
        <v>0</v>
      </c>
      <c r="P23" s="448">
        <f t="shared" si="16"/>
        <v>0</v>
      </c>
      <c r="Q23" s="446">
        <f t="shared" ref="Q23:Q31" ca="1" si="17">SUM(B23:P23)</f>
        <v>13884.385183477778</v>
      </c>
    </row>
    <row r="24" spans="1:17">
      <c r="A24" s="446" t="s">
        <v>187</v>
      </c>
      <c r="B24" s="447">
        <f t="shared" ca="1" si="2"/>
        <v>222.33691983923728</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222.33691983923728</v>
      </c>
    </row>
    <row r="25" spans="1:17">
      <c r="A25" s="446" t="s">
        <v>105</v>
      </c>
      <c r="B25" s="447">
        <f t="shared" ca="1" si="2"/>
        <v>394.21825379312588</v>
      </c>
      <c r="C25" s="447">
        <f t="shared" ca="1" si="3"/>
        <v>0</v>
      </c>
      <c r="D25" s="447">
        <f t="shared" si="4"/>
        <v>436.62013501440612</v>
      </c>
      <c r="E25" s="447">
        <f t="shared" si="5"/>
        <v>16.859858220661621</v>
      </c>
      <c r="F25" s="447">
        <f t="shared" si="6"/>
        <v>2191.6979072761305</v>
      </c>
      <c r="G25" s="447">
        <f t="shared" si="7"/>
        <v>0</v>
      </c>
      <c r="H25" s="447">
        <f t="shared" si="8"/>
        <v>0</v>
      </c>
      <c r="I25" s="447">
        <f t="shared" si="9"/>
        <v>0</v>
      </c>
      <c r="J25" s="447">
        <f t="shared" si="10"/>
        <v>233.41318022167897</v>
      </c>
      <c r="K25" s="447">
        <f t="shared" si="11"/>
        <v>0</v>
      </c>
      <c r="L25" s="447">
        <f t="shared" si="12"/>
        <v>0</v>
      </c>
      <c r="M25" s="447">
        <f t="shared" si="13"/>
        <v>0</v>
      </c>
      <c r="N25" s="447">
        <f t="shared" si="14"/>
        <v>0</v>
      </c>
      <c r="O25" s="447">
        <f t="shared" si="15"/>
        <v>0</v>
      </c>
      <c r="P25" s="448">
        <f t="shared" si="16"/>
        <v>0</v>
      </c>
      <c r="Q25" s="446">
        <f t="shared" ca="1" si="17"/>
        <v>3272.8093345260031</v>
      </c>
    </row>
    <row r="26" spans="1:17">
      <c r="A26" s="446" t="s">
        <v>611</v>
      </c>
      <c r="B26" s="447">
        <f t="shared" ca="1" si="2"/>
        <v>1073.1052874347499</v>
      </c>
      <c r="C26" s="447">
        <f t="shared" ca="1" si="3"/>
        <v>0</v>
      </c>
      <c r="D26" s="447">
        <f t="shared" si="4"/>
        <v>2189.4329254460881</v>
      </c>
      <c r="E26" s="447">
        <f t="shared" si="5"/>
        <v>12.762990271173198</v>
      </c>
      <c r="F26" s="447">
        <f t="shared" si="6"/>
        <v>459.65244430171253</v>
      </c>
      <c r="G26" s="447">
        <f t="shared" si="7"/>
        <v>0</v>
      </c>
      <c r="H26" s="447">
        <f t="shared" si="8"/>
        <v>0</v>
      </c>
      <c r="I26" s="447">
        <f t="shared" si="9"/>
        <v>0</v>
      </c>
      <c r="J26" s="447">
        <f t="shared" si="10"/>
        <v>29.277688552121834</v>
      </c>
      <c r="K26" s="447">
        <f t="shared" si="11"/>
        <v>0</v>
      </c>
      <c r="L26" s="447">
        <f t="shared" si="12"/>
        <v>0</v>
      </c>
      <c r="M26" s="447">
        <f t="shared" si="13"/>
        <v>0</v>
      </c>
      <c r="N26" s="447">
        <f t="shared" si="14"/>
        <v>0</v>
      </c>
      <c r="O26" s="447">
        <f t="shared" si="15"/>
        <v>0</v>
      </c>
      <c r="P26" s="448">
        <f t="shared" si="16"/>
        <v>0</v>
      </c>
      <c r="Q26" s="446">
        <f t="shared" ca="1" si="17"/>
        <v>3764.2313360058452</v>
      </c>
    </row>
    <row r="27" spans="1:17" s="452" customFormat="1">
      <c r="A27" s="450" t="s">
        <v>537</v>
      </c>
      <c r="B27" s="770">
        <f t="shared" ca="1" si="2"/>
        <v>39.059086372001204</v>
      </c>
      <c r="C27" s="451">
        <f t="shared" ca="1" si="3"/>
        <v>0</v>
      </c>
      <c r="D27" s="451">
        <f t="shared" si="4"/>
        <v>94.38331021418243</v>
      </c>
      <c r="E27" s="451">
        <f t="shared" si="5"/>
        <v>41.489855905245179</v>
      </c>
      <c r="F27" s="451">
        <f t="shared" si="6"/>
        <v>0</v>
      </c>
      <c r="G27" s="451">
        <f t="shared" si="7"/>
        <v>18542.228519144508</v>
      </c>
      <c r="H27" s="451">
        <f t="shared" si="8"/>
        <v>5689.0315360538498</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24406.192307689787</v>
      </c>
    </row>
    <row r="28" spans="1:17" ht="16.5" customHeight="1">
      <c r="A28" s="446" t="s">
        <v>527</v>
      </c>
      <c r="B28" s="447">
        <f t="shared" ca="1" si="2"/>
        <v>5.1420594941621864</v>
      </c>
      <c r="C28" s="447">
        <f t="shared" ca="1" si="3"/>
        <v>0</v>
      </c>
      <c r="D28" s="447">
        <f t="shared" si="4"/>
        <v>0</v>
      </c>
      <c r="E28" s="447">
        <f t="shared" si="5"/>
        <v>0</v>
      </c>
      <c r="F28" s="447">
        <f t="shared" si="6"/>
        <v>0</v>
      </c>
      <c r="G28" s="447">
        <f t="shared" si="7"/>
        <v>565.37463621366885</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570.51669570783099</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192.05047845693619</v>
      </c>
      <c r="C32" s="447">
        <f t="shared" ca="1" si="3"/>
        <v>0</v>
      </c>
      <c r="D32" s="447">
        <f t="shared" si="4"/>
        <v>754.15417986800003</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946.20465832493619</v>
      </c>
    </row>
    <row r="33" spans="1:17" s="458" customFormat="1">
      <c r="A33" s="456" t="s">
        <v>531</v>
      </c>
      <c r="B33" s="457">
        <f ca="1">SUM(B22:B32)</f>
        <v>13099.989350643598</v>
      </c>
      <c r="C33" s="457">
        <f t="shared" ref="C33:Q33" ca="1" si="19">SUM(C22:C32)</f>
        <v>0</v>
      </c>
      <c r="D33" s="457">
        <f t="shared" ca="1" si="19"/>
        <v>27785.889728035538</v>
      </c>
      <c r="E33" s="457">
        <f t="shared" si="19"/>
        <v>772.53331351114707</v>
      </c>
      <c r="F33" s="457">
        <f t="shared" ca="1" si="19"/>
        <v>21968.352121832981</v>
      </c>
      <c r="G33" s="457">
        <f t="shared" si="19"/>
        <v>19107.603155358178</v>
      </c>
      <c r="H33" s="457">
        <f t="shared" si="19"/>
        <v>5689.0315360538498</v>
      </c>
      <c r="I33" s="457">
        <f t="shared" si="19"/>
        <v>0</v>
      </c>
      <c r="J33" s="457">
        <f t="shared" si="19"/>
        <v>393.12508975667663</v>
      </c>
      <c r="K33" s="457">
        <f t="shared" si="19"/>
        <v>0</v>
      </c>
      <c r="L33" s="457">
        <f t="shared" ca="1" si="19"/>
        <v>0</v>
      </c>
      <c r="M33" s="457">
        <f t="shared" si="19"/>
        <v>0</v>
      </c>
      <c r="N33" s="457">
        <f t="shared" ca="1" si="19"/>
        <v>0</v>
      </c>
      <c r="O33" s="457">
        <f t="shared" si="19"/>
        <v>0</v>
      </c>
      <c r="P33" s="457">
        <f t="shared" si="19"/>
        <v>0</v>
      </c>
      <c r="Q33" s="457">
        <f t="shared" ca="1" si="19"/>
        <v>88816.524295191964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12434.368383861321</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14461.150983459615</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26895.519367320936</v>
      </c>
      <c r="C10" s="1016">
        <f>SUM(C4:C9)</f>
        <v>0</v>
      </c>
      <c r="D10" s="1016">
        <f t="shared" ref="D10:H10" si="0">SUM(D8:D9)</f>
        <v>0</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0</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0.15202231573505215</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0</v>
      </c>
      <c r="D20" s="1016">
        <f t="shared" ref="D20:H20" si="2">SUM(D17:D19)</f>
        <v>0</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0</v>
      </c>
    </row>
    <row r="21" spans="1:16">
      <c r="B21" s="881"/>
    </row>
    <row r="22" spans="1:16">
      <c r="A22" s="459" t="s">
        <v>749</v>
      </c>
      <c r="B22" s="776" t="s">
        <v>747</v>
      </c>
      <c r="C22" s="776">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0.15202231573505215</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0.15202231573505215</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0.15202231573505215</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10773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3602.31</v>
      </c>
      <c r="C14" s="326"/>
      <c r="D14" s="326"/>
      <c r="E14" s="326"/>
      <c r="F14" s="326"/>
    </row>
    <row r="15" spans="1:6">
      <c r="A15" s="1310" t="s">
        <v>177</v>
      </c>
      <c r="B15" s="1311">
        <v>683</v>
      </c>
      <c r="C15" s="326"/>
      <c r="D15" s="326"/>
      <c r="E15" s="326"/>
      <c r="F15" s="326"/>
    </row>
    <row r="16" spans="1:6">
      <c r="A16" s="1310" t="s">
        <v>6</v>
      </c>
      <c r="B16" s="1311">
        <v>2126</v>
      </c>
      <c r="C16" s="326"/>
      <c r="D16" s="326"/>
      <c r="E16" s="326"/>
      <c r="F16" s="326"/>
    </row>
    <row r="17" spans="1:6">
      <c r="A17" s="1310" t="s">
        <v>7</v>
      </c>
      <c r="B17" s="1311">
        <v>350</v>
      </c>
      <c r="C17" s="326"/>
      <c r="D17" s="326"/>
      <c r="E17" s="326"/>
      <c r="F17" s="326"/>
    </row>
    <row r="18" spans="1:6">
      <c r="A18" s="1310" t="s">
        <v>8</v>
      </c>
      <c r="B18" s="1311">
        <v>1145</v>
      </c>
      <c r="C18" s="326"/>
      <c r="D18" s="326"/>
      <c r="E18" s="326"/>
      <c r="F18" s="326"/>
    </row>
    <row r="19" spans="1:6">
      <c r="A19" s="1310" t="s">
        <v>9</v>
      </c>
      <c r="B19" s="1311">
        <v>877</v>
      </c>
      <c r="C19" s="326"/>
      <c r="D19" s="326"/>
      <c r="E19" s="326"/>
      <c r="F19" s="326"/>
    </row>
    <row r="20" spans="1:6">
      <c r="A20" s="1310" t="s">
        <v>10</v>
      </c>
      <c r="B20" s="1311">
        <v>439</v>
      </c>
      <c r="C20" s="326"/>
      <c r="D20" s="326"/>
      <c r="E20" s="326"/>
      <c r="F20" s="326"/>
    </row>
    <row r="21" spans="1:6">
      <c r="A21" s="1310" t="s">
        <v>11</v>
      </c>
      <c r="B21" s="1311">
        <v>2781</v>
      </c>
      <c r="C21" s="326"/>
      <c r="D21" s="326"/>
      <c r="E21" s="326"/>
      <c r="F21" s="326"/>
    </row>
    <row r="22" spans="1:6">
      <c r="A22" s="1310" t="s">
        <v>12</v>
      </c>
      <c r="B22" s="1311">
        <v>11911</v>
      </c>
      <c r="C22" s="326"/>
      <c r="D22" s="326"/>
      <c r="E22" s="326"/>
      <c r="F22" s="326"/>
    </row>
    <row r="23" spans="1:6">
      <c r="A23" s="1310" t="s">
        <v>13</v>
      </c>
      <c r="B23" s="1311">
        <v>230</v>
      </c>
      <c r="C23" s="326"/>
      <c r="D23" s="326"/>
      <c r="E23" s="326"/>
      <c r="F23" s="326"/>
    </row>
    <row r="24" spans="1:6">
      <c r="A24" s="1310" t="s">
        <v>14</v>
      </c>
      <c r="B24" s="1311">
        <v>4</v>
      </c>
      <c r="C24" s="326"/>
      <c r="D24" s="326"/>
      <c r="E24" s="326"/>
      <c r="F24" s="326"/>
    </row>
    <row r="25" spans="1:6">
      <c r="A25" s="1310" t="s">
        <v>15</v>
      </c>
      <c r="B25" s="1311">
        <v>718</v>
      </c>
      <c r="C25" s="326"/>
      <c r="D25" s="326"/>
      <c r="E25" s="326"/>
      <c r="F25" s="326"/>
    </row>
    <row r="26" spans="1:6">
      <c r="A26" s="1310" t="s">
        <v>16</v>
      </c>
      <c r="B26" s="1311">
        <v>123</v>
      </c>
      <c r="C26" s="326"/>
      <c r="D26" s="326"/>
      <c r="E26" s="326"/>
      <c r="F26" s="326"/>
    </row>
    <row r="27" spans="1:6">
      <c r="A27" s="1310" t="s">
        <v>17</v>
      </c>
      <c r="B27" s="1311">
        <v>4</v>
      </c>
      <c r="C27" s="326"/>
      <c r="D27" s="326"/>
      <c r="E27" s="326"/>
      <c r="F27" s="326"/>
    </row>
    <row r="28" spans="1:6">
      <c r="A28" s="1310" t="s">
        <v>18</v>
      </c>
      <c r="B28" s="1312">
        <v>366167</v>
      </c>
      <c r="C28" s="326"/>
      <c r="D28" s="326"/>
      <c r="E28" s="326"/>
      <c r="F28" s="326"/>
    </row>
    <row r="29" spans="1:6">
      <c r="A29" s="1310" t="s">
        <v>678</v>
      </c>
      <c r="B29" s="1312">
        <v>311</v>
      </c>
      <c r="C29" s="326"/>
      <c r="D29" s="326"/>
      <c r="E29" s="326"/>
      <c r="F29" s="326"/>
    </row>
    <row r="30" spans="1:6">
      <c r="A30" s="1305" t="s">
        <v>679</v>
      </c>
      <c r="B30" s="1313">
        <v>54</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20</v>
      </c>
      <c r="F36" s="1311">
        <v>77650.967999999993</v>
      </c>
    </row>
    <row r="37" spans="1:6">
      <c r="A37" s="1310" t="s">
        <v>24</v>
      </c>
      <c r="B37" s="1310" t="s">
        <v>27</v>
      </c>
      <c r="C37" s="1311">
        <v>0</v>
      </c>
      <c r="D37" s="1311">
        <v>0</v>
      </c>
      <c r="E37" s="1311">
        <v>0</v>
      </c>
      <c r="F37" s="1311">
        <v>0</v>
      </c>
    </row>
    <row r="38" spans="1:6">
      <c r="A38" s="1310" t="s">
        <v>24</v>
      </c>
      <c r="B38" s="1310" t="s">
        <v>28</v>
      </c>
      <c r="C38" s="1311">
        <v>1</v>
      </c>
      <c r="D38" s="1311">
        <v>412766.39799999999</v>
      </c>
      <c r="E38" s="1311">
        <v>0</v>
      </c>
      <c r="F38" s="1311">
        <v>0</v>
      </c>
    </row>
    <row r="39" spans="1:6">
      <c r="A39" s="1310" t="s">
        <v>29</v>
      </c>
      <c r="B39" s="1310" t="s">
        <v>30</v>
      </c>
      <c r="C39" s="1311">
        <v>6331</v>
      </c>
      <c r="D39" s="1311">
        <v>93662888.305000201</v>
      </c>
      <c r="E39" s="1311">
        <v>10886</v>
      </c>
      <c r="F39" s="1311">
        <v>32676582.673999999</v>
      </c>
    </row>
    <row r="40" spans="1:6">
      <c r="A40" s="1310" t="s">
        <v>29</v>
      </c>
      <c r="B40" s="1310" t="s">
        <v>28</v>
      </c>
      <c r="C40" s="1311">
        <v>0</v>
      </c>
      <c r="D40" s="1311">
        <v>0</v>
      </c>
      <c r="E40" s="1311">
        <v>0</v>
      </c>
      <c r="F40" s="1311">
        <v>0</v>
      </c>
    </row>
    <row r="41" spans="1:6">
      <c r="A41" s="1310" t="s">
        <v>31</v>
      </c>
      <c r="B41" s="1310" t="s">
        <v>32</v>
      </c>
      <c r="C41" s="1311">
        <v>72</v>
      </c>
      <c r="D41" s="1311">
        <v>2074916.6070000001</v>
      </c>
      <c r="E41" s="1311">
        <v>185</v>
      </c>
      <c r="F41" s="1311">
        <v>1923499.5330000001</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9</v>
      </c>
      <c r="D44" s="1311">
        <v>2882115.5649999999</v>
      </c>
      <c r="E44" s="1311">
        <v>22</v>
      </c>
      <c r="F44" s="1311">
        <v>1659339.6089999999</v>
      </c>
    </row>
    <row r="45" spans="1:6">
      <c r="A45" s="1310" t="s">
        <v>31</v>
      </c>
      <c r="B45" s="1310" t="s">
        <v>36</v>
      </c>
      <c r="C45" s="1311">
        <v>5</v>
      </c>
      <c r="D45" s="1311">
        <v>5617643.6960000005</v>
      </c>
      <c r="E45" s="1311">
        <v>8</v>
      </c>
      <c r="F45" s="1311">
        <v>2267539.6710000001</v>
      </c>
    </row>
    <row r="46" spans="1:6">
      <c r="A46" s="1310" t="s">
        <v>31</v>
      </c>
      <c r="B46" s="1310" t="s">
        <v>37</v>
      </c>
      <c r="C46" s="1311">
        <v>0</v>
      </c>
      <c r="D46" s="1311">
        <v>0</v>
      </c>
      <c r="E46" s="1311">
        <v>0</v>
      </c>
      <c r="F46" s="1311">
        <v>0</v>
      </c>
    </row>
    <row r="47" spans="1:6">
      <c r="A47" s="1310" t="s">
        <v>31</v>
      </c>
      <c r="B47" s="1310" t="s">
        <v>38</v>
      </c>
      <c r="C47" s="1311">
        <v>3</v>
      </c>
      <c r="D47" s="1311">
        <v>124535.939</v>
      </c>
      <c r="E47" s="1311">
        <v>4</v>
      </c>
      <c r="F47" s="1311">
        <v>153621.51199999999</v>
      </c>
    </row>
    <row r="48" spans="1:6">
      <c r="A48" s="1310" t="s">
        <v>31</v>
      </c>
      <c r="B48" s="1310" t="s">
        <v>28</v>
      </c>
      <c r="C48" s="1311">
        <v>0</v>
      </c>
      <c r="D48" s="1311">
        <v>0</v>
      </c>
      <c r="E48" s="1311">
        <v>1</v>
      </c>
      <c r="F48" s="1311">
        <v>30995.154999999999</v>
      </c>
    </row>
    <row r="49" spans="1:6">
      <c r="A49" s="1310" t="s">
        <v>31</v>
      </c>
      <c r="B49" s="1310" t="s">
        <v>39</v>
      </c>
      <c r="C49" s="1311">
        <v>4</v>
      </c>
      <c r="D49" s="1311">
        <v>119357.25900000001</v>
      </c>
      <c r="E49" s="1311">
        <v>7</v>
      </c>
      <c r="F49" s="1311">
        <v>88557.816000000006</v>
      </c>
    </row>
    <row r="50" spans="1:6">
      <c r="A50" s="1310" t="s">
        <v>31</v>
      </c>
      <c r="B50" s="1310" t="s">
        <v>40</v>
      </c>
      <c r="C50" s="1311">
        <v>11</v>
      </c>
      <c r="D50" s="1311">
        <v>1184506.0819999999</v>
      </c>
      <c r="E50" s="1311">
        <v>19</v>
      </c>
      <c r="F50" s="1311">
        <v>935313.57</v>
      </c>
    </row>
    <row r="51" spans="1:6">
      <c r="A51" s="1310" t="s">
        <v>41</v>
      </c>
      <c r="B51" s="1310" t="s">
        <v>42</v>
      </c>
      <c r="C51" s="1311">
        <v>12</v>
      </c>
      <c r="D51" s="1311">
        <v>2393672.0010000002</v>
      </c>
      <c r="E51" s="1311">
        <v>96</v>
      </c>
      <c r="F51" s="1311">
        <v>2593160.4309999999</v>
      </c>
    </row>
    <row r="52" spans="1:6">
      <c r="A52" s="1310" t="s">
        <v>41</v>
      </c>
      <c r="B52" s="1310" t="s">
        <v>28</v>
      </c>
      <c r="C52" s="1311">
        <v>0</v>
      </c>
      <c r="D52" s="1311">
        <v>0</v>
      </c>
      <c r="E52" s="1311">
        <v>0</v>
      </c>
      <c r="F52" s="1311">
        <v>0</v>
      </c>
    </row>
    <row r="53" spans="1:6">
      <c r="A53" s="1310" t="s">
        <v>43</v>
      </c>
      <c r="B53" s="1310" t="s">
        <v>44</v>
      </c>
      <c r="C53" s="1311">
        <v>67</v>
      </c>
      <c r="D53" s="1311">
        <v>3733436.534</v>
      </c>
      <c r="E53" s="1311">
        <v>212</v>
      </c>
      <c r="F53" s="1311">
        <v>1263304.5190000001</v>
      </c>
    </row>
    <row r="54" spans="1:6">
      <c r="A54" s="1310" t="s">
        <v>45</v>
      </c>
      <c r="B54" s="1310" t="s">
        <v>46</v>
      </c>
      <c r="C54" s="1311">
        <v>0</v>
      </c>
      <c r="D54" s="1311">
        <v>0</v>
      </c>
      <c r="E54" s="1311">
        <v>3</v>
      </c>
      <c r="F54" s="1311">
        <v>1462528.1740000001</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87</v>
      </c>
      <c r="D57" s="1311">
        <v>11627420.823999999</v>
      </c>
      <c r="E57" s="1311">
        <v>158</v>
      </c>
      <c r="F57" s="1311">
        <v>6050240.3109999998</v>
      </c>
    </row>
    <row r="58" spans="1:6">
      <c r="A58" s="1310" t="s">
        <v>48</v>
      </c>
      <c r="B58" s="1310" t="s">
        <v>50</v>
      </c>
      <c r="C58" s="1311">
        <v>46</v>
      </c>
      <c r="D58" s="1311">
        <v>4633807.9800000004</v>
      </c>
      <c r="E58" s="1311">
        <v>66</v>
      </c>
      <c r="F58" s="1311">
        <v>6000206.9869999997</v>
      </c>
    </row>
    <row r="59" spans="1:6">
      <c r="A59" s="1310" t="s">
        <v>48</v>
      </c>
      <c r="B59" s="1310" t="s">
        <v>51</v>
      </c>
      <c r="C59" s="1311">
        <v>127</v>
      </c>
      <c r="D59" s="1311">
        <v>4754936.6909999996</v>
      </c>
      <c r="E59" s="1311">
        <v>286</v>
      </c>
      <c r="F59" s="1311">
        <v>7452356.3569999998</v>
      </c>
    </row>
    <row r="60" spans="1:6">
      <c r="A60" s="1310" t="s">
        <v>48</v>
      </c>
      <c r="B60" s="1310" t="s">
        <v>52</v>
      </c>
      <c r="C60" s="1311">
        <v>111</v>
      </c>
      <c r="D60" s="1311">
        <v>9587231.898</v>
      </c>
      <c r="E60" s="1311">
        <v>201</v>
      </c>
      <c r="F60" s="1311">
        <v>5199631.7309999997</v>
      </c>
    </row>
    <row r="61" spans="1:6">
      <c r="A61" s="1310" t="s">
        <v>48</v>
      </c>
      <c r="B61" s="1310" t="s">
        <v>53</v>
      </c>
      <c r="C61" s="1311">
        <v>194</v>
      </c>
      <c r="D61" s="1311">
        <v>7839317.3839999996</v>
      </c>
      <c r="E61" s="1311">
        <v>419</v>
      </c>
      <c r="F61" s="1311">
        <v>4984651.7719999999</v>
      </c>
    </row>
    <row r="62" spans="1:6">
      <c r="A62" s="1310" t="s">
        <v>48</v>
      </c>
      <c r="B62" s="1310" t="s">
        <v>54</v>
      </c>
      <c r="C62" s="1311">
        <v>20</v>
      </c>
      <c r="D62" s="1311">
        <v>1175644.122</v>
      </c>
      <c r="E62" s="1311">
        <v>29</v>
      </c>
      <c r="F62" s="1311">
        <v>363291.24800000002</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3</v>
      </c>
      <c r="D65" s="1311">
        <v>290471.391</v>
      </c>
      <c r="E65" s="1311">
        <v>0</v>
      </c>
      <c r="F65" s="1311">
        <v>0</v>
      </c>
    </row>
    <row r="66" spans="1:6">
      <c r="A66" s="1310" t="s">
        <v>55</v>
      </c>
      <c r="B66" s="1310" t="s">
        <v>57</v>
      </c>
      <c r="C66" s="1311">
        <v>0</v>
      </c>
      <c r="D66" s="1311">
        <v>0</v>
      </c>
      <c r="E66" s="1311">
        <v>28</v>
      </c>
      <c r="F66" s="1311">
        <v>202679.97200000001</v>
      </c>
    </row>
    <row r="67" spans="1:6">
      <c r="A67" s="1310" t="s">
        <v>55</v>
      </c>
      <c r="B67" s="1310" t="s">
        <v>58</v>
      </c>
      <c r="C67" s="1311">
        <v>0</v>
      </c>
      <c r="D67" s="1311">
        <v>0</v>
      </c>
      <c r="E67" s="1311">
        <v>0</v>
      </c>
      <c r="F67" s="1311">
        <v>0</v>
      </c>
    </row>
    <row r="68" spans="1:6">
      <c r="A68" s="1305" t="s">
        <v>55</v>
      </c>
      <c r="B68" s="1305" t="s">
        <v>59</v>
      </c>
      <c r="C68" s="1313">
        <v>0</v>
      </c>
      <c r="D68" s="1313">
        <v>0</v>
      </c>
      <c r="E68" s="1313">
        <v>3</v>
      </c>
      <c r="F68" s="1313">
        <v>32123.844000000001</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98773477</v>
      </c>
      <c r="E73" s="445"/>
      <c r="F73" s="326"/>
    </row>
    <row r="74" spans="1:6">
      <c r="A74" s="1310" t="s">
        <v>63</v>
      </c>
      <c r="B74" s="1310" t="s">
        <v>632</v>
      </c>
      <c r="C74" s="1323" t="s">
        <v>634</v>
      </c>
      <c r="D74" s="1311">
        <v>5339336.8869066909</v>
      </c>
      <c r="E74" s="445"/>
      <c r="F74" s="326"/>
    </row>
    <row r="75" spans="1:6">
      <c r="A75" s="1310" t="s">
        <v>64</v>
      </c>
      <c r="B75" s="1310" t="s">
        <v>631</v>
      </c>
      <c r="C75" s="1323" t="s">
        <v>635</v>
      </c>
      <c r="D75" s="1311">
        <v>26390460</v>
      </c>
      <c r="E75" s="445"/>
      <c r="F75" s="326"/>
    </row>
    <row r="76" spans="1:6">
      <c r="A76" s="1310" t="s">
        <v>64</v>
      </c>
      <c r="B76" s="1310" t="s">
        <v>632</v>
      </c>
      <c r="C76" s="1323" t="s">
        <v>636</v>
      </c>
      <c r="D76" s="1311">
        <v>468861.88690669049</v>
      </c>
      <c r="E76" s="445"/>
      <c r="F76" s="326"/>
    </row>
    <row r="77" spans="1:6">
      <c r="A77" s="1310" t="s">
        <v>65</v>
      </c>
      <c r="B77" s="1310" t="s">
        <v>631</v>
      </c>
      <c r="C77" s="1323" t="s">
        <v>637</v>
      </c>
      <c r="D77" s="1311">
        <v>0</v>
      </c>
      <c r="E77" s="445"/>
      <c r="F77" s="326"/>
    </row>
    <row r="78" spans="1:6">
      <c r="A78" s="1305" t="s">
        <v>65</v>
      </c>
      <c r="B78" s="1305" t="s">
        <v>632</v>
      </c>
      <c r="C78" s="1305" t="s">
        <v>638</v>
      </c>
      <c r="D78" s="131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630898.22618661902</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12434.368383861321</v>
      </c>
      <c r="C90" s="326"/>
      <c r="D90" s="326"/>
      <c r="E90" s="326"/>
      <c r="F90" s="326"/>
    </row>
    <row r="91" spans="1:6">
      <c r="A91" s="1310" t="s">
        <v>67</v>
      </c>
      <c r="B91" s="1311">
        <v>10775.913884277037</v>
      </c>
      <c r="C91" s="326"/>
      <c r="D91" s="326"/>
      <c r="E91" s="326"/>
      <c r="F91" s="326"/>
    </row>
    <row r="92" spans="1:6">
      <c r="A92" s="1305" t="s">
        <v>68</v>
      </c>
      <c r="B92" s="1306">
        <v>3685.2370991825778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2004</v>
      </c>
      <c r="C97" s="326"/>
      <c r="D97" s="326"/>
      <c r="E97" s="326"/>
      <c r="F97" s="326"/>
    </row>
    <row r="98" spans="1:6">
      <c r="A98" s="1310" t="s">
        <v>71</v>
      </c>
      <c r="B98" s="1311">
        <v>3</v>
      </c>
      <c r="C98" s="326"/>
      <c r="D98" s="326"/>
      <c r="E98" s="326"/>
      <c r="F98" s="326"/>
    </row>
    <row r="99" spans="1:6">
      <c r="A99" s="1310" t="s">
        <v>72</v>
      </c>
      <c r="B99" s="1311">
        <v>78</v>
      </c>
      <c r="C99" s="326"/>
      <c r="D99" s="326"/>
      <c r="E99" s="326"/>
      <c r="F99" s="326"/>
    </row>
    <row r="100" spans="1:6">
      <c r="A100" s="1310" t="s">
        <v>73</v>
      </c>
      <c r="B100" s="1311">
        <v>269</v>
      </c>
      <c r="C100" s="326"/>
      <c r="D100" s="326"/>
      <c r="E100" s="326"/>
      <c r="F100" s="326"/>
    </row>
    <row r="101" spans="1:6">
      <c r="A101" s="1310" t="s">
        <v>74</v>
      </c>
      <c r="B101" s="1311">
        <v>71</v>
      </c>
      <c r="C101" s="326"/>
      <c r="D101" s="326"/>
      <c r="E101" s="326"/>
      <c r="F101" s="326"/>
    </row>
    <row r="102" spans="1:6">
      <c r="A102" s="1310" t="s">
        <v>75</v>
      </c>
      <c r="B102" s="1311">
        <v>125</v>
      </c>
      <c r="C102" s="326"/>
      <c r="D102" s="326"/>
      <c r="E102" s="326"/>
      <c r="F102" s="326"/>
    </row>
    <row r="103" spans="1:6">
      <c r="A103" s="1310" t="s">
        <v>76</v>
      </c>
      <c r="B103" s="1311">
        <v>108</v>
      </c>
      <c r="C103" s="326"/>
      <c r="D103" s="326"/>
      <c r="E103" s="326"/>
      <c r="F103" s="326"/>
    </row>
    <row r="104" spans="1:6">
      <c r="A104" s="1310" t="s">
        <v>77</v>
      </c>
      <c r="B104" s="1311">
        <v>6016</v>
      </c>
      <c r="C104" s="326"/>
      <c r="D104" s="326"/>
      <c r="E104" s="326"/>
      <c r="F104" s="326"/>
    </row>
    <row r="105" spans="1:6">
      <c r="A105" s="1305" t="s">
        <v>78</v>
      </c>
      <c r="B105" s="1313">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1</v>
      </c>
      <c r="C121" s="1311">
        <v>0</v>
      </c>
      <c r="D121" s="326"/>
      <c r="E121" s="326"/>
      <c r="F121" s="326"/>
    </row>
    <row r="122" spans="1:6">
      <c r="A122" s="1310" t="s">
        <v>86</v>
      </c>
      <c r="B122" s="1311">
        <v>0</v>
      </c>
      <c r="C122" s="1311">
        <v>0</v>
      </c>
      <c r="D122" s="326"/>
      <c r="E122" s="326"/>
      <c r="F122" s="326"/>
    </row>
    <row r="123" spans="1:6">
      <c r="A123" s="1310" t="s">
        <v>87</v>
      </c>
      <c r="B123" s="1311">
        <v>64</v>
      </c>
      <c r="C123" s="1311">
        <v>30</v>
      </c>
      <c r="D123" s="326"/>
      <c r="E123" s="326"/>
      <c r="F123" s="326"/>
    </row>
    <row r="124" spans="1:6">
      <c r="A124" s="1310" t="s">
        <v>88</v>
      </c>
      <c r="B124" s="1311">
        <v>1</v>
      </c>
      <c r="C124" s="1311">
        <v>2</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340</v>
      </c>
      <c r="C129" s="326"/>
      <c r="D129" s="326"/>
      <c r="E129" s="326"/>
      <c r="F129" s="326"/>
    </row>
    <row r="130" spans="1:6">
      <c r="A130" s="1310" t="s">
        <v>284</v>
      </c>
      <c r="B130" s="1311">
        <v>2</v>
      </c>
      <c r="C130" s="326"/>
      <c r="D130" s="326"/>
      <c r="E130" s="326"/>
      <c r="F130" s="326"/>
    </row>
    <row r="131" spans="1:6">
      <c r="A131" s="1310" t="s">
        <v>285</v>
      </c>
      <c r="B131" s="1311">
        <v>3</v>
      </c>
      <c r="C131" s="326"/>
      <c r="D131" s="326"/>
      <c r="E131" s="326"/>
      <c r="F131" s="326"/>
    </row>
    <row r="132" spans="1:6">
      <c r="A132" s="1305" t="s">
        <v>286</v>
      </c>
      <c r="B132" s="1306">
        <v>45</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86171.489279735382</v>
      </c>
      <c r="C3" s="43" t="s">
        <v>163</v>
      </c>
      <c r="D3" s="43"/>
      <c r="E3" s="154"/>
      <c r="F3" s="43"/>
      <c r="G3" s="43"/>
      <c r="H3" s="43"/>
      <c r="I3" s="43"/>
      <c r="J3" s="43"/>
      <c r="K3" s="96"/>
    </row>
    <row r="4" spans="1:11">
      <c r="A4" s="352" t="s">
        <v>164</v>
      </c>
      <c r="B4" s="49">
        <f>IF(ISERROR('SEAP template'!B78+'SEAP template'!C78),0,'SEAP template'!B78+'SEAP template'!C78)</f>
        <v>26895.519367320936</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0</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0.15202231573505215</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1462.528174</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1462.528174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0.15202231573505215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222.33691983923728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32676.582673999997</v>
      </c>
      <c r="C5" s="17">
        <f>IF(ISERROR('Eigen informatie GS &amp; warmtenet'!B59),0,'Eigen informatie GS &amp; warmtenet'!B59)</f>
        <v>0</v>
      </c>
      <c r="D5" s="30">
        <f>(SUM(HH_hh_gas_kWh,HH_rest_gas_kWh)/1000)*0.903</f>
        <v>84577.58813941518</v>
      </c>
      <c r="E5" s="17">
        <f>B32*B41</f>
        <v>2950.7612988678461</v>
      </c>
      <c r="F5" s="17">
        <f>B36*B45</f>
        <v>64641.163036543003</v>
      </c>
      <c r="G5" s="18"/>
      <c r="H5" s="17"/>
      <c r="I5" s="17"/>
      <c r="J5" s="17">
        <f>B35*B44+C35*C44</f>
        <v>368.39705819219739</v>
      </c>
      <c r="K5" s="17"/>
      <c r="L5" s="17"/>
      <c r="M5" s="17"/>
      <c r="N5" s="17">
        <f>B34*B43+C34*C43</f>
        <v>14530.565312164261</v>
      </c>
      <c r="O5" s="17">
        <f>B52*B53*B54</f>
        <v>738.03245761197581</v>
      </c>
      <c r="P5" s="17">
        <f>B60*B61*B62/1000-B60*B61*B62/1000/B63</f>
        <v>1158.7355238453526</v>
      </c>
    </row>
    <row r="6" spans="1:16">
      <c r="A6" s="16" t="s">
        <v>597</v>
      </c>
      <c r="B6" s="778">
        <f>kWh_PV_kleiner_dan_10kW</f>
        <v>10775.913884277037</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43452.496558277038</v>
      </c>
      <c r="C8" s="21">
        <f>C5</f>
        <v>0</v>
      </c>
      <c r="D8" s="21">
        <f>D5</f>
        <v>84577.58813941518</v>
      </c>
      <c r="E8" s="21">
        <f>E5</f>
        <v>2950.7612988678461</v>
      </c>
      <c r="F8" s="21">
        <f>F5</f>
        <v>64641.163036543003</v>
      </c>
      <c r="G8" s="21"/>
      <c r="H8" s="21"/>
      <c r="I8" s="21"/>
      <c r="J8" s="21">
        <f>J5</f>
        <v>368.39705819219739</v>
      </c>
      <c r="K8" s="21"/>
      <c r="L8" s="21">
        <f>L5</f>
        <v>0</v>
      </c>
      <c r="M8" s="21">
        <f>M5</f>
        <v>0</v>
      </c>
      <c r="N8" s="21">
        <f>N5</f>
        <v>14530.565312164261</v>
      </c>
      <c r="O8" s="21">
        <f>O5</f>
        <v>738.03245761197581</v>
      </c>
      <c r="P8" s="21">
        <f>P5</f>
        <v>1158.7355238453526</v>
      </c>
    </row>
    <row r="9" spans="1:16">
      <c r="B9" s="19"/>
      <c r="C9" s="19"/>
      <c r="D9" s="254"/>
      <c r="E9" s="19"/>
      <c r="F9" s="19"/>
      <c r="G9" s="19"/>
      <c r="H9" s="19"/>
      <c r="I9" s="19"/>
      <c r="J9" s="19"/>
      <c r="K9" s="19"/>
      <c r="L9" s="19"/>
      <c r="M9" s="19"/>
      <c r="N9" s="19"/>
      <c r="O9" s="19"/>
      <c r="P9" s="19"/>
    </row>
    <row r="10" spans="1:16">
      <c r="A10" s="24" t="s">
        <v>207</v>
      </c>
      <c r="B10" s="25">
        <f ca="1">'EF ele_warmte'!B12</f>
        <v>0.15202231573505215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6605.7491512586585</v>
      </c>
      <c r="C12" s="23">
        <f ca="1">C10*C8</f>
        <v>0</v>
      </c>
      <c r="D12" s="23">
        <f>D8*D10</f>
        <v>17084.672804161866</v>
      </c>
      <c r="E12" s="23">
        <f>E10*E8</f>
        <v>669.82281484300108</v>
      </c>
      <c r="F12" s="23">
        <f>F10*F8</f>
        <v>17259.190530756983</v>
      </c>
      <c r="G12" s="23"/>
      <c r="H12" s="23"/>
      <c r="I12" s="23"/>
      <c r="J12" s="23">
        <f>J10*J8</f>
        <v>130.41255860003787</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10773</v>
      </c>
      <c r="C26" s="36"/>
      <c r="D26" s="225"/>
    </row>
    <row r="27" spans="1:5" s="15" customFormat="1">
      <c r="A27" s="227" t="s">
        <v>860</v>
      </c>
      <c r="B27" s="37">
        <f>SUM(HH_hh_gas_aantal,HH_rest_gas_aantal)</f>
        <v>6331</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6014.45</v>
      </c>
      <c r="C31" s="34" t="s">
        <v>104</v>
      </c>
      <c r="D31" s="171"/>
    </row>
    <row r="32" spans="1:5">
      <c r="A32" s="168" t="s">
        <v>72</v>
      </c>
      <c r="B32" s="33">
        <f>IF((B21*($B$26-($B$27-0.05*$B$27)-$B$60))&lt;0,0,(B21*($B$26-($B$27-0.05*$B$27)-$B$60)))</f>
        <v>73.796654888690142</v>
      </c>
      <c r="C32" s="34" t="s">
        <v>104</v>
      </c>
      <c r="D32" s="171"/>
    </row>
    <row r="33" spans="1:6">
      <c r="A33" s="168" t="s">
        <v>73</v>
      </c>
      <c r="B33" s="33">
        <f>IF((B22*($B$26-($B$27-0.05*$B$27)-$B$60))&lt;0,0,B22*($B$26-($B$27-0.05*$B$27)-$B$60))</f>
        <v>1198.3115195131302</v>
      </c>
      <c r="C33" s="34" t="s">
        <v>104</v>
      </c>
      <c r="D33" s="171"/>
    </row>
    <row r="34" spans="1:6">
      <c r="A34" s="168" t="s">
        <v>74</v>
      </c>
      <c r="B34" s="33">
        <f>IF((B24*($B$26-($B$27-0.05*$B$27)-$B$60))&lt;0,0,B24*($B$26-($B$27-0.05*$B$27)-$B$60))</f>
        <v>229.73235465155267</v>
      </c>
      <c r="C34" s="33">
        <f>B26*C24</f>
        <v>2207.4516895359002</v>
      </c>
      <c r="D34" s="230"/>
    </row>
    <row r="35" spans="1:6">
      <c r="A35" s="168" t="s">
        <v>76</v>
      </c>
      <c r="B35" s="33">
        <f>IF((B19*($B$26-($B$27-0.05*$B$27)-$B$60))&lt;0,0,B19*($B$26-($B$27-0.05*$B$27)-$B$60))</f>
        <v>32.079229944072736</v>
      </c>
      <c r="C35" s="33">
        <f>B35/2</f>
        <v>16.039614972036368</v>
      </c>
      <c r="D35" s="230"/>
    </row>
    <row r="36" spans="1:6">
      <c r="A36" s="168" t="s">
        <v>77</v>
      </c>
      <c r="B36" s="33">
        <f>IF((B18*($B$26-($B$27-0.05*$B$27)-$B$60))&lt;0,0,B18*($B$26-($B$27-0.05*$B$27)-$B$60))</f>
        <v>3114.6302410025532</v>
      </c>
      <c r="C36" s="34" t="s">
        <v>104</v>
      </c>
      <c r="D36" s="171"/>
    </row>
    <row r="37" spans="1:6">
      <c r="A37" s="168" t="s">
        <v>78</v>
      </c>
      <c r="B37" s="33">
        <f>B60</f>
        <v>110</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372</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110</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30050.378406000003</v>
      </c>
      <c r="C5" s="17">
        <f>IF(ISERROR('Eigen informatie GS &amp; warmtenet'!B60),0,'Eigen informatie GS &amp; warmtenet'!B60)</f>
        <v>0</v>
      </c>
      <c r="D5" s="30">
        <f>SUM(D6:D12)</f>
        <v>35775.378085797005</v>
      </c>
      <c r="E5" s="17">
        <f>SUM(E6:E12)</f>
        <v>139.19733159059922</v>
      </c>
      <c r="F5" s="17">
        <f>SUM(F6:F12)</f>
        <v>7707.1582003676149</v>
      </c>
      <c r="G5" s="18"/>
      <c r="H5" s="17"/>
      <c r="I5" s="17"/>
      <c r="J5" s="17">
        <f>SUM(J6:J12)</f>
        <v>6.1193171858517477E-2</v>
      </c>
      <c r="K5" s="17"/>
      <c r="L5" s="17"/>
      <c r="M5" s="17"/>
      <c r="N5" s="17">
        <f>SUM(N6:N12)</f>
        <v>2369.7683902201711</v>
      </c>
      <c r="O5" s="17">
        <f>B38*B39*B40</f>
        <v>9.7945215316823084</v>
      </c>
      <c r="P5" s="17">
        <f>B46*B47*B48/1000-B46*B47*B48/1000/B49</f>
        <v>210.15655322598008</v>
      </c>
      <c r="R5" s="32"/>
    </row>
    <row r="6" spans="1:18">
      <c r="A6" s="32" t="s">
        <v>53</v>
      </c>
      <c r="B6" s="37">
        <f>B26</f>
        <v>4984.6517720000002</v>
      </c>
      <c r="C6" s="33"/>
      <c r="D6" s="37">
        <f>IF(ISERROR(TER_kantoor_gas_kWh/1000),0,TER_kantoor_gas_kWh/1000)*0.903</f>
        <v>7078.9035977519998</v>
      </c>
      <c r="E6" s="33">
        <f>$C$26*'E Balans VL '!I12/100/3.6*1000000</f>
        <v>1.1876955962630944</v>
      </c>
      <c r="F6" s="33">
        <f>$C$26*('E Balans VL '!L12+'E Balans VL '!N12)/100/3.6*1000000</f>
        <v>432.96583678942022</v>
      </c>
      <c r="G6" s="34"/>
      <c r="H6" s="33"/>
      <c r="I6" s="33"/>
      <c r="J6" s="33">
        <f>$C$26*('E Balans VL '!D12+'E Balans VL '!E12)/100/3.6*1000000</f>
        <v>0</v>
      </c>
      <c r="K6" s="33"/>
      <c r="L6" s="33"/>
      <c r="M6" s="33"/>
      <c r="N6" s="33">
        <f>$C$26*'E Balans VL '!Y12/100/3.6*1000000</f>
        <v>6.6626844470531035</v>
      </c>
      <c r="O6" s="33"/>
      <c r="P6" s="33"/>
      <c r="R6" s="32"/>
    </row>
    <row r="7" spans="1:18">
      <c r="A7" s="32" t="s">
        <v>52</v>
      </c>
      <c r="B7" s="37">
        <f t="shared" ref="B7:B12" si="0">B27</f>
        <v>5199.6317309999995</v>
      </c>
      <c r="C7" s="33"/>
      <c r="D7" s="37">
        <f>IF(ISERROR(TER_horeca_gas_kWh/1000),0,TER_horeca_gas_kWh/1000)*0.903</f>
        <v>8657.270403894001</v>
      </c>
      <c r="E7" s="33">
        <f>$C$27*'E Balans VL '!I9/100/3.6*1000000</f>
        <v>0</v>
      </c>
      <c r="F7" s="33">
        <f>$C$27*('E Balans VL '!L9+'E Balans VL '!N9)/100/3.6*1000000</f>
        <v>423.67588618403323</v>
      </c>
      <c r="G7" s="34"/>
      <c r="H7" s="33"/>
      <c r="I7" s="33"/>
      <c r="J7" s="33">
        <f>$C$27*('E Balans VL '!D9+'E Balans VL '!E9)/100/3.6*1000000</f>
        <v>0</v>
      </c>
      <c r="K7" s="33"/>
      <c r="L7" s="33"/>
      <c r="M7" s="33"/>
      <c r="N7" s="33">
        <f>$C$27*'E Balans VL '!Y9/100/3.6*1000000</f>
        <v>1.4402011861191748</v>
      </c>
      <c r="O7" s="33"/>
      <c r="P7" s="33"/>
      <c r="R7" s="32"/>
    </row>
    <row r="8" spans="1:18">
      <c r="A8" s="6" t="s">
        <v>51</v>
      </c>
      <c r="B8" s="37">
        <f t="shared" si="0"/>
        <v>7452.3563569999997</v>
      </c>
      <c r="C8" s="33"/>
      <c r="D8" s="37">
        <f>IF(ISERROR(TER_handel_gas_kWh/1000),0,TER_handel_gas_kWh/1000)*0.903</f>
        <v>4293.7078319729999</v>
      </c>
      <c r="E8" s="33">
        <f>$C$28*'E Balans VL '!I13/100/3.6*1000000</f>
        <v>59.571264569430141</v>
      </c>
      <c r="F8" s="33">
        <f>$C$28*('E Balans VL '!L13+'E Balans VL '!N13)/100/3.6*1000000</f>
        <v>740.34527751792064</v>
      </c>
      <c r="G8" s="34"/>
      <c r="H8" s="33"/>
      <c r="I8" s="33"/>
      <c r="J8" s="33">
        <f>$C$28*('E Balans VL '!D13+'E Balans VL '!E13)/100/3.6*1000000</f>
        <v>0</v>
      </c>
      <c r="K8" s="33"/>
      <c r="L8" s="33"/>
      <c r="M8" s="33"/>
      <c r="N8" s="33">
        <f>$C$28*'E Balans VL '!Y13/100/3.6*1000000</f>
        <v>2.7838986931170209</v>
      </c>
      <c r="O8" s="33"/>
      <c r="P8" s="33"/>
      <c r="R8" s="32"/>
    </row>
    <row r="9" spans="1:18">
      <c r="A9" s="32" t="s">
        <v>50</v>
      </c>
      <c r="B9" s="37">
        <f t="shared" si="0"/>
        <v>6000.2069869999996</v>
      </c>
      <c r="C9" s="33"/>
      <c r="D9" s="37">
        <f>IF(ISERROR(TER_gezond_gas_kWh/1000),0,TER_gezond_gas_kWh/1000)*0.903</f>
        <v>4184.3286059400007</v>
      </c>
      <c r="E9" s="33">
        <f>$C$29*'E Balans VL '!I10/100/3.6*1000000</f>
        <v>0</v>
      </c>
      <c r="F9" s="33">
        <f>$C$29*('E Balans VL '!L10+'E Balans VL '!N10)/100/3.6*1000000</f>
        <v>547.01664441796925</v>
      </c>
      <c r="G9" s="34"/>
      <c r="H9" s="33"/>
      <c r="I9" s="33"/>
      <c r="J9" s="33">
        <f>$C$29*('E Balans VL '!D10+'E Balans VL '!E10)/100/3.6*1000000</f>
        <v>0</v>
      </c>
      <c r="K9" s="33"/>
      <c r="L9" s="33"/>
      <c r="M9" s="33"/>
      <c r="N9" s="33">
        <f>$C$29*'E Balans VL '!Y10/100/3.6*1000000</f>
        <v>43.856135929214076</v>
      </c>
      <c r="O9" s="33"/>
      <c r="P9" s="33"/>
      <c r="R9" s="32"/>
    </row>
    <row r="10" spans="1:18">
      <c r="A10" s="32" t="s">
        <v>49</v>
      </c>
      <c r="B10" s="37">
        <f t="shared" si="0"/>
        <v>6050.2403109999996</v>
      </c>
      <c r="C10" s="33"/>
      <c r="D10" s="37">
        <f>IF(ISERROR(TER_ander_gas_kWh/1000),0,TER_ander_gas_kWh/1000)*0.903</f>
        <v>10499.561004071998</v>
      </c>
      <c r="E10" s="33">
        <f>$C$30*'E Balans VL '!I14/100/3.6*1000000</f>
        <v>78.438371424905981</v>
      </c>
      <c r="F10" s="33">
        <f>$C$30*('E Balans VL '!L14+'E Balans VL '!N14)/100/3.6*1000000</f>
        <v>5548.9198350557244</v>
      </c>
      <c r="G10" s="34"/>
      <c r="H10" s="33"/>
      <c r="I10" s="33"/>
      <c r="J10" s="33">
        <f>$C$30*('E Balans VL '!D14+'E Balans VL '!E14)/100/3.6*1000000</f>
        <v>6.1193171858517477E-2</v>
      </c>
      <c r="K10" s="33"/>
      <c r="L10" s="33"/>
      <c r="M10" s="33"/>
      <c r="N10" s="33">
        <f>$C$30*'E Balans VL '!Y14/100/3.6*1000000</f>
        <v>2313.8813760653202</v>
      </c>
      <c r="O10" s="33"/>
      <c r="P10" s="33"/>
      <c r="R10" s="32"/>
    </row>
    <row r="11" spans="1:18">
      <c r="A11" s="32" t="s">
        <v>54</v>
      </c>
      <c r="B11" s="37">
        <f t="shared" si="0"/>
        <v>363.291248</v>
      </c>
      <c r="C11" s="33"/>
      <c r="D11" s="37">
        <f>IF(ISERROR(TER_onderwijs_gas_kWh/1000),0,TER_onderwijs_gas_kWh/1000)*0.903</f>
        <v>1061.606642166</v>
      </c>
      <c r="E11" s="33">
        <f>$C$31*'E Balans VL '!I11/100/3.6*1000000</f>
        <v>0</v>
      </c>
      <c r="F11" s="33">
        <f>$C$31*('E Balans VL '!L11+'E Balans VL '!N11)/100/3.6*1000000</f>
        <v>14.234720402547609</v>
      </c>
      <c r="G11" s="34"/>
      <c r="H11" s="33"/>
      <c r="I11" s="33"/>
      <c r="J11" s="33">
        <f>$C$31*('E Balans VL '!D11+'E Balans VL '!E11)/100/3.6*1000000</f>
        <v>0</v>
      </c>
      <c r="K11" s="33"/>
      <c r="L11" s="33"/>
      <c r="M11" s="33"/>
      <c r="N11" s="33">
        <f>$C$31*'E Balans VL '!Y11/100/3.6*1000000</f>
        <v>1.1440938993474483</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30050.378406000003</v>
      </c>
      <c r="C16" s="21">
        <f t="shared" ca="1" si="1"/>
        <v>0</v>
      </c>
      <c r="D16" s="21">
        <f t="shared" ca="1" si="1"/>
        <v>35775.378085797005</v>
      </c>
      <c r="E16" s="21">
        <f t="shared" si="1"/>
        <v>139.19733159059922</v>
      </c>
      <c r="F16" s="21">
        <f t="shared" ca="1" si="1"/>
        <v>7707.1582003676149</v>
      </c>
      <c r="G16" s="21">
        <f t="shared" si="1"/>
        <v>0</v>
      </c>
      <c r="H16" s="21">
        <f t="shared" si="1"/>
        <v>0</v>
      </c>
      <c r="I16" s="21">
        <f t="shared" si="1"/>
        <v>0</v>
      </c>
      <c r="J16" s="21">
        <f t="shared" si="1"/>
        <v>6.1193171858517477E-2</v>
      </c>
      <c r="K16" s="21">
        <f t="shared" si="1"/>
        <v>0</v>
      </c>
      <c r="L16" s="21">
        <f t="shared" ca="1" si="1"/>
        <v>0</v>
      </c>
      <c r="M16" s="21">
        <f t="shared" si="1"/>
        <v>0</v>
      </c>
      <c r="N16" s="21">
        <f t="shared" ca="1" si="1"/>
        <v>2369.7683902201711</v>
      </c>
      <c r="O16" s="21">
        <f>O5</f>
        <v>9.7945215316823084</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0.15202231573505215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4568.3281139947258</v>
      </c>
      <c r="C20" s="23">
        <f t="shared" ref="C20:P20" ca="1" si="2">C16*C18</f>
        <v>0</v>
      </c>
      <c r="D20" s="23">
        <f t="shared" ca="1" si="2"/>
        <v>7226.6263733309952</v>
      </c>
      <c r="E20" s="23">
        <f t="shared" si="2"/>
        <v>31.597794271066025</v>
      </c>
      <c r="F20" s="23">
        <f t="shared" ca="1" si="2"/>
        <v>2057.8112394981531</v>
      </c>
      <c r="G20" s="23">
        <f t="shared" si="2"/>
        <v>0</v>
      </c>
      <c r="H20" s="23">
        <f t="shared" si="2"/>
        <v>0</v>
      </c>
      <c r="I20" s="23">
        <f t="shared" si="2"/>
        <v>0</v>
      </c>
      <c r="J20" s="23">
        <f t="shared" si="2"/>
        <v>2.1662382837915186E-2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4984.6517720000002</v>
      </c>
      <c r="C26" s="39">
        <f>IF(ISERROR(B26*3.6/1000000/'E Balans VL '!Z12*100),0,B26*3.6/1000000/'E Balans VL '!Z12*100)</f>
        <v>0.14300919025749492</v>
      </c>
      <c r="D26" s="233" t="s">
        <v>835</v>
      </c>
      <c r="F26" s="6"/>
    </row>
    <row r="27" spans="1:18" ht="30">
      <c r="A27" s="228" t="s">
        <v>52</v>
      </c>
      <c r="B27" s="33">
        <f>IF(ISERROR(TER_horeca_ele_kWh/1000),0,TER_horeca_ele_kWh/1000)</f>
        <v>5199.6317309999995</v>
      </c>
      <c r="C27" s="39">
        <f>IF(ISERROR(B27*3.6/1000000/'E Balans VL '!Z9*100),0,B27*3.6/1000000/'E Balans VL '!Z9*100)</f>
        <v>0.3809268614675918</v>
      </c>
      <c r="D27" s="233" t="s">
        <v>835</v>
      </c>
      <c r="F27" s="6"/>
    </row>
    <row r="28" spans="1:18" ht="30">
      <c r="A28" s="168" t="s">
        <v>51</v>
      </c>
      <c r="B28" s="33">
        <f>IF(ISERROR(TER_handel_ele_kWh/1000),0,TER_handel_ele_kWh/1000)</f>
        <v>7452.3563569999997</v>
      </c>
      <c r="C28" s="39">
        <f>IF(ISERROR(B28*3.6/1000000/'E Balans VL '!Z13*100),0,B28*3.6/1000000/'E Balans VL '!Z13*100)</f>
        <v>0.23028409713123082</v>
      </c>
      <c r="D28" s="233" t="s">
        <v>835</v>
      </c>
      <c r="F28" s="6"/>
    </row>
    <row r="29" spans="1:18" ht="30">
      <c r="A29" s="228" t="s">
        <v>50</v>
      </c>
      <c r="B29" s="33">
        <f>IF(ISERROR(TER_gezond_ele_kWh/1000),0,TER_gezond_ele_kWh/1000)</f>
        <v>6000.2069869999996</v>
      </c>
      <c r="C29" s="39">
        <f>IF(ISERROR(B29*3.6/1000000/'E Balans VL '!Z10*100),0,B29*3.6/1000000/'E Balans VL '!Z10*100)</f>
        <v>0.58805717972874616</v>
      </c>
      <c r="D29" s="233" t="s">
        <v>835</v>
      </c>
      <c r="F29" s="6"/>
    </row>
    <row r="30" spans="1:18" ht="30">
      <c r="A30" s="228" t="s">
        <v>49</v>
      </c>
      <c r="B30" s="33">
        <f>IF(ISERROR(TER_ander_ele_kWh/1000),0,TER_ander_ele_kWh/1000)</f>
        <v>6050.2403109999996</v>
      </c>
      <c r="C30" s="39">
        <f>IF(ISERROR(B30*3.6/1000000/'E Balans VL '!Z14*100),0,B30*3.6/1000000/'E Balans VL '!Z14*100)</f>
        <v>0.25062049907925243</v>
      </c>
      <c r="D30" s="233" t="s">
        <v>835</v>
      </c>
      <c r="F30" s="6"/>
    </row>
    <row r="31" spans="1:18" ht="30">
      <c r="A31" s="228" t="s">
        <v>54</v>
      </c>
      <c r="B31" s="33">
        <f>IF(ISERROR(TER_onderwijs_ele_kWh/1000),0,TER_onderwijs_ele_kWh/1000)</f>
        <v>363.291248</v>
      </c>
      <c r="C31" s="39">
        <f>IF(ISERROR(B31*3.6/1000000/'E Balans VL '!Z11*100),0,B31*3.6/1000000/'E Balans VL '!Z11*100)</f>
        <v>0.1116283555046067</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2</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4</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7058.8668659999994</v>
      </c>
      <c r="C5" s="17">
        <f>IF(ISERROR('Eigen informatie GS &amp; warmtenet'!B61),0,'Eigen informatie GS &amp; warmtenet'!B61)</f>
        <v>0</v>
      </c>
      <c r="D5" s="30">
        <f>SUM(D6:D15)</f>
        <v>10838.776858644</v>
      </c>
      <c r="E5" s="17">
        <f>SUM(E6:E15)</f>
        <v>56.22462674525638</v>
      </c>
      <c r="F5" s="17">
        <f>SUM(F6:F15)</f>
        <v>1721.5447352124063</v>
      </c>
      <c r="G5" s="18"/>
      <c r="H5" s="17"/>
      <c r="I5" s="17"/>
      <c r="J5" s="17">
        <f>SUM(J6:J15)</f>
        <v>82.705334892999531</v>
      </c>
      <c r="K5" s="17"/>
      <c r="L5" s="17"/>
      <c r="M5" s="17"/>
      <c r="N5" s="17">
        <f>SUM(N6:N15)</f>
        <v>1394.4186306909871</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1659.3396089999999</v>
      </c>
      <c r="C8" s="33"/>
      <c r="D8" s="37">
        <f>IF( ISERROR(IND_metaal_Gas_kWH/1000),0,IND_metaal_Gas_kWH/1000)*0.903</f>
        <v>2602.5503551950001</v>
      </c>
      <c r="E8" s="33">
        <f>C30*'E Balans VL '!I18/100/3.6*1000000</f>
        <v>9.0453189950696444</v>
      </c>
      <c r="F8" s="33">
        <f>C30*'E Balans VL '!L18/100/3.6*1000000+C30*'E Balans VL '!N18/100/3.6*1000000</f>
        <v>106.86159756444209</v>
      </c>
      <c r="G8" s="34"/>
      <c r="H8" s="33"/>
      <c r="I8" s="33"/>
      <c r="J8" s="40">
        <f>C30*'E Balans VL '!D18/100/3.6*1000000+C30*'E Balans VL '!E18/100/3.6*1000000</f>
        <v>1.3592015433748574</v>
      </c>
      <c r="K8" s="33"/>
      <c r="L8" s="33"/>
      <c r="M8" s="33"/>
      <c r="N8" s="33">
        <f>C30*'E Balans VL '!Y18/100/3.6*1000000</f>
        <v>35.848935765979505</v>
      </c>
      <c r="O8" s="33"/>
      <c r="P8" s="33"/>
      <c r="R8" s="32"/>
    </row>
    <row r="9" spans="1:18">
      <c r="A9" s="6" t="s">
        <v>32</v>
      </c>
      <c r="B9" s="37">
        <f t="shared" si="0"/>
        <v>1923.4995330000002</v>
      </c>
      <c r="C9" s="33"/>
      <c r="D9" s="37">
        <f>IF( ISERROR(IND_andere_gas_kWh/1000),0,IND_andere_gas_kWh/1000)*0.903</f>
        <v>1873.6496961210003</v>
      </c>
      <c r="E9" s="33">
        <f>C31*'E Balans VL '!I19/100/3.6*1000000</f>
        <v>6.2093840655632402</v>
      </c>
      <c r="F9" s="33">
        <f>C31*'E Balans VL '!L19/100/3.6*1000000+C31*'E Balans VL '!N19/100/3.6*1000000</f>
        <v>1243.7498976272732</v>
      </c>
      <c r="G9" s="34"/>
      <c r="H9" s="33"/>
      <c r="I9" s="33"/>
      <c r="J9" s="40">
        <f>C31*'E Balans VL '!D19/100/3.6*1000000+C31*'E Balans VL '!E19/100/3.6*1000000</f>
        <v>0</v>
      </c>
      <c r="K9" s="33"/>
      <c r="L9" s="33"/>
      <c r="M9" s="33"/>
      <c r="N9" s="33">
        <f>C31*'E Balans VL '!Y19/100/3.6*1000000</f>
        <v>77.726394291714527</v>
      </c>
      <c r="O9" s="33"/>
      <c r="P9" s="33"/>
      <c r="R9" s="32"/>
    </row>
    <row r="10" spans="1:18">
      <c r="A10" s="6" t="s">
        <v>40</v>
      </c>
      <c r="B10" s="37">
        <f t="shared" si="0"/>
        <v>935.31356999999991</v>
      </c>
      <c r="C10" s="33"/>
      <c r="D10" s="37">
        <f>IF( ISERROR(IND_voed_gas_kWh/1000),0,IND_voed_gas_kWh/1000)*0.903</f>
        <v>1069.6089920459999</v>
      </c>
      <c r="E10" s="33">
        <f>C32*'E Balans VL '!I20/100/3.6*1000000</f>
        <v>1.9606464633457046</v>
      </c>
      <c r="F10" s="33">
        <f>C32*'E Balans VL '!L20/100/3.6*1000000+C32*'E Balans VL '!N20/100/3.6*1000000</f>
        <v>18.223140672400532</v>
      </c>
      <c r="G10" s="34"/>
      <c r="H10" s="33"/>
      <c r="I10" s="33"/>
      <c r="J10" s="40">
        <f>C32*'E Balans VL '!D20/100/3.6*1000000+C32*'E Balans VL '!E20/100/3.6*1000000</f>
        <v>0</v>
      </c>
      <c r="K10" s="33"/>
      <c r="L10" s="33"/>
      <c r="M10" s="33"/>
      <c r="N10" s="33">
        <f>C32*'E Balans VL '!Y20/100/3.6*1000000</f>
        <v>37.204180745349049</v>
      </c>
      <c r="O10" s="33"/>
      <c r="P10" s="33"/>
      <c r="R10" s="32"/>
    </row>
    <row r="11" spans="1:18">
      <c r="A11" s="6" t="s">
        <v>39</v>
      </c>
      <c r="B11" s="37">
        <f t="shared" si="0"/>
        <v>88.557816000000003</v>
      </c>
      <c r="C11" s="33"/>
      <c r="D11" s="37">
        <f>IF( ISERROR(IND_textiel_gas_kWh/1000),0,IND_textiel_gas_kWh/1000)*0.903</f>
        <v>107.779604877</v>
      </c>
      <c r="E11" s="33">
        <f>C33*'E Balans VL '!I21/100/3.6*1000000</f>
        <v>7.6095069198810969E-2</v>
      </c>
      <c r="F11" s="33">
        <f>C33*'E Balans VL '!L21/100/3.6*1000000+C33*'E Balans VL '!N21/100/3.6*1000000</f>
        <v>1.8567065250161356</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2267.539671</v>
      </c>
      <c r="C12" s="33"/>
      <c r="D12" s="37">
        <f>IF( ISERROR(IND_min_gas_kWh/1000),0,IND_min_gas_kWh/1000)*0.903</f>
        <v>5072.732257488</v>
      </c>
      <c r="E12" s="33">
        <f>C34*'E Balans VL '!I22/100/3.6*1000000</f>
        <v>37.108420242705861</v>
      </c>
      <c r="F12" s="33">
        <f>C34*'E Balans VL '!L22/100/3.6*1000000+C34*'E Balans VL '!N22/100/3.6*1000000</f>
        <v>346.10439442513393</v>
      </c>
      <c r="G12" s="34"/>
      <c r="H12" s="33"/>
      <c r="I12" s="33"/>
      <c r="J12" s="40">
        <f>C34*'E Balans VL '!D22/100/3.6*1000000+C34*'E Balans VL '!E22/100/3.6*1000000</f>
        <v>81.147457301947</v>
      </c>
      <c r="K12" s="33"/>
      <c r="L12" s="33"/>
      <c r="M12" s="33"/>
      <c r="N12" s="33">
        <f>C34*'E Balans VL '!Y22/100/3.6*1000000</f>
        <v>1242.6598656604187</v>
      </c>
      <c r="O12" s="33"/>
      <c r="P12" s="33"/>
      <c r="R12" s="32"/>
    </row>
    <row r="13" spans="1:18">
      <c r="A13" s="6" t="s">
        <v>38</v>
      </c>
      <c r="B13" s="37">
        <f t="shared" si="0"/>
        <v>153.621512</v>
      </c>
      <c r="C13" s="33"/>
      <c r="D13" s="37">
        <f>IF( ISERROR(IND_papier_gas_kWh/1000),0,IND_papier_gas_kWh/1000)*0.903</f>
        <v>112.455952917</v>
      </c>
      <c r="E13" s="33">
        <f>C35*'E Balans VL '!I23/100/3.6*1000000</f>
        <v>0</v>
      </c>
      <c r="F13" s="33">
        <f>C35*'E Balans VL '!L23/100/3.6*1000000+C35*'E Balans VL '!N23/100/3.6*1000000</f>
        <v>2.0578085849588649E-2</v>
      </c>
      <c r="G13" s="34"/>
      <c r="H13" s="33"/>
      <c r="I13" s="33"/>
      <c r="J13" s="40">
        <f>C35*'E Balans VL '!D23/100/3.6*1000000+C35*'E Balans VL '!E23/100/3.6*1000000</f>
        <v>3.0387301655639968E-2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30.995155</v>
      </c>
      <c r="C15" s="33"/>
      <c r="D15" s="37">
        <f>IF( ISERROR(IND_rest_gas_kWh/1000),0,IND_rest_gas_kWh/1000)*0.903</f>
        <v>0</v>
      </c>
      <c r="E15" s="33">
        <f>C37*'E Balans VL '!I15/100/3.6*1000000</f>
        <v>1.8247619093731147</v>
      </c>
      <c r="F15" s="33">
        <f>C37*'E Balans VL '!L15/100/3.6*1000000+C37*'E Balans VL '!N15/100/3.6*1000000</f>
        <v>4.7284203122908988</v>
      </c>
      <c r="G15" s="34"/>
      <c r="H15" s="33"/>
      <c r="I15" s="33"/>
      <c r="J15" s="40">
        <f>C37*'E Balans VL '!D15/100/3.6*1000000+C37*'E Balans VL '!E15/100/3.6*1000000</f>
        <v>0.16828874602204527</v>
      </c>
      <c r="K15" s="33"/>
      <c r="L15" s="33"/>
      <c r="M15" s="33"/>
      <c r="N15" s="33">
        <f>C37*'E Balans VL '!Y15/100/3.6*1000000</f>
        <v>0.97925422752528535</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7058.8668659999994</v>
      </c>
      <c r="C18" s="21">
        <f>C5+C16</f>
        <v>0</v>
      </c>
      <c r="D18" s="21">
        <f>MAX((D5+D16),0)</f>
        <v>10838.776858644</v>
      </c>
      <c r="E18" s="21">
        <f>MAX((E5+E16),0)</f>
        <v>56.22462674525638</v>
      </c>
      <c r="F18" s="21">
        <f>MAX((F5+F16),0)</f>
        <v>1721.5447352124063</v>
      </c>
      <c r="G18" s="21"/>
      <c r="H18" s="21"/>
      <c r="I18" s="21"/>
      <c r="J18" s="21">
        <f>MAX((J5+J16),0)</f>
        <v>82.705334892999531</v>
      </c>
      <c r="K18" s="21"/>
      <c r="L18" s="21">
        <f>MAX((L5+L16),0)</f>
        <v>0</v>
      </c>
      <c r="M18" s="21"/>
      <c r="N18" s="21">
        <f>MAX((N5+N16),0)</f>
        <v>1394.4186306909871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0.15202231573505215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1073.1052874347499</v>
      </c>
      <c r="C22" s="23">
        <f ca="1">C18*C20</f>
        <v>0</v>
      </c>
      <c r="D22" s="23">
        <f>D18*D20</f>
        <v>2189.4329254460881</v>
      </c>
      <c r="E22" s="23">
        <f>E18*E20</f>
        <v>12.762990271173198</v>
      </c>
      <c r="F22" s="23">
        <f>F18*F20</f>
        <v>459.65244430171253</v>
      </c>
      <c r="G22" s="23"/>
      <c r="H22" s="23"/>
      <c r="I22" s="23"/>
      <c r="J22" s="23">
        <f>J18*J20</f>
        <v>29.277688552121834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1659.3396089999999</v>
      </c>
      <c r="C30" s="39">
        <f>IF(ISERROR(B30*3.6/1000000/'E Balans VL '!Z18*100),0,B30*3.6/1000000/'E Balans VL '!Z18*100)</f>
        <v>9.9920881277302476E-2</v>
      </c>
      <c r="D30" s="233" t="s">
        <v>835</v>
      </c>
    </row>
    <row r="31" spans="1:18" ht="30">
      <c r="A31" s="6" t="s">
        <v>32</v>
      </c>
      <c r="B31" s="37">
        <f>IF( ISERROR(IND_ander_ele_kWh/1000),0,IND_ander_ele_kWh/1000)</f>
        <v>1923.4995330000002</v>
      </c>
      <c r="C31" s="39">
        <f>IF(ISERROR(B31*3.6/1000000/'E Balans VL '!Z19*100),0,B31*3.6/1000000/'E Balans VL '!Z19*100)</f>
        <v>7.8367353076718743E-2</v>
      </c>
      <c r="D31" s="233" t="s">
        <v>835</v>
      </c>
    </row>
    <row r="32" spans="1:18" ht="30">
      <c r="A32" s="168" t="s">
        <v>40</v>
      </c>
      <c r="B32" s="37">
        <f>IF( ISERROR(IND_voed_ele_kWh/1000),0,IND_voed_ele_kWh/1000)</f>
        <v>935.31356999999991</v>
      </c>
      <c r="C32" s="39">
        <f>IF(ISERROR(B32*3.6/1000000/'E Balans VL '!Z20*100),0,B32*3.6/1000000/'E Balans VL '!Z20*100)</f>
        <v>2.7043679291760932E-2</v>
      </c>
      <c r="D32" s="233" t="s">
        <v>835</v>
      </c>
    </row>
    <row r="33" spans="1:5" ht="30">
      <c r="A33" s="168" t="s">
        <v>39</v>
      </c>
      <c r="B33" s="37">
        <f>IF( ISERROR(IND_textiel_ele_kWh/1000),0,IND_textiel_ele_kWh/1000)</f>
        <v>88.557816000000003</v>
      </c>
      <c r="C33" s="39">
        <f>IF(ISERROR(B33*3.6/1000000/'E Balans VL '!Z21*100),0,B33*3.6/1000000/'E Balans VL '!Z21*100)</f>
        <v>1.4563649607427938E-2</v>
      </c>
      <c r="D33" s="233" t="s">
        <v>835</v>
      </c>
    </row>
    <row r="34" spans="1:5" ht="30">
      <c r="A34" s="168" t="s">
        <v>36</v>
      </c>
      <c r="B34" s="37">
        <f>IF( ISERROR(IND_min_ele_kWh/1000),0,IND_min_ele_kWh/1000)</f>
        <v>2267.539671</v>
      </c>
      <c r="C34" s="39">
        <f>IF(ISERROR(B34*3.6/1000000/'E Balans VL '!Z22*100),0,B34*3.6/1000000/'E Balans VL '!Z22*100)</f>
        <v>0.96821836897457536</v>
      </c>
      <c r="D34" s="233" t="s">
        <v>835</v>
      </c>
    </row>
    <row r="35" spans="1:5" ht="30">
      <c r="A35" s="168" t="s">
        <v>38</v>
      </c>
      <c r="B35" s="37">
        <f>IF( ISERROR(IND_papier_ele_kWh/1000),0,IND_papier_ele_kWh/1000)</f>
        <v>153.621512</v>
      </c>
      <c r="C35" s="39">
        <f>IF(ISERROR(B35*3.6/1000000/'E Balans VL '!Z22*100),0,B35*3.6/1000000/'E Balans VL '!Z22*100)</f>
        <v>6.5594958134713999E-2</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30.995155</v>
      </c>
      <c r="C37" s="39">
        <f>IF(ISERROR(B37*3.6/1000000/'E Balans VL '!Z15*100),0,B37*3.6/1000000/'E Balans VL '!Z15*100)</f>
        <v>2.5449369894900024E-4</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2593.1604309999998</v>
      </c>
      <c r="C5" s="17">
        <f>'Eigen informatie GS &amp; warmtenet'!B62</f>
        <v>0</v>
      </c>
      <c r="D5" s="30">
        <f>IF(ISERROR(SUM(LB_lb_gas_kWh,LB_rest_gas_kWh)/1000),0,SUM(LB_lb_gas_kWh,LB_rest_gas_kWh)/1000)*0.903</f>
        <v>2161.4858169030003</v>
      </c>
      <c r="E5" s="17">
        <f>B17*'E Balans VL '!I25/3.6*1000000/100</f>
        <v>74.272503174720796</v>
      </c>
      <c r="F5" s="17">
        <f>B17*('E Balans VL '!L25/3.6*1000000+'E Balans VL '!N25/3.6*1000000)/100</f>
        <v>8208.606394292623</v>
      </c>
      <c r="G5" s="18"/>
      <c r="H5" s="17"/>
      <c r="I5" s="17"/>
      <c r="J5" s="17">
        <f>('E Balans VL '!D25+'E Balans VL '!E25)/3.6*1000000*landbouw!B17/100</f>
        <v>659.359266162935</v>
      </c>
      <c r="K5" s="17"/>
      <c r="L5" s="17">
        <f>L6*(-1)</f>
        <v>0</v>
      </c>
      <c r="M5" s="17"/>
      <c r="N5" s="17">
        <f>N6*(-1)</f>
        <v>0</v>
      </c>
      <c r="O5" s="17"/>
      <c r="P5" s="17"/>
      <c r="R5" s="32"/>
    </row>
    <row r="6" spans="1:18">
      <c r="A6" s="16" t="s">
        <v>467</v>
      </c>
      <c r="B6" s="17" t="s">
        <v>204</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2593.1604309999998</v>
      </c>
      <c r="C8" s="21">
        <f>C5+C6</f>
        <v>0</v>
      </c>
      <c r="D8" s="21">
        <f>MAX((D5+D6),0)</f>
        <v>2161.4858169030003</v>
      </c>
      <c r="E8" s="21">
        <f>MAX((E5+E6),0)</f>
        <v>74.272503174720796</v>
      </c>
      <c r="F8" s="21">
        <f>MAX((F5+F6),0)</f>
        <v>8208.606394292623</v>
      </c>
      <c r="G8" s="21"/>
      <c r="H8" s="21"/>
      <c r="I8" s="21"/>
      <c r="J8" s="21">
        <f>MAX((J5+J6),0)</f>
        <v>659.359266162935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0.15202231573505215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394.21825379312588</v>
      </c>
      <c r="C12" s="23">
        <f ca="1">C8*C10</f>
        <v>0</v>
      </c>
      <c r="D12" s="23">
        <f>D8*D10</f>
        <v>436.62013501440612</v>
      </c>
      <c r="E12" s="23">
        <f>E8*E10</f>
        <v>16.859858220661621</v>
      </c>
      <c r="F12" s="23">
        <f>F8*F10</f>
        <v>2191.6979072761305</v>
      </c>
      <c r="G12" s="23"/>
      <c r="H12" s="23"/>
      <c r="I12" s="23"/>
      <c r="J12" s="23">
        <f>J8*J10</f>
        <v>233.41318022167897</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0.35909389255317786</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440.56383903659616</v>
      </c>
      <c r="C26" s="243">
        <f>B26*'GWP N2O_CH4'!B5</f>
        <v>9251.8406197685199</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163.30522450695975</v>
      </c>
      <c r="C27" s="243">
        <f>B27*'GWP N2O_CH4'!B5</f>
        <v>3429.4097146461545</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5.9525500039902193</v>
      </c>
      <c r="C28" s="243">
        <f>B28*'GWP N2O_CH4'!B4</f>
        <v>1845.2905012369679</v>
      </c>
      <c r="D28" s="50"/>
    </row>
    <row r="29" spans="1:4">
      <c r="A29" s="41" t="s">
        <v>266</v>
      </c>
      <c r="B29" s="243">
        <f>B34*'ha_N2O bodem landbouw'!B4</f>
        <v>23.493194024552743</v>
      </c>
      <c r="C29" s="243">
        <f>B29*'GWP N2O_CH4'!B4</f>
        <v>7282.8901476113506</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5.3372332181610494E-3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9.2494782926650905E-4</v>
      </c>
      <c r="C5" s="432" t="s">
        <v>204</v>
      </c>
      <c r="D5" s="417">
        <f>SUM(D6:D11)</f>
        <v>1.6820787958963207E-3</v>
      </c>
      <c r="E5" s="417">
        <f>SUM(E6:E11)</f>
        <v>6.5798890422415256E-4</v>
      </c>
      <c r="F5" s="430" t="s">
        <v>204</v>
      </c>
      <c r="G5" s="417">
        <f>SUM(G6:G11)</f>
        <v>0.25000757553902703</v>
      </c>
      <c r="H5" s="417">
        <f>SUM(H6:H11)</f>
        <v>8.2251058352585782E-2</v>
      </c>
      <c r="I5" s="432" t="s">
        <v>204</v>
      </c>
      <c r="J5" s="432" t="s">
        <v>204</v>
      </c>
      <c r="K5" s="432" t="s">
        <v>204</v>
      </c>
      <c r="L5" s="432" t="s">
        <v>204</v>
      </c>
      <c r="M5" s="417">
        <f>SUM(M6:M11)</f>
        <v>2.0185915962627976E-2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6.9261990994892741E-4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1.1547956646822794E-3</v>
      </c>
      <c r="E6" s="884">
        <f>vkm_GW_PW*SUMIFS(TableVerdeelsleutelVkm[LPG],TableVerdeelsleutelVkm[Voertuigtype],"Lichte voertuigen")*SUMIFS(TableECFTransport[EnergieConsumptieFactor (PJ per km)],TableECFTransport[Index],CONCATENATE($A6,"_LPG_LPG"))</f>
        <v>4.5782951298900521E-4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0.1375892695321172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5.6633200572674021E-2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1.1914975761622312E-2</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1.2990514931269153E-6</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5.1495219993648804E-2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3.7996018674039791E-7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2.9567684461928897E-3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2.3091479453274128E-4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5.2728313121404118E-4</v>
      </c>
      <c r="E8" s="420">
        <f>vkm_NGW_PW*SUMIFS(TableVerdeelsleutelVkm[LPG],TableVerdeelsleutelVkm[Voertuigtype],"Lichte voertuigen")*SUMIFS(TableECFTransport[EnergieConsumptieFactor (PJ per km)],TableECFTransport[Index],CONCATENATE($A8,"_LPG_LPG"))</f>
        <v>2.0015939123514735E-4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5.5099893536356713E-2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2.5617437546895293E-2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4.9798140816262161E-3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1.1407329171344029E-7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5.8231924769043177E-3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4.027282973921116E-8</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3.3435767318655758E-4</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0">
        <f>vkm_SW_PW*SUMIFS(TableVerdeelsleutelVkm[LPG],TableVerdeelsleutelVkm[Voertuigtype],"Lichte voertuigen")*SUMIFS(TableECFTransport[EnergieConsumptieFactor (PJ per km)],TableECFTransport[Index],CONCATENATE($A10,"_LPG_LPG"))</f>
        <v>0</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256.92995257403027</v>
      </c>
      <c r="C14" s="21"/>
      <c r="D14" s="21">
        <f t="shared" ref="D14:M14" si="0">((D5)*10^9/3600)+D12</f>
        <v>467.24410997120015</v>
      </c>
      <c r="E14" s="21">
        <f t="shared" si="0"/>
        <v>182.77469561782016</v>
      </c>
      <c r="F14" s="21"/>
      <c r="G14" s="21">
        <f t="shared" si="0"/>
        <v>69446.548760840844</v>
      </c>
      <c r="H14" s="21">
        <f t="shared" si="0"/>
        <v>22847.516209051606</v>
      </c>
      <c r="I14" s="21"/>
      <c r="J14" s="21"/>
      <c r="K14" s="21"/>
      <c r="L14" s="21"/>
      <c r="M14" s="21">
        <f t="shared" si="0"/>
        <v>5607.198878507771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0.15202231573505215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39.059086372001204</v>
      </c>
      <c r="C18" s="23"/>
      <c r="D18" s="23">
        <f t="shared" ref="D18:M18" si="1">D14*D16</f>
        <v>94.38331021418243</v>
      </c>
      <c r="E18" s="23">
        <f t="shared" si="1"/>
        <v>41.489855905245179</v>
      </c>
      <c r="F18" s="23"/>
      <c r="G18" s="23">
        <f t="shared" si="1"/>
        <v>18542.228519144508</v>
      </c>
      <c r="H18" s="23">
        <f t="shared" si="1"/>
        <v>5689.0315360538498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1.217677423835983E-4</v>
      </c>
      <c r="C50" s="315">
        <f t="shared" ref="C50:P50" si="2">SUM(C51:C52)</f>
        <v>0</v>
      </c>
      <c r="D50" s="315">
        <f t="shared" si="2"/>
        <v>0</v>
      </c>
      <c r="E50" s="315">
        <f t="shared" si="2"/>
        <v>0</v>
      </c>
      <c r="F50" s="315">
        <f t="shared" si="2"/>
        <v>0</v>
      </c>
      <c r="G50" s="315">
        <f t="shared" si="2"/>
        <v>7.623028802880928E-3</v>
      </c>
      <c r="H50" s="315">
        <f t="shared" si="2"/>
        <v>0</v>
      </c>
      <c r="I50" s="315">
        <f t="shared" si="2"/>
        <v>0</v>
      </c>
      <c r="J50" s="315">
        <f t="shared" si="2"/>
        <v>0</v>
      </c>
      <c r="K50" s="315">
        <f t="shared" si="2"/>
        <v>0</v>
      </c>
      <c r="L50" s="315">
        <f t="shared" si="2"/>
        <v>0</v>
      </c>
      <c r="M50" s="315">
        <f t="shared" si="2"/>
        <v>4.376974347006814E-4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1.217677423835983E-4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7.623028802880928E-3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4.376974347006814E-4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33.82437288433286</v>
      </c>
      <c r="C54" s="21">
        <f t="shared" ref="C54:P54" si="3">(C50)*10^9/3600</f>
        <v>0</v>
      </c>
      <c r="D54" s="21">
        <f t="shared" si="3"/>
        <v>0</v>
      </c>
      <c r="E54" s="21">
        <f t="shared" si="3"/>
        <v>0</v>
      </c>
      <c r="F54" s="21">
        <f t="shared" si="3"/>
        <v>0</v>
      </c>
      <c r="G54" s="21">
        <f t="shared" si="3"/>
        <v>2117.5080008002578</v>
      </c>
      <c r="H54" s="21">
        <f t="shared" si="3"/>
        <v>0</v>
      </c>
      <c r="I54" s="21">
        <f t="shared" si="3"/>
        <v>0</v>
      </c>
      <c r="J54" s="21">
        <f t="shared" si="3"/>
        <v>0</v>
      </c>
      <c r="K54" s="21">
        <f t="shared" si="3"/>
        <v>0</v>
      </c>
      <c r="L54" s="21">
        <f t="shared" si="3"/>
        <v>0</v>
      </c>
      <c r="M54" s="21">
        <f t="shared" si="3"/>
        <v>121.58262075018928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0.15202231573505215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5.1420594941621864</v>
      </c>
      <c r="C58" s="23">
        <f t="shared" ref="C58:P58" ca="1" si="4">C54*C56</f>
        <v>0</v>
      </c>
      <c r="D58" s="23">
        <f t="shared" si="4"/>
        <v>0</v>
      </c>
      <c r="E58" s="23">
        <f t="shared" si="4"/>
        <v>0</v>
      </c>
      <c r="F58" s="23">
        <f t="shared" si="4"/>
        <v>0</v>
      </c>
      <c r="G58" s="23">
        <f t="shared" si="4"/>
        <v>565.37463621366885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12434.368383861321</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14461.150983459615</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26895.519367320936</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0</v>
      </c>
      <c r="C17" s="574">
        <f>B49</f>
        <v>0</v>
      </c>
      <c r="D17" s="575"/>
      <c r="E17" s="575">
        <f>E49</f>
        <v>0</v>
      </c>
      <c r="F17" s="576"/>
      <c r="G17" s="577"/>
      <c r="H17" s="574">
        <f>I49</f>
        <v>0</v>
      </c>
      <c r="I17" s="575">
        <f>G49+F49</f>
        <v>0</v>
      </c>
      <c r="J17" s="575">
        <f>H49+D49+C49</f>
        <v>0</v>
      </c>
      <c r="K17" s="575"/>
      <c r="L17" s="575"/>
      <c r="M17" s="575"/>
      <c r="N17" s="960"/>
      <c r="O17" s="578">
        <f>C17*$C$22+E17*$E$22+H17*$H$22+I17*$I$22+J17*$J$22+D17*$D$22+F17*$F$22+G17*$G$22+K17*$K$22+L17*$L$22</f>
        <v>0</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12.75" hidden="1">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hidden="1">
      <c r="A29" s="590" t="s">
        <v>269</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2021-11-11T12:21:27Z</dcterms:modified>
</cp:coreProperties>
</file>