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A2CC0719-189B-416E-AEAA-830363D088A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D10"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2" i="13"/>
  <c r="B34" i="13"/>
  <c r="B33"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<sst xmlns="http://schemas.openxmlformats.org/spreadsheetml/2006/main" count="2417" uniqueCount="868">
  <si>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</si>
  <si>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</si>
  <si>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</si>
  <si>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</si>
  <si>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</si>
  <si>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</si>
  <si>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</si>
  <si>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</si>
  <si>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</si>
  <si>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</si>
  <si>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</si>
  <si>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</si>
  <si>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</si>
  <si>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</si>
  <si>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</si>
  <si>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</si>
  <si>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</si>
  <si>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</si>
  <si>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</si>
  <si>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</si>
  <si>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</si>
  <si>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</si>
  <si>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</si>
  <si>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</si>
  <si>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</si>
  <si>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</si>
  <si>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</si>
  <si>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</si>
  <si>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</si>
  <si>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</si>
  <si>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</si>
  <si>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</si>
  <si>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</si>
  <si>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</si>
  <si>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</si>
  <si>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</si>
  <si>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</si>
  <si>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</si>
  <si>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</si>
  <si>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</si>
  <si>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</si>
  <si>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</si>
  <si>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</si>
  <si>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</si>
  <si>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</si>
  <si>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</si>
  <si>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</si>
  <si>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</si>
  <si>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</si>
  <si>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</si>
  <si>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</si>
  <si>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</si>
  <si>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</si>
  <si>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</si>
  <si>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</si>
  <si>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</si>
  <si>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</si>
  <si>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</si>
  <si>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</si>
  <si>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</si>
  <si>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</si>
  <si>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</si>
  <si>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</si>
  <si>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</si>
  <si>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</si>
  <si>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</si>
  <si>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</si>
  <si>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</si>
  <si>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</si>
  <si>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</si>
  <si>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</si>
  <si>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</si>
  <si>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</si>
  <si>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</si>
  <si>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</si>
  <si>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</si>
  <si>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</si>
  <si>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</si>
  <si>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</si>
  <si>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</si>
  <si>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</si>
  <si>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</si>
  <si>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</si>
  <si>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</si>
  <si>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</si>
  <si>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</si>
  <si>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</si>
  <si>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</si>
  <si>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</si>
  <si>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</si>
  <si>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</si>
  <si>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</si>
  <si>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</si>
  <si>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</si>
  <si>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</si>
  <si>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</si>
  <si>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</si>
  <si>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</si>
  <si>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</si>
  <si>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</si>
  <si>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</si>
  <si>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</si>
  <si>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</si>
  <si>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</si>
  <si>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</si>
  <si>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</si>
  <si>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</si>
  <si>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</si>
  <si>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</si>
  <si>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</si>
  <si>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</si>
  <si>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</si>
  <si>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</si>
  <si>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</si>
  <si>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</si>
  <si>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</si>
  <si>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</si>
  <si>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</si>
  <si>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</si>
  <si>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</si>
  <si>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</si>
  <si>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</si>
  <si>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</si>
  <si>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</si>
  <si>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</si>
  <si>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</si>
  <si>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</si>
  <si>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</si>
  <si>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</si>
  <si>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</si>
  <si>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</si>
  <si>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</si>
  <si>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</si>
  <si>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</si>
  <si>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</si>
  <si>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</si>
  <si>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</si>
  <si>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</si>
  <si>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</si>
  <si>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</si>
  <si>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</si>
  <si>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</si>
  <si>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</si>
  <si>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</si>
  <si>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</si>
  <si>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</si>
  <si>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</si>
  <si>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</si>
  <si>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</si>
  <si>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</si>
  <si>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</si>
  <si>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</si>
  <si>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</si>
  <si>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</si>
  <si>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</si>
  <si>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</si>
  <si>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</si>
  <si>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</si>
  <si>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</si>
  <si>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</si>
  <si>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</si>
  <si>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</si>
  <si>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</si>
  <si>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</si>
  <si>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</si>
  <si>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</si>
  <si>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</si>
  <si>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</si>
  <si>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</si>
  <si>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</si>
  <si>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</si>
  <si>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</si>
  <si>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</si>
  <si>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</si>
  <si>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</si>
  <si>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</si>
  <si>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</si>
  <si>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</si>
  <si>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</si>
  <si>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</si>
  <si>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</si>
  <si>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</si>
  <si>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</si>
  <si>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</si>
  <si>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</si>
  <si>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</si>
  <si>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</si>
  <si>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</si>
  <si>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</si>
  <si>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</si>
  <si>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</si>
  <si>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</si>
  <si>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</si>
  <si>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</si>
  <si>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</si>
  <si>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</si>
  <si>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</si>
  <si>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</si>
  <si>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</si>
  <si>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</si>
  <si>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</si>
  <si>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</si>
  <si>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</si>
  <si>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</si>
  <si>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</si>
  <si>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</si>
  <si>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</si>
  <si>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</si>
  <si>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</si>
  <si>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</si>
  <si>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</si>
  <si>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</si>
  <si>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</si>
  <si>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</si>
  <si>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</si>
  <si>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</si>
  <si>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</si>
  <si>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</si>
  <si>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</si>
  <si>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</si>
  <si>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</si>
  <si>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</si>
  <si>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</si>
  <si>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</si>
  <si>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</si>
  <si>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</si>
  <si>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</si>
  <si>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</si>
  <si>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</si>
  <si>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</si>
  <si>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</si>
  <si>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</si>
  <si>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</si>
  <si>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</si>
  <si>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</si>
  <si>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</si>
  <si>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</si>
  <si>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</si>
  <si>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</si>
  <si>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</si>
  <si>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</si>
  <si>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</si>
  <si>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</si>
  <si>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</si>
  <si>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</si>
  <si>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</si>
  <si>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</si>
  <si>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</si>
  <si>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</si>
  <si>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</si>
  <si>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</si>
  <si>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</si>
  <si>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</si>
  <si>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</si>
  <si>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</si>
  <si>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</si>
  <si>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</si>
  <si>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</si>
  <si>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</si>
  <si>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</si>
  <si>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</si>
  <si>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</si>
  <si>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</si>
  <si>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</si>
  <si>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</si>
  <si>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</si>
  <si>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</si>
  <si>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</si>
  <si>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</si>
  <si>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</si>
  <si>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</si>
  <si>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</si>
  <si>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</si>
  <si>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</si>
  <si>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</si>
  <si>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</si>
  <si>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</si>
  <si>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</si>
  <si>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</si>
  <si>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</si>
  <si>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</si>
  <si>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</si>
  <si>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</si>
  <si>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</si>
  <si>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</si>
  <si>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</si>
  <si>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</si>
  <si>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</si>
  <si>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</si>
  <si>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</si>
  <si>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</si>
  <si>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</si>
  <si>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</si>
  <si>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</si>
  <si>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</si>
  <si>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</si>
  <si>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</si>
  <si>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</si>
  <si>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</si>
  <si>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</si>
  <si>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</si>
  <si>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</si>
  <si>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</si>
  <si>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</si>
  <si>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</si>
  <si>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</si>
  <si>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</si>
  <si>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</si>
  <si>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</si>
  <si>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</si>
  <si>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</si>
  <si>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</si>
  <si>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</si>
  <si>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</si>
  <si>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</si>
  <si>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</si>
  <si>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</si>
  <si>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</si>
  <si>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</si>
  <si>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</si>
  <si>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</si>
  <si>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</si>
  <si>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</si>
  <si>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</si>
  <si>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</si>
  <si>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</si>
  <si>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</si>
  <si>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</si>
  <si>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</si>
  <si>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</si>
  <si>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</si>
  <si>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</si>
  <si>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</si>
  <si>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</si>
  <si>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</si>
  <si>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</si>
  <si>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</si>
  <si>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</si>
  <si>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</si>
  <si>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</si>
  <si>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</si>
  <si>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</si>
  <si>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</si>
  <si>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</si>
  <si>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</si>
  <si>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</si>
  <si>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</si>
  <si>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</si>
  <si>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</si>
  <si>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</si>
  <si>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</si>
  <si>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</si>
  <si>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</si>
  <si>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</si>
  <si>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</si>
  <si>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</si>
  <si>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</si>
  <si>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</si>
  <si>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</si>
  <si>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</si>
  <si>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</si>
  <si>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</si>
  <si>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</si>
  <si>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</si>
  <si>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</si>
  <si>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</si>
  <si>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</si>
  <si>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</si>
  <si>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</si>
  <si>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</si>
  <si>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</si>
  <si>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</si>
  <si>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</si>
  <si>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</si>
  <si>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</si>
  <si>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</si>
  <si>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</si>
  <si>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</si>
  <si>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</si>
  <si>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</si>
  <si>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</si>
  <si>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</si>
  <si>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</si>
  <si>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</si>
  <si>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</si>
  <si>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</si>
  <si>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</si>
  <si>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</si>
  <si>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</si>
  <si>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</si>
  <si>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</si>
  <si>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</si>
  <si>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</si>
  <si>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</si>
  <si>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</si>
  <si>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</si>
  <si>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</si>
  <si>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</si>
  <si>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</si>
  <si>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</si>
  <si>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</si>
  <si>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</si>
  <si>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</si>
  <si>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</si>
  <si>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</si>
  <si>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</si>
  <si>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</si>
  <si>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</si>
  <si>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</si>
  <si>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</si>
  <si>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</si>
  <si>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</si>
  <si>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</si>
  <si>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</si>
  <si>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</si>
  <si>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</si>
  <si>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</si>
  <si>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</si>
  <si>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</si>
  <si>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</si>
  <si>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</si>
  <si>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</si>
  <si>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</si>
  <si>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</si>
  <si>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</si>
  <si>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</si>
  <si>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</si>
  <si>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</si>
  <si>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</si>
  <si>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</si>
  <si>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</si>
  <si>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</si>
  <si>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</si>
  <si>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</si>
  <si>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</si>
  <si>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</si>
  <si>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</si>
  <si>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</si>
  <si>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</si>
  <si>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</si>
  <si>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</si>
  <si>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</si>
  <si>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</si>
  <si>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</si>
  <si>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</si>
  <si>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</si>
  <si>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</si>
  <si>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</si>
  <si>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</si>
  <si>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</si>
  <si>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</si>
  <si>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</si>
  <si>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</si>
  <si>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</si>
  <si>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</si>
  <si>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</si>
  <si>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</si>
  <si>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</si>
  <si>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</si>
  <si>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</si>
  <si>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</si>
  <si>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</si>
  <si>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</si>
  <si>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</si>
  <si>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</si>
  <si>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</si>
  <si>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</si>
  <si>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</si>
  <si>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</si>
  <si>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</si>
  <si>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</si>
  <si>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</si>
  <si>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</si>
  <si>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</si>
  <si>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</si>
  <si>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</si>
  <si>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</si>
  <si>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</si>
  <si>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</si>
  <si>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</si>
  <si>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</si>
  <si>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</si>
  <si>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</si>
  <si>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</si>
  <si>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</si>
  <si>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</si>
  <si>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</si>
  <si>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</si>
  <si>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</si>
  <si>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</si>
  <si>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</si>
  <si>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</si>
  <si>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</si>
  <si>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</si>
  <si>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</si>
  <si>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</si>
  <si>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</si>
  <si>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</si>
  <si>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</si>
  <si>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</si>
  <si>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</si>
  <si>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</si>
  <si>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</si>
  <si>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</si>
  <si>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</si>
  <si>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</si>
  <si>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</si>
  <si>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</si>
  <si>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</si>
  <si>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</si>
  <si>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</si>
  <si>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</si>
  <si>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</si>
  <si>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</si>
  <si>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</si>
  <si>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</si>
  <si>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</si>
  <si>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</si>
  <si>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</si>
  <si>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</si>
  <si>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</si>
  <si>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</si>
  <si>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</si>
  <si>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</si>
  <si>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</si>
  <si>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</si>
  <si>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</si>
  <si>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</si>
  <si>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</si>
  <si>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</si>
  <si>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</si>
  <si>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</si>
  <si>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</si>
  <si>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</si>
  <si>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</si>
  <si>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</si>
  <si>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</si>
  <si>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</si>
  <si>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</si>
  <si>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</si>
  <si>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</si>
  <si>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</si>
  <si>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</si>
  <si>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</si>
  <si>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</si>
  <si>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</si>
  <si>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</si>
  <si>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</si>
  <si>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</si>
  <si>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</si>
  <si>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</si>
  <si>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</si>
  <si>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</si>
  <si>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</si>
  <si>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</si>
  <si>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</si>
  <si>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</si>
  <si>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</si>
  <si>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</si>
  <si>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</si>
  <si>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</si>
  <si>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</si>
  <si>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</si>
  <si>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</si>
  <si>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</si>
  <si>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</si>
  <si>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</si>
  <si>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</si>
  <si>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</si>
  <si>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</si>
  <si>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</si>
  <si>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</si>
  <si>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</si>
  <si>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</si>
  <si>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</si>
  <si>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</si>
  <si>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</si>
  <si>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</si>
  <si>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</si>
  <si>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</si>
  <si>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</si>
  <si>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</si>
  <si>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</si>
  <si>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</si>
  <si>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</si>
  <si>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</si>
  <si>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</si>
  <si>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</si>
  <si>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</si>
  <si>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</si>
  <si>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</si>
  <si>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</si>
  <si>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</si>
  <si>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</si>
  <si>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</si>
  <si>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</si>
  <si>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</si>
  <si>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</si>
  <si>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</si>
  <si>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</si>
  <si>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</si>
  <si>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</si>
  <si>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</si>
  <si>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</si>
  <si>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</si>
  <si>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</si>
  <si>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</si>
  <si>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</si>
  <si>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</si>
  <si>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</si>
  <si>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</si>
  <si>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</si>
  <si>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</si>
  <si>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</si>
  <si>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</si>
  <si>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</si>
  <si>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</si>
  <si>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</si>
  <si>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</si>
  <si>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</si>
  <si>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</si>
  <si>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</si>
  <si>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</si>
  <si>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</si>
  <si>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</si>
  <si>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</si>
  <si>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</si>
  <si>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</si>
  <si>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</si>
  <si>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</si>
  <si>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</si>
  <si>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</si>
  <si>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</si>
  <si>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</si>
  <si>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</si>
  <si>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</si>
  <si>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</si>
  <si>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</si>
  <si>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</si>
  <si>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</si>
  <si>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</si>
  <si>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</si>
  <si>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</si>
  <si>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</si>
  <si>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</si>
  <si>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</si>
  <si>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</si>
  <si>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</si>
  <si>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</si>
  <si>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</si>
  <si>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</si>
  <si>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</si>
  <si>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</si>
  <si>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</si>
  <si>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</si>
  <si>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</si>
  <si>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</si>
  <si>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</si>
  <si>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</si>
  <si>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</si>
  <si>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</si>
  <si>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</si>
  <si>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</si>
  <si>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</si>
  <si>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</si>
  <si>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</si>
  <si>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</si>
  <si>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</si>
  <si>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</si>
  <si>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</si>
  <si>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</si>
  <si>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</si>
  <si>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</si>
  <si>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</si>
  <si>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</si>
  <si>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</si>
  <si>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</si>
  <si>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</si>
  <si>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</si>
  <si>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</si>
  <si>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</si>
  <si>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</si>
  <si>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</si>
  <si>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</si>
  <si>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</si>
  <si>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</si>
  <si>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</si>
  <si>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</si>
  <si>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</si>
  <si>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</si>
  <si>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</si>
  <si>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</si>
  <si>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</si>
  <si>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</si>
  <si>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</si>
  <si>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</si>
  <si>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</si>
  <si>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</si>
  <si>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</si>
  <si>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</si>
  <si>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</si>
  <si>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</si>
  <si>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</si>
  <si>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</si>
  <si>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</si>
  <si>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</si>
  <si>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</si>
  <si>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</si>
  <si>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</si>
  <si>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</si>
  <si>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</si>
  <si>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</si>
  <si>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</si>
  <si>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</si>
  <si>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</si>
  <si>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</si>
  <si>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</si>
  <si>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</si>
  <si>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</si>
  <si>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</si>
  <si>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</si>
  <si>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</si>
  <si>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</si>
  <si>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</si>
  <si>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</si>
  <si>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</si>
  <si>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</si>
  <si>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</si>
  <si>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</si>
  <si>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</si>
  <si>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</si>
  <si>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</si>
  <si>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</si>
  <si>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</si>
  <si>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</si>
  <si>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</si>
  <si>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</si>
  <si>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</si>
  <si>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</si>
  <si>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</si>
  <si>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</si>
  <si>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</si>
  <si>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</si>
  <si>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</si>
  <si>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</si>
  <si>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</si>
  <si>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</si>
  <si>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</si>
  <si>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</si>
  <si>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</si>
  <si>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</si>
  <si>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</si>
  <si>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</si>
  <si>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</si>
  <si>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</si>
  <si>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</si>
  <si>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</si>
  <si>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</si>
  <si>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</si>
  <si>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</si>
  <si>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</si>
  <si>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</si>
  <si>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</si>
  <si>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</si>
  <si>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</si>
  <si>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</si>
  <si>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</si>
  <si>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</si>
  <si>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</si>
  <si>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</si>
  <si>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</si>
  <si>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</si>
  <si>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</si>
  <si>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</si>
  <si>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</si>
  <si>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</si>
  <si>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</si>
  <si>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</si>
  <si>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</si>
  <si>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</si>
  <si>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</si>
  <si>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</si>
  <si>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</si>
  <si>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</si>
  <si>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</si>
  <si>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</si>
  <si>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</si>
  <si>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</si>
  <si>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</si>
  <si>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</si>
  <si>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</si>
  <si>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</si>
  <si>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</si>
  <si>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</si>
  <si>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</si>
  <si>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</si>
  <si>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</si>
  <si>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</si>
  <si>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</si>
  <si>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</si>
  <si>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</si>
  <si>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</si>
  <si>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</si>
  <si>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</si>
  <si>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</si>
  <si>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</si>
  <si>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</si>
  <si>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</si>
  <si>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</si>
  <si>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</si>
  <si>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</si>
  <si>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</si>
  <si>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</si>
  <si>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</si>
  <si>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</si>
  <si>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</si>
  <si>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</si>
  <si>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</si>
  <si>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</si>
  <si>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</si>
  <si>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</si>
  <si>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</si>
  <si>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</si>
  <si>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</si>
  <si>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</si>
  <si>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</si>
  <si>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</si>
  <si>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</si>
  <si>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</si>
  <si>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</si>
  <si>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</si>
  <si>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</si>
  <si>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</si>
  <si>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</si>
  <si>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</si>
  <si>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</si>
  <si>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</si>
  <si>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</si>
  <si>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</si>
  <si>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</si>
  <si>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</si>
  <si>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</si>
  <si>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</si>
  <si>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</si>
  <si>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</si>
  <si>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</si>
  <si>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</si>
  <si>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</si>
  <si>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</si>
  <si>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</si>
  <si>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</si>
  <si>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</si>
  <si>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</si>
  <si>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</si>
  <si>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</si>
  <si>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</si>
  <si>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</si>
  <si>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</si>
  <si>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</si>
  <si>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</si>
  <si>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</si>
  <si>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</si>
  <si>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</si>
  <si>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</si>
  <si>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71070</t>
  </si>
  <si>
    <t>HEUSDEN-ZOLDER</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</si>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</sst>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232125D2-E4B8-42A9-BE70-56A5C408C57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260911.29157820245</c:v>
                </c:pt>
                <c:pt idx="1">
                  <c:v>108417.28611207158</c:v>
                </c:pt>
                <c:pt idx="2">
                  <c:v>2024.159895</c:v>
                </c:pt>
                <c:pt idx="3">
                  <c:v>596.1006287798225</c:v>
                </c:pt>
                <c:pt idx="4">
                  <c:v>98282.600289800976</c:v>
                </c:pt>
                <c:pt idx="5">
                  <c:v>304787.8072665889</c:v>
                </c:pt>
                <c:pt idx="6">
                  <c:v>3207.3614594885535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260911.29157820245</c:v>
                </c:pt>
                <c:pt idx="1">
                  <c:v>108417.28611207158</c:v>
                </c:pt>
                <c:pt idx="2">
                  <c:v>2024.159895</c:v>
                </c:pt>
                <c:pt idx="3">
                  <c:v>596.1006287798225</c:v>
                </c:pt>
                <c:pt idx="4">
                  <c:v>98282.600289800976</c:v>
                </c:pt>
                <c:pt idx="5">
                  <c:v>304787.8072665889</c:v>
                </c:pt>
                <c:pt idx="6">
                  <c:v>3207.3614594885535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51479.129025502625</c:v>
                </c:pt>
                <c:pt idx="1">
                  <c:v>19971.383662167966</c:v>
                </c:pt>
                <c:pt idx="2">
                  <c:v>324.28640209093578</c:v>
                </c:pt>
                <c:pt idx="3">
                  <c:v>146.60520290426234</c:v>
                </c:pt>
                <c:pt idx="4">
                  <c:v>18322.316022452414</c:v>
                </c:pt>
                <c:pt idx="5">
                  <c:v>75586.044636353603</c:v>
                </c:pt>
                <c:pt idx="6">
                  <c:v>805.45963904368705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51479.129025502625</c:v>
                </c:pt>
                <c:pt idx="1">
                  <c:v>19971.383662167966</c:v>
                </c:pt>
                <c:pt idx="2">
                  <c:v>324.28640209093578</c:v>
                </c:pt>
                <c:pt idx="3">
                  <c:v>146.60520290426234</c:v>
                </c:pt>
                <c:pt idx="4">
                  <c:v>18322.316022452414</c:v>
                </c:pt>
                <c:pt idx="5">
                  <c:v>75586.044636353603</c:v>
                </c:pt>
                <c:pt idx="6">
                  <c:v>805.45963904368705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71070</v>
      </c>
      <c r="B6" s="384"/>
      <c r="C6" s="385"/>
    </row>
    <row r="7" spans="1:7" s="382" customFormat="1" ht="15.75" customHeight="1">
      <c r="A7" s="386" t="str">
        <f>txtMunicipality</f>
        <v>HEUSDEN-ZOLDER</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46478.897861999998</v>
      </c>
      <c r="D10" s="681">
        <f ca="1">tertiair!C16</f>
        <v>0</v>
      </c>
      <c r="E10" s="681">
        <f ca="1">tertiair!D16</f>
        <v>48361.999269317996</v>
      </c>
      <c r="F10" s="681">
        <f>tertiair!E16</f>
        <v>244.67656657855352</v>
      </c>
      <c r="G10" s="681">
        <f ca="1">tertiair!F16</f>
        <v>11328.414639891276</v>
      </c>
      <c r="H10" s="681">
        <f>tertiair!G16</f>
        <v>0</v>
      </c>
      <c r="I10" s="681">
        <f>tertiair!H16</f>
        <v>0</v>
      </c>
      <c r="J10" s="681">
        <f>tertiair!I16</f>
        <v>0</v>
      </c>
      <c r="K10" s="681">
        <f>tertiair!J16</f>
        <v>8.8678913484130678E-2</v>
      </c>
      <c r="L10" s="681">
        <f>tertiair!K16</f>
        <v>0</v>
      </c>
      <c r="M10" s="681">
        <f ca="1">tertiair!L16</f>
        <v>0</v>
      </c>
      <c r="N10" s="681">
        <f>tertiair!M16</f>
        <v>0</v>
      </c>
      <c r="O10" s="681">
        <f ca="1">tertiair!N16</f>
        <v>3429.8494259354711</v>
      </c>
      <c r="P10" s="681">
        <f>tertiair!O16</f>
        <v>19.589043063364617</v>
      </c>
      <c r="Q10" s="682">
        <f>tertiair!P16</f>
        <v>577.93052137144514</v>
      </c>
      <c r="R10" s="684">
        <f ca="1">SUM(C10:Q10)</f>
        <v>110441.44600707157</v>
      </c>
      <c r="S10" s="67"/>
    </row>
    <row r="11" spans="1:19" s="443" customFormat="1">
      <c r="A11" s="802" t="s">
        <v>214</v>
      </c>
      <c r="B11" s="807"/>
      <c r="C11" s="681">
        <f>huishoudens!B8</f>
        <v>52603.230181229716</v>
      </c>
      <c r="D11" s="681">
        <f>huishoudens!C8</f>
        <v>0</v>
      </c>
      <c r="E11" s="681">
        <f>huishoudens!D8</f>
        <v>107238.899126982</v>
      </c>
      <c r="F11" s="681">
        <f>huishoudens!E8</f>
        <v>3494.854628470534</v>
      </c>
      <c r="G11" s="681">
        <f>huishoudens!F8</f>
        <v>76560.400841185925</v>
      </c>
      <c r="H11" s="681">
        <f>huishoudens!G8</f>
        <v>0</v>
      </c>
      <c r="I11" s="681">
        <f>huishoudens!H8</f>
        <v>0</v>
      </c>
      <c r="J11" s="681">
        <f>huishoudens!I8</f>
        <v>0</v>
      </c>
      <c r="K11" s="681">
        <f>huishoudens!J8</f>
        <v>436.32609809269144</v>
      </c>
      <c r="L11" s="681">
        <f>huishoudens!K8</f>
        <v>0</v>
      </c>
      <c r="M11" s="681">
        <f>huishoudens!L8</f>
        <v>0</v>
      </c>
      <c r="N11" s="681">
        <f>huishoudens!M8</f>
        <v>0</v>
      </c>
      <c r="O11" s="681">
        <f>huishoudens!N8</f>
        <v>17725.862687186695</v>
      </c>
      <c r="P11" s="681">
        <f>huishoudens!O8</f>
        <v>1103.0807699791897</v>
      </c>
      <c r="Q11" s="682">
        <f>huishoudens!P8</f>
        <v>1748.6372450757135</v>
      </c>
      <c r="R11" s="684">
        <f>SUM(C11:Q11)</f>
        <v>260911.29157820245</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37838.532231999998</v>
      </c>
      <c r="D13" s="681">
        <f>industrie!C18</f>
        <v>0</v>
      </c>
      <c r="E13" s="681">
        <f>industrie!D18</f>
        <v>49504.340907462007</v>
      </c>
      <c r="F13" s="681">
        <f>industrie!E18</f>
        <v>2188.4945719097555</v>
      </c>
      <c r="G13" s="681">
        <f>industrie!F18</f>
        <v>6392.7399364909406</v>
      </c>
      <c r="H13" s="681">
        <f>industrie!G18</f>
        <v>0</v>
      </c>
      <c r="I13" s="681">
        <f>industrie!H18</f>
        <v>0</v>
      </c>
      <c r="J13" s="681">
        <f>industrie!I18</f>
        <v>0</v>
      </c>
      <c r="K13" s="681">
        <f>industrie!J18</f>
        <v>160.33224341713381</v>
      </c>
      <c r="L13" s="681">
        <f>industrie!K18</f>
        <v>0</v>
      </c>
      <c r="M13" s="681">
        <f>industrie!L18</f>
        <v>0</v>
      </c>
      <c r="N13" s="681">
        <f>industrie!M18</f>
        <v>0</v>
      </c>
      <c r="O13" s="681">
        <f>industrie!N18</f>
        <v>2198.1603985211509</v>
      </c>
      <c r="P13" s="681">
        <f>industrie!O18</f>
        <v>0</v>
      </c>
      <c r="Q13" s="682">
        <f>industrie!P18</f>
        <v>0</v>
      </c>
      <c r="R13" s="684">
        <f>SUM(C13:Q13)</f>
        <v>98282.600289800976</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136920.66027522972</v>
      </c>
      <c r="D16" s="717">
        <f t="shared" ref="D16:R16" ca="1" si="0">SUM(D9:D15)</f>
        <v>0</v>
      </c>
      <c r="E16" s="717">
        <f t="shared" ca="1" si="0"/>
        <v>205105.23930376198</v>
      </c>
      <c r="F16" s="717">
        <f t="shared" si="0"/>
        <v>5928.0257669588427</v>
      </c>
      <c r="G16" s="717">
        <f t="shared" ca="1" si="0"/>
        <v>94281.555417568132</v>
      </c>
      <c r="H16" s="717">
        <f t="shared" si="0"/>
        <v>0</v>
      </c>
      <c r="I16" s="717">
        <f t="shared" si="0"/>
        <v>0</v>
      </c>
      <c r="J16" s="717">
        <f t="shared" si="0"/>
        <v>0</v>
      </c>
      <c r="K16" s="717">
        <f t="shared" si="0"/>
        <v>596.74702042330932</v>
      </c>
      <c r="L16" s="717">
        <f t="shared" si="0"/>
        <v>0</v>
      </c>
      <c r="M16" s="717">
        <f t="shared" ca="1" si="0"/>
        <v>0</v>
      </c>
      <c r="N16" s="717">
        <f t="shared" si="0"/>
        <v>0</v>
      </c>
      <c r="O16" s="717">
        <f t="shared" ca="1" si="0"/>
        <v>23353.872511643316</v>
      </c>
      <c r="P16" s="717">
        <f t="shared" si="0"/>
        <v>1122.6698130425543</v>
      </c>
      <c r="Q16" s="717">
        <f t="shared" si="0"/>
        <v>2326.5677664471586</v>
      </c>
      <c r="R16" s="717">
        <f t="shared" ca="1" si="0"/>
        <v>469635.337875075</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47.730333182810909</v>
      </c>
      <c r="D19" s="681">
        <f>transport!C54</f>
        <v>0</v>
      </c>
      <c r="E19" s="681">
        <f>transport!D54</f>
        <v>0</v>
      </c>
      <c r="F19" s="681">
        <f>transport!E54</f>
        <v>0</v>
      </c>
      <c r="G19" s="681">
        <f>transport!F54</f>
        <v>0</v>
      </c>
      <c r="H19" s="681">
        <f>transport!G54</f>
        <v>2988.0631561473406</v>
      </c>
      <c r="I19" s="681">
        <f>transport!H54</f>
        <v>0</v>
      </c>
      <c r="J19" s="681">
        <f>transport!I54</f>
        <v>0</v>
      </c>
      <c r="K19" s="681">
        <f>transport!J54</f>
        <v>0</v>
      </c>
      <c r="L19" s="681">
        <f>transport!K54</f>
        <v>0</v>
      </c>
      <c r="M19" s="681">
        <f>transport!L54</f>
        <v>0</v>
      </c>
      <c r="N19" s="681">
        <f>transport!M54</f>
        <v>171.56797015840181</v>
      </c>
      <c r="O19" s="681">
        <f>transport!N54</f>
        <v>0</v>
      </c>
      <c r="P19" s="681">
        <f>transport!O54</f>
        <v>0</v>
      </c>
      <c r="Q19" s="682">
        <f>transport!P54</f>
        <v>0</v>
      </c>
      <c r="R19" s="684">
        <f>SUM(C19:Q19)</f>
        <v>3207.3614594885535</v>
      </c>
      <c r="S19" s="67"/>
    </row>
    <row r="20" spans="1:19" s="443" customFormat="1">
      <c r="A20" s="802" t="s">
        <v>296</v>
      </c>
      <c r="B20" s="807"/>
      <c r="C20" s="681">
        <f>transport!B14</f>
        <v>702.43560462912319</v>
      </c>
      <c r="D20" s="681">
        <f>transport!C14</f>
        <v>0</v>
      </c>
      <c r="E20" s="681">
        <f>transport!D14</f>
        <v>1154.0193344945756</v>
      </c>
      <c r="F20" s="681">
        <f>transport!E14</f>
        <v>501.0194691603761</v>
      </c>
      <c r="G20" s="681">
        <f>transport!F14</f>
        <v>0</v>
      </c>
      <c r="H20" s="681">
        <f>transport!G14</f>
        <v>227448.08829593702</v>
      </c>
      <c r="I20" s="681">
        <f>transport!H14</f>
        <v>57823.397608592073</v>
      </c>
      <c r="J20" s="681">
        <f>transport!I14</f>
        <v>0</v>
      </c>
      <c r="K20" s="681">
        <f>transport!J14</f>
        <v>0</v>
      </c>
      <c r="L20" s="681">
        <f>transport!K14</f>
        <v>0</v>
      </c>
      <c r="M20" s="681">
        <f>transport!L14</f>
        <v>0</v>
      </c>
      <c r="N20" s="681">
        <f>transport!M14</f>
        <v>17158.846953775716</v>
      </c>
      <c r="O20" s="681">
        <f>transport!N14</f>
        <v>0</v>
      </c>
      <c r="P20" s="681">
        <f>transport!O14</f>
        <v>0</v>
      </c>
      <c r="Q20" s="682">
        <f>transport!P14</f>
        <v>0</v>
      </c>
      <c r="R20" s="684">
        <f>SUM(C20:Q20)</f>
        <v>304787.8072665889</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750.1659378119341</v>
      </c>
      <c r="D22" s="805">
        <f t="shared" ref="D22:R22" si="1">SUM(D18:D21)</f>
        <v>0</v>
      </c>
      <c r="E22" s="805">
        <f t="shared" si="1"/>
        <v>1154.0193344945756</v>
      </c>
      <c r="F22" s="805">
        <f t="shared" si="1"/>
        <v>501.0194691603761</v>
      </c>
      <c r="G22" s="805">
        <f t="shared" si="1"/>
        <v>0</v>
      </c>
      <c r="H22" s="805">
        <f t="shared" si="1"/>
        <v>230436.15145208436</v>
      </c>
      <c r="I22" s="805">
        <f t="shared" si="1"/>
        <v>57823.397608592073</v>
      </c>
      <c r="J22" s="805">
        <f t="shared" si="1"/>
        <v>0</v>
      </c>
      <c r="K22" s="805">
        <f t="shared" si="1"/>
        <v>0</v>
      </c>
      <c r="L22" s="805">
        <f t="shared" si="1"/>
        <v>0</v>
      </c>
      <c r="M22" s="805">
        <f t="shared" si="1"/>
        <v>0</v>
      </c>
      <c r="N22" s="805">
        <f t="shared" si="1"/>
        <v>17330.414923934117</v>
      </c>
      <c r="O22" s="805">
        <f t="shared" si="1"/>
        <v>0</v>
      </c>
      <c r="P22" s="805">
        <f t="shared" si="1"/>
        <v>0</v>
      </c>
      <c r="Q22" s="805">
        <f t="shared" si="1"/>
        <v>0</v>
      </c>
      <c r="R22" s="805">
        <f t="shared" si="1"/>
        <v>307995.16872607748</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128.82004700000002</v>
      </c>
      <c r="D24" s="681">
        <f>+landbouw!C8</f>
        <v>0</v>
      </c>
      <c r="E24" s="681">
        <f>+landbouw!D8</f>
        <v>23.058339779999997</v>
      </c>
      <c r="F24" s="681">
        <f>+landbouw!E8</f>
        <v>3.6896241495114737</v>
      </c>
      <c r="G24" s="681">
        <f>+landbouw!F8</f>
        <v>407.77772515582399</v>
      </c>
      <c r="H24" s="681">
        <f>+landbouw!G8</f>
        <v>0</v>
      </c>
      <c r="I24" s="681">
        <f>+landbouw!H8</f>
        <v>0</v>
      </c>
      <c r="J24" s="681">
        <f>+landbouw!I8</f>
        <v>0</v>
      </c>
      <c r="K24" s="681">
        <f>+landbouw!J8</f>
        <v>32.754892694487047</v>
      </c>
      <c r="L24" s="681">
        <f>+landbouw!K8</f>
        <v>0</v>
      </c>
      <c r="M24" s="681">
        <f>+landbouw!L8</f>
        <v>0</v>
      </c>
      <c r="N24" s="681">
        <f>+landbouw!M8</f>
        <v>0</v>
      </c>
      <c r="O24" s="681">
        <f>+landbouw!N8</f>
        <v>0</v>
      </c>
      <c r="P24" s="681">
        <f>+landbouw!O8</f>
        <v>0</v>
      </c>
      <c r="Q24" s="682">
        <f>+landbouw!P8</f>
        <v>0</v>
      </c>
      <c r="R24" s="684">
        <f>SUM(C24:Q24)</f>
        <v>596.1006287798225</v>
      </c>
      <c r="S24" s="67"/>
    </row>
    <row r="25" spans="1:19" s="443" customFormat="1" ht="15" thickBot="1">
      <c r="A25" s="824" t="s">
        <v>690</v>
      </c>
      <c r="B25" s="937"/>
      <c r="C25" s="938">
        <f>IF(Onbekend_ele_kWh="---",0,Onbekend_ele_kWh)/1000+IF(REST_rest_ele_kWh="---",0,REST_rest_ele_kWh)/1000</f>
        <v>4401.239638</v>
      </c>
      <c r="D25" s="938"/>
      <c r="E25" s="938">
        <f>IF(onbekend_gas_kWh="---",0,onbekend_gas_kWh)/1000+IF(REST_rest_gas_kWh="---",0,REST_rest_gas_kWh)/1000</f>
        <v>1001.18903</v>
      </c>
      <c r="F25" s="938"/>
      <c r="G25" s="938"/>
      <c r="H25" s="938"/>
      <c r="I25" s="938"/>
      <c r="J25" s="938"/>
      <c r="K25" s="938"/>
      <c r="L25" s="938"/>
      <c r="M25" s="938"/>
      <c r="N25" s="938"/>
      <c r="O25" s="938"/>
      <c r="P25" s="938"/>
      <c r="Q25" s="939"/>
      <c r="R25" s="684">
        <f>SUM(C25:Q25)</f>
        <v>5402.4286680000005</v>
      </c>
      <c r="S25" s="67"/>
    </row>
    <row r="26" spans="1:19" s="443" customFormat="1" ht="15.75" thickBot="1">
      <c r="A26" s="689" t="s">
        <v>691</v>
      </c>
      <c r="B26" s="810"/>
      <c r="C26" s="805">
        <f>SUM(C24:C25)</f>
        <v>4530.0596850000002</v>
      </c>
      <c r="D26" s="805">
        <f t="shared" ref="D26:R26" si="2">SUM(D24:D25)</f>
        <v>0</v>
      </c>
      <c r="E26" s="805">
        <f t="shared" si="2"/>
        <v>1024.2473697800001</v>
      </c>
      <c r="F26" s="805">
        <f t="shared" si="2"/>
        <v>3.6896241495114737</v>
      </c>
      <c r="G26" s="805">
        <f t="shared" si="2"/>
        <v>407.77772515582399</v>
      </c>
      <c r="H26" s="805">
        <f t="shared" si="2"/>
        <v>0</v>
      </c>
      <c r="I26" s="805">
        <f t="shared" si="2"/>
        <v>0</v>
      </c>
      <c r="J26" s="805">
        <f t="shared" si="2"/>
        <v>0</v>
      </c>
      <c r="K26" s="805">
        <f t="shared" si="2"/>
        <v>32.754892694487047</v>
      </c>
      <c r="L26" s="805">
        <f t="shared" si="2"/>
        <v>0</v>
      </c>
      <c r="M26" s="805">
        <f t="shared" si="2"/>
        <v>0</v>
      </c>
      <c r="N26" s="805">
        <f t="shared" si="2"/>
        <v>0</v>
      </c>
      <c r="O26" s="805">
        <f t="shared" si="2"/>
        <v>0</v>
      </c>
      <c r="P26" s="805">
        <f t="shared" si="2"/>
        <v>0</v>
      </c>
      <c r="Q26" s="805">
        <f t="shared" si="2"/>
        <v>0</v>
      </c>
      <c r="R26" s="805">
        <f t="shared" si="2"/>
        <v>5998.5292967798232</v>
      </c>
      <c r="S26" s="67"/>
    </row>
    <row r="27" spans="1:19" s="443" customFormat="1" ht="17.25" thickTop="1" thickBot="1">
      <c r="A27" s="690" t="s">
        <v>109</v>
      </c>
      <c r="B27" s="797"/>
      <c r="C27" s="691">
        <f ca="1">C22+C16+C26</f>
        <v>142200.88589804166</v>
      </c>
      <c r="D27" s="691">
        <f t="shared" ref="D27:R27" ca="1" si="3">D22+D16+D26</f>
        <v>0</v>
      </c>
      <c r="E27" s="691">
        <f t="shared" ca="1" si="3"/>
        <v>207283.50600803655</v>
      </c>
      <c r="F27" s="691">
        <f t="shared" si="3"/>
        <v>6432.7348602687307</v>
      </c>
      <c r="G27" s="691">
        <f t="shared" ca="1" si="3"/>
        <v>94689.333142723961</v>
      </c>
      <c r="H27" s="691">
        <f t="shared" si="3"/>
        <v>230436.15145208436</v>
      </c>
      <c r="I27" s="691">
        <f t="shared" si="3"/>
        <v>57823.397608592073</v>
      </c>
      <c r="J27" s="691">
        <f t="shared" si="3"/>
        <v>0</v>
      </c>
      <c r="K27" s="691">
        <f t="shared" si="3"/>
        <v>629.50191311779633</v>
      </c>
      <c r="L27" s="691">
        <f t="shared" si="3"/>
        <v>0</v>
      </c>
      <c r="M27" s="691">
        <f t="shared" ca="1" si="3"/>
        <v>0</v>
      </c>
      <c r="N27" s="691">
        <f t="shared" si="3"/>
        <v>17330.414923934117</v>
      </c>
      <c r="O27" s="691">
        <f t="shared" ca="1" si="3"/>
        <v>23353.872511643316</v>
      </c>
      <c r="P27" s="691">
        <f t="shared" si="3"/>
        <v>1122.6698130425543</v>
      </c>
      <c r="Q27" s="691">
        <f t="shared" si="3"/>
        <v>2326.5677664471586</v>
      </c>
      <c r="R27" s="691">
        <f t="shared" ca="1" si="3"/>
        <v>783629.03589793225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7446.2865300569883</v>
      </c>
      <c r="D40" s="681">
        <f ca="1">tertiair!C20</f>
        <v>0</v>
      </c>
      <c r="E40" s="681">
        <f ca="1">tertiair!D20</f>
        <v>9769.1238524022356</v>
      </c>
      <c r="F40" s="681">
        <f>tertiair!E20</f>
        <v>55.541580613331654</v>
      </c>
      <c r="G40" s="681">
        <f ca="1">tertiair!F20</f>
        <v>3024.6867088509707</v>
      </c>
      <c r="H40" s="681">
        <f>tertiair!G20</f>
        <v>0</v>
      </c>
      <c r="I40" s="681">
        <f>tertiair!H20</f>
        <v>0</v>
      </c>
      <c r="J40" s="681">
        <f>tertiair!I20</f>
        <v>0</v>
      </c>
      <c r="K40" s="681">
        <f>tertiair!J20</f>
        <v>3.1392335373382256E-2</v>
      </c>
      <c r="L40" s="681">
        <f>tertiair!K20</f>
        <v>0</v>
      </c>
      <c r="M40" s="681">
        <f ca="1">tertiair!L20</f>
        <v>0</v>
      </c>
      <c r="N40" s="681">
        <f>tertiair!M20</f>
        <v>0</v>
      </c>
      <c r="O40" s="681">
        <f ca="1">tertiair!N20</f>
        <v>0</v>
      </c>
      <c r="P40" s="681">
        <f>tertiair!O20</f>
        <v>0</v>
      </c>
      <c r="Q40" s="764">
        <f>tertiair!P20</f>
        <v>0</v>
      </c>
      <c r="R40" s="843">
        <f t="shared" ca="1" si="4"/>
        <v>20295.670064258902</v>
      </c>
    </row>
    <row r="41" spans="1:18">
      <c r="A41" s="815" t="s">
        <v>214</v>
      </c>
      <c r="B41" s="822"/>
      <c r="C41" s="681">
        <f ca="1">huishoudens!B12</f>
        <v>8427.452937867989</v>
      </c>
      <c r="D41" s="681">
        <f ca="1">huishoudens!C12</f>
        <v>0</v>
      </c>
      <c r="E41" s="681">
        <f>huishoudens!D12</f>
        <v>21662.257623650363</v>
      </c>
      <c r="F41" s="681">
        <f>huishoudens!E12</f>
        <v>793.3320006628112</v>
      </c>
      <c r="G41" s="681">
        <f>huishoudens!F12</f>
        <v>20441.627024596644</v>
      </c>
      <c r="H41" s="681">
        <f>huishoudens!G12</f>
        <v>0</v>
      </c>
      <c r="I41" s="681">
        <f>huishoudens!H12</f>
        <v>0</v>
      </c>
      <c r="J41" s="681">
        <f>huishoudens!I12</f>
        <v>0</v>
      </c>
      <c r="K41" s="681">
        <f>huishoudens!J12</f>
        <v>154.45943872481277</v>
      </c>
      <c r="L41" s="681">
        <f>huishoudens!K12</f>
        <v>0</v>
      </c>
      <c r="M41" s="681">
        <f>huishoudens!L12</f>
        <v>0</v>
      </c>
      <c r="N41" s="681">
        <f>huishoudens!M12</f>
        <v>0</v>
      </c>
      <c r="O41" s="681">
        <f>huishoudens!N12</f>
        <v>0</v>
      </c>
      <c r="P41" s="681">
        <f>huishoudens!O12</f>
        <v>0</v>
      </c>
      <c r="Q41" s="764">
        <f>huishoudens!P12</f>
        <v>0</v>
      </c>
      <c r="R41" s="843">
        <f t="shared" ca="1" si="4"/>
        <v>51479.129025502625</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6062.0317141088235</v>
      </c>
      <c r="D43" s="681">
        <f ca="1">industrie!C22</f>
        <v>0</v>
      </c>
      <c r="E43" s="681">
        <f>industrie!D22</f>
        <v>9999.8768633073269</v>
      </c>
      <c r="F43" s="681">
        <f>industrie!E22</f>
        <v>496.7882678235145</v>
      </c>
      <c r="G43" s="681">
        <f>industrie!F22</f>
        <v>1706.8615630430813</v>
      </c>
      <c r="H43" s="681">
        <f>industrie!G22</f>
        <v>0</v>
      </c>
      <c r="I43" s="681">
        <f>industrie!H22</f>
        <v>0</v>
      </c>
      <c r="J43" s="681">
        <f>industrie!I22</f>
        <v>0</v>
      </c>
      <c r="K43" s="681">
        <f>industrie!J22</f>
        <v>56.757614169665366</v>
      </c>
      <c r="L43" s="681">
        <f>industrie!K22</f>
        <v>0</v>
      </c>
      <c r="M43" s="681">
        <f>industrie!L22</f>
        <v>0</v>
      </c>
      <c r="N43" s="681">
        <f>industrie!M22</f>
        <v>0</v>
      </c>
      <c r="O43" s="681">
        <f>industrie!N22</f>
        <v>0</v>
      </c>
      <c r="P43" s="681">
        <f>industrie!O22</f>
        <v>0</v>
      </c>
      <c r="Q43" s="764">
        <f>industrie!P22</f>
        <v>0</v>
      </c>
      <c r="R43" s="842">
        <f t="shared" ca="1" si="4"/>
        <v>18322.316022452414</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21935.771182033801</v>
      </c>
      <c r="D46" s="717">
        <f t="shared" ref="D46:Q46" ca="1" si="5">SUM(D39:D45)</f>
        <v>0</v>
      </c>
      <c r="E46" s="717">
        <f t="shared" ca="1" si="5"/>
        <v>41431.258339359927</v>
      </c>
      <c r="F46" s="717">
        <f t="shared" si="5"/>
        <v>1345.6618490996575</v>
      </c>
      <c r="G46" s="717">
        <f t="shared" ca="1" si="5"/>
        <v>25173.175296490699</v>
      </c>
      <c r="H46" s="717">
        <f t="shared" si="5"/>
        <v>0</v>
      </c>
      <c r="I46" s="717">
        <f t="shared" si="5"/>
        <v>0</v>
      </c>
      <c r="J46" s="717">
        <f t="shared" si="5"/>
        <v>0</v>
      </c>
      <c r="K46" s="717">
        <f t="shared" si="5"/>
        <v>211.24844522985151</v>
      </c>
      <c r="L46" s="717">
        <f t="shared" si="5"/>
        <v>0</v>
      </c>
      <c r="M46" s="717">
        <f t="shared" ca="1" si="5"/>
        <v>0</v>
      </c>
      <c r="N46" s="717">
        <f t="shared" si="5"/>
        <v>0</v>
      </c>
      <c r="O46" s="717">
        <f t="shared" ca="1" si="5"/>
        <v>0</v>
      </c>
      <c r="P46" s="717">
        <f t="shared" si="5"/>
        <v>0</v>
      </c>
      <c r="Q46" s="717">
        <f t="shared" si="5"/>
        <v>0</v>
      </c>
      <c r="R46" s="717">
        <f ca="1">SUM(R39:R45)</f>
        <v>90097.115112213942</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7.6467763523470822</v>
      </c>
      <c r="D49" s="681">
        <f ca="1">transport!C58</f>
        <v>0</v>
      </c>
      <c r="E49" s="681">
        <f>transport!D58</f>
        <v>0</v>
      </c>
      <c r="F49" s="681">
        <f>transport!E58</f>
        <v>0</v>
      </c>
      <c r="G49" s="681">
        <f>transport!F58</f>
        <v>0</v>
      </c>
      <c r="H49" s="681">
        <f>transport!G58</f>
        <v>797.81286269134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805.45963904368705</v>
      </c>
    </row>
    <row r="50" spans="1:18">
      <c r="A50" s="818" t="s">
        <v>296</v>
      </c>
      <c r="B50" s="828"/>
      <c r="C50" s="687">
        <f ca="1">transport!B18</f>
        <v>112.53573173168192</v>
      </c>
      <c r="D50" s="687">
        <f>transport!C18</f>
        <v>0</v>
      </c>
      <c r="E50" s="687">
        <f>transport!D18</f>
        <v>233.11190556790427</v>
      </c>
      <c r="F50" s="687">
        <f>transport!E18</f>
        <v>113.73141949940538</v>
      </c>
      <c r="G50" s="687">
        <f>transport!F18</f>
        <v>0</v>
      </c>
      <c r="H50" s="687">
        <f>transport!G18</f>
        <v>60728.639575015186</v>
      </c>
      <c r="I50" s="687">
        <f>transport!H18</f>
        <v>14398.026004539426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75586.044636353603</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120.182508084029</v>
      </c>
      <c r="D52" s="717">
        <f t="shared" ref="D52:Q52" ca="1" si="6">SUM(D48:D51)</f>
        <v>0</v>
      </c>
      <c r="E52" s="717">
        <f t="shared" si="6"/>
        <v>233.11190556790427</v>
      </c>
      <c r="F52" s="717">
        <f t="shared" si="6"/>
        <v>113.73141949940538</v>
      </c>
      <c r="G52" s="717">
        <f t="shared" si="6"/>
        <v>0</v>
      </c>
      <c r="H52" s="717">
        <f t="shared" si="6"/>
        <v>61526.452437706525</v>
      </c>
      <c r="I52" s="717">
        <f t="shared" si="6"/>
        <v>14398.026004539426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76391.504275397296</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20.637988956309822</v>
      </c>
      <c r="D54" s="687">
        <f ca="1">+landbouw!C12</f>
        <v>0</v>
      </c>
      <c r="E54" s="687">
        <f>+landbouw!D12</f>
        <v>4.6577846355599997</v>
      </c>
      <c r="F54" s="687">
        <f>+landbouw!E12</f>
        <v>0.83754468193910458</v>
      </c>
      <c r="G54" s="687">
        <f>+landbouw!F12</f>
        <v>108.87665261660501</v>
      </c>
      <c r="H54" s="687">
        <f>+landbouw!G12</f>
        <v>0</v>
      </c>
      <c r="I54" s="687">
        <f>+landbouw!H12</f>
        <v>0</v>
      </c>
      <c r="J54" s="687">
        <f>+landbouw!I12</f>
        <v>0</v>
      </c>
      <c r="K54" s="687">
        <f>+landbouw!J12</f>
        <v>11.595232013848413</v>
      </c>
      <c r="L54" s="687">
        <f>+landbouw!K12</f>
        <v>0</v>
      </c>
      <c r="M54" s="687">
        <f>+landbouw!L12</f>
        <v>0</v>
      </c>
      <c r="N54" s="687">
        <f>+landbouw!M12</f>
        <v>0</v>
      </c>
      <c r="O54" s="687">
        <f>+landbouw!N12</f>
        <v>0</v>
      </c>
      <c r="P54" s="687">
        <f>+landbouw!O12</f>
        <v>0</v>
      </c>
      <c r="Q54" s="688">
        <f>+landbouw!P12</f>
        <v>0</v>
      </c>
      <c r="R54" s="716">
        <f ca="1">SUM(C54:Q54)</f>
        <v>146.60520290426234</v>
      </c>
    </row>
    <row r="55" spans="1:18" ht="15" thickBot="1">
      <c r="A55" s="818" t="s">
        <v>690</v>
      </c>
      <c r="B55" s="828"/>
      <c r="C55" s="687">
        <f ca="1">C25*'EF ele_warmte'!B12</f>
        <v>705.11335120935826</v>
      </c>
      <c r="D55" s="687"/>
      <c r="E55" s="687">
        <f>E25*EF_CO2_aardgas</f>
        <v>202.24018406000002</v>
      </c>
      <c r="F55" s="687"/>
      <c r="G55" s="687"/>
      <c r="H55" s="687"/>
      <c r="I55" s="687"/>
      <c r="J55" s="687"/>
      <c r="K55" s="687"/>
      <c r="L55" s="687"/>
      <c r="M55" s="687"/>
      <c r="N55" s="687"/>
      <c r="O55" s="687"/>
      <c r="P55" s="687"/>
      <c r="Q55" s="688"/>
      <c r="R55" s="716">
        <f ca="1">SUM(C55:Q55)</f>
        <v>907.3535352693583</v>
      </c>
    </row>
    <row r="56" spans="1:18" ht="15.75" thickBot="1">
      <c r="A56" s="816" t="s">
        <v>691</v>
      </c>
      <c r="B56" s="829"/>
      <c r="C56" s="717">
        <f ca="1">SUM(C54:C55)</f>
        <v>725.75134016566813</v>
      </c>
      <c r="D56" s="717">
        <f t="shared" ref="D56:Q56" ca="1" si="7">SUM(D54:D55)</f>
        <v>0</v>
      </c>
      <c r="E56" s="717">
        <f t="shared" si="7"/>
        <v>206.89796869556002</v>
      </c>
      <c r="F56" s="717">
        <f t="shared" si="7"/>
        <v>0.83754468193910458</v>
      </c>
      <c r="G56" s="717">
        <f t="shared" si="7"/>
        <v>108.87665261660501</v>
      </c>
      <c r="H56" s="717">
        <f t="shared" si="7"/>
        <v>0</v>
      </c>
      <c r="I56" s="717">
        <f t="shared" si="7"/>
        <v>0</v>
      </c>
      <c r="J56" s="717">
        <f t="shared" si="7"/>
        <v>0</v>
      </c>
      <c r="K56" s="717">
        <f t="shared" si="7"/>
        <v>11.595232013848413</v>
      </c>
      <c r="L56" s="717">
        <f t="shared" si="7"/>
        <v>0</v>
      </c>
      <c r="M56" s="717">
        <f t="shared" si="7"/>
        <v>0</v>
      </c>
      <c r="N56" s="717">
        <f t="shared" si="7"/>
        <v>0</v>
      </c>
      <c r="O56" s="717">
        <f t="shared" si="7"/>
        <v>0</v>
      </c>
      <c r="P56" s="717">
        <f t="shared" si="7"/>
        <v>0</v>
      </c>
      <c r="Q56" s="718">
        <f t="shared" si="7"/>
        <v>0</v>
      </c>
      <c r="R56" s="719">
        <f ca="1">SUM(R54:R55)</f>
        <v>1053.9587381736205</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22781.705030283498</v>
      </c>
      <c r="D61" s="725">
        <f t="shared" ref="D61:Q61" ca="1" si="8">D46+D52+D56</f>
        <v>0</v>
      </c>
      <c r="E61" s="725">
        <f t="shared" ca="1" si="8"/>
        <v>41871.268213623385</v>
      </c>
      <c r="F61" s="725">
        <f t="shared" si="8"/>
        <v>1460.2308132810019</v>
      </c>
      <c r="G61" s="725">
        <f t="shared" ca="1" si="8"/>
        <v>25282.051949107303</v>
      </c>
      <c r="H61" s="725">
        <f t="shared" si="8"/>
        <v>61526.452437706525</v>
      </c>
      <c r="I61" s="725">
        <f t="shared" si="8"/>
        <v>14398.026004539426</v>
      </c>
      <c r="J61" s="725">
        <f t="shared" si="8"/>
        <v>0</v>
      </c>
      <c r="K61" s="725">
        <f t="shared" si="8"/>
        <v>222.84367724369991</v>
      </c>
      <c r="L61" s="725">
        <f t="shared" si="8"/>
        <v>0</v>
      </c>
      <c r="M61" s="725">
        <f t="shared" ca="1" si="8"/>
        <v>0</v>
      </c>
      <c r="N61" s="725">
        <f t="shared" si="8"/>
        <v>0</v>
      </c>
      <c r="O61" s="725">
        <f t="shared" ca="1" si="8"/>
        <v>0</v>
      </c>
      <c r="P61" s="725">
        <f t="shared" si="8"/>
        <v>0</v>
      </c>
      <c r="Q61" s="725">
        <f t="shared" si="8"/>
        <v>0</v>
      </c>
      <c r="R61" s="725">
        <f ca="1">R46+R52+R56</f>
        <v>167542.57812578484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0.16020789804796315</v>
      </c>
      <c r="D63" s="771">
        <f t="shared" ca="1" si="9"/>
        <v>0</v>
      </c>
      <c r="E63" s="963">
        <f t="shared" ca="1" si="9"/>
        <v>0.20200000000000001</v>
      </c>
      <c r="F63" s="771">
        <f t="shared" si="9"/>
        <v>0.22700000000000001</v>
      </c>
      <c r="G63" s="771">
        <f t="shared" ca="1" si="9"/>
        <v>0.26700000000000007</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12745.227593457856</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26371.020158504623</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39116.247751962481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52603.230181229716</v>
      </c>
      <c r="C4" s="447">
        <f>huishoudens!C8</f>
        <v>0</v>
      </c>
      <c r="D4" s="447">
        <f>huishoudens!D8</f>
        <v>107238.899126982</v>
      </c>
      <c r="E4" s="447">
        <f>huishoudens!E8</f>
        <v>3494.854628470534</v>
      </c>
      <c r="F4" s="447">
        <f>huishoudens!F8</f>
        <v>76560.400841185925</v>
      </c>
      <c r="G4" s="447">
        <f>huishoudens!G8</f>
        <v>0</v>
      </c>
      <c r="H4" s="447">
        <f>huishoudens!H8</f>
        <v>0</v>
      </c>
      <c r="I4" s="447">
        <f>huishoudens!I8</f>
        <v>0</v>
      </c>
      <c r="J4" s="447">
        <f>huishoudens!J8</f>
        <v>436.32609809269144</v>
      </c>
      <c r="K4" s="447">
        <f>huishoudens!K8</f>
        <v>0</v>
      </c>
      <c r="L4" s="447">
        <f>huishoudens!L8</f>
        <v>0</v>
      </c>
      <c r="M4" s="447">
        <f>huishoudens!M8</f>
        <v>0</v>
      </c>
      <c r="N4" s="447">
        <f>huishoudens!N8</f>
        <v>17725.862687186695</v>
      </c>
      <c r="O4" s="447">
        <f>huishoudens!O8</f>
        <v>1103.0807699791897</v>
      </c>
      <c r="P4" s="448">
        <f>huishoudens!P8</f>
        <v>1748.6372450757135</v>
      </c>
      <c r="Q4" s="449">
        <f>SUM(B4:P4)</f>
        <v>260911.29157820245</v>
      </c>
    </row>
    <row r="5" spans="1:17">
      <c r="A5" s="446" t="s">
        <v>149</v>
      </c>
      <c r="B5" s="447">
        <f ca="1">tertiair!B16</f>
        <v>44454.737967000001</v>
      </c>
      <c r="C5" s="447">
        <f ca="1">tertiair!C16</f>
        <v>0</v>
      </c>
      <c r="D5" s="447">
        <f ca="1">tertiair!D16</f>
        <v>48361.999269317996</v>
      </c>
      <c r="E5" s="447">
        <f>tertiair!E16</f>
        <v>244.67656657855352</v>
      </c>
      <c r="F5" s="447">
        <f ca="1">tertiair!F16</f>
        <v>11328.414639891276</v>
      </c>
      <c r="G5" s="447">
        <f>tertiair!G16</f>
        <v>0</v>
      </c>
      <c r="H5" s="447">
        <f>tertiair!H16</f>
        <v>0</v>
      </c>
      <c r="I5" s="447">
        <f>tertiair!I16</f>
        <v>0</v>
      </c>
      <c r="J5" s="447">
        <f>tertiair!J16</f>
        <v>8.8678913484130678E-2</v>
      </c>
      <c r="K5" s="447">
        <f>tertiair!K16</f>
        <v>0</v>
      </c>
      <c r="L5" s="447">
        <f ca="1">tertiair!L16</f>
        <v>0</v>
      </c>
      <c r="M5" s="447">
        <f>tertiair!M16</f>
        <v>0</v>
      </c>
      <c r="N5" s="447">
        <f ca="1">tertiair!N16</f>
        <v>3429.8494259354711</v>
      </c>
      <c r="O5" s="447">
        <f>tertiair!O16</f>
        <v>19.589043063364617</v>
      </c>
      <c r="P5" s="448">
        <f>tertiair!P16</f>
        <v>577.93052137144514</v>
      </c>
      <c r="Q5" s="446">
        <f t="shared" ref="Q5:Q14" ca="1" si="0">SUM(B5:P5)</f>
        <v>108417.28611207158</v>
      </c>
    </row>
    <row r="6" spans="1:17">
      <c r="A6" s="446" t="s">
        <v>187</v>
      </c>
      <c r="B6" s="447">
        <f>'openbare verlichting'!B8</f>
        <v>2024.159895</v>
      </c>
      <c r="C6" s="447"/>
      <c r="D6" s="447"/>
      <c r="E6" s="447"/>
      <c r="F6" s="447"/>
      <c r="G6" s="447"/>
      <c r="H6" s="447"/>
      <c r="I6" s="447"/>
      <c r="J6" s="447"/>
      <c r="K6" s="447"/>
      <c r="L6" s="447"/>
      <c r="M6" s="447"/>
      <c r="N6" s="447"/>
      <c r="O6" s="447"/>
      <c r="P6" s="448"/>
      <c r="Q6" s="446">
        <f t="shared" si="0"/>
        <v>2024.159895</v>
      </c>
    </row>
    <row r="7" spans="1:17">
      <c r="A7" s="446" t="s">
        <v>105</v>
      </c>
      <c r="B7" s="447">
        <f>landbouw!B8</f>
        <v>128.82004700000002</v>
      </c>
      <c r="C7" s="447">
        <f>landbouw!C8</f>
        <v>0</v>
      </c>
      <c r="D7" s="447">
        <f>landbouw!D8</f>
        <v>23.058339779999997</v>
      </c>
      <c r="E7" s="447">
        <f>landbouw!E8</f>
        <v>3.6896241495114737</v>
      </c>
      <c r="F7" s="447">
        <f>landbouw!F8</f>
        <v>407.77772515582399</v>
      </c>
      <c r="G7" s="447">
        <f>landbouw!G8</f>
        <v>0</v>
      </c>
      <c r="H7" s="447">
        <f>landbouw!H8</f>
        <v>0</v>
      </c>
      <c r="I7" s="447">
        <f>landbouw!I8</f>
        <v>0</v>
      </c>
      <c r="J7" s="447">
        <f>landbouw!J8</f>
        <v>32.754892694487047</v>
      </c>
      <c r="K7" s="447">
        <f>landbouw!K8</f>
        <v>0</v>
      </c>
      <c r="L7" s="447">
        <f>landbouw!L8</f>
        <v>0</v>
      </c>
      <c r="M7" s="447">
        <f>landbouw!M8</f>
        <v>0</v>
      </c>
      <c r="N7" s="447">
        <f>landbouw!N8</f>
        <v>0</v>
      </c>
      <c r="O7" s="447">
        <f>landbouw!O8</f>
        <v>0</v>
      </c>
      <c r="P7" s="448">
        <f>landbouw!P8</f>
        <v>0</v>
      </c>
      <c r="Q7" s="446">
        <f t="shared" si="0"/>
        <v>596.1006287798225</v>
      </c>
    </row>
    <row r="8" spans="1:17">
      <c r="A8" s="446" t="s">
        <v>611</v>
      </c>
      <c r="B8" s="447">
        <f>industrie!B18</f>
        <v>37838.532231999998</v>
      </c>
      <c r="C8" s="447">
        <f>industrie!C18</f>
        <v>0</v>
      </c>
      <c r="D8" s="447">
        <f>industrie!D18</f>
        <v>49504.340907462007</v>
      </c>
      <c r="E8" s="447">
        <f>industrie!E18</f>
        <v>2188.4945719097555</v>
      </c>
      <c r="F8" s="447">
        <f>industrie!F18</f>
        <v>6392.7399364909406</v>
      </c>
      <c r="G8" s="447">
        <f>industrie!G18</f>
        <v>0</v>
      </c>
      <c r="H8" s="447">
        <f>industrie!H18</f>
        <v>0</v>
      </c>
      <c r="I8" s="447">
        <f>industrie!I18</f>
        <v>0</v>
      </c>
      <c r="J8" s="447">
        <f>industrie!J18</f>
        <v>160.33224341713381</v>
      </c>
      <c r="K8" s="447">
        <f>industrie!K18</f>
        <v>0</v>
      </c>
      <c r="L8" s="447">
        <f>industrie!L18</f>
        <v>0</v>
      </c>
      <c r="M8" s="447">
        <f>industrie!M18</f>
        <v>0</v>
      </c>
      <c r="N8" s="447">
        <f>industrie!N18</f>
        <v>2198.1603985211509</v>
      </c>
      <c r="O8" s="447">
        <f>industrie!O18</f>
        <v>0</v>
      </c>
      <c r="P8" s="448">
        <f>industrie!P18</f>
        <v>0</v>
      </c>
      <c r="Q8" s="446">
        <f t="shared" si="0"/>
        <v>98282.600289800976</v>
      </c>
    </row>
    <row r="9" spans="1:17" s="452" customFormat="1">
      <c r="A9" s="450" t="s">
        <v>537</v>
      </c>
      <c r="B9" s="451">
        <f>transport!B14</f>
        <v>702.43560462912319</v>
      </c>
      <c r="C9" s="451">
        <f>transport!C14</f>
        <v>0</v>
      </c>
      <c r="D9" s="451">
        <f>transport!D14</f>
        <v>1154.0193344945756</v>
      </c>
      <c r="E9" s="451">
        <f>transport!E14</f>
        <v>501.0194691603761</v>
      </c>
      <c r="F9" s="451">
        <f>transport!F14</f>
        <v>0</v>
      </c>
      <c r="G9" s="451">
        <f>transport!G14</f>
        <v>227448.08829593702</v>
      </c>
      <c r="H9" s="451">
        <f>transport!H14</f>
        <v>57823.397608592073</v>
      </c>
      <c r="I9" s="451">
        <f>transport!I14</f>
        <v>0</v>
      </c>
      <c r="J9" s="451">
        <f>transport!J14</f>
        <v>0</v>
      </c>
      <c r="K9" s="451">
        <f>transport!K14</f>
        <v>0</v>
      </c>
      <c r="L9" s="451">
        <f>transport!L14</f>
        <v>0</v>
      </c>
      <c r="M9" s="451">
        <f>transport!M14</f>
        <v>17158.846953775716</v>
      </c>
      <c r="N9" s="451">
        <f>transport!N14</f>
        <v>0</v>
      </c>
      <c r="O9" s="451">
        <f>transport!O14</f>
        <v>0</v>
      </c>
      <c r="P9" s="451">
        <f>transport!P14</f>
        <v>0</v>
      </c>
      <c r="Q9" s="450">
        <f>SUM(B9:P9)</f>
        <v>304787.8072665889</v>
      </c>
    </row>
    <row r="10" spans="1:17">
      <c r="A10" s="446" t="s">
        <v>527</v>
      </c>
      <c r="B10" s="447">
        <f>transport!B54</f>
        <v>47.730333182810909</v>
      </c>
      <c r="C10" s="447">
        <f>transport!C54</f>
        <v>0</v>
      </c>
      <c r="D10" s="447">
        <f>transport!D54</f>
        <v>0</v>
      </c>
      <c r="E10" s="447">
        <f>transport!E54</f>
        <v>0</v>
      </c>
      <c r="F10" s="447">
        <f>transport!F54</f>
        <v>0</v>
      </c>
      <c r="G10" s="447">
        <f>transport!G54</f>
        <v>2988.0631561473406</v>
      </c>
      <c r="H10" s="447">
        <f>transport!H54</f>
        <v>0</v>
      </c>
      <c r="I10" s="447">
        <f>transport!I54</f>
        <v>0</v>
      </c>
      <c r="J10" s="447">
        <f>transport!J54</f>
        <v>0</v>
      </c>
      <c r="K10" s="447">
        <f>transport!K54</f>
        <v>0</v>
      </c>
      <c r="L10" s="447">
        <f>transport!L54</f>
        <v>0</v>
      </c>
      <c r="M10" s="447">
        <f>transport!M54</f>
        <v>171.56797015840181</v>
      </c>
      <c r="N10" s="447">
        <f>transport!N54</f>
        <v>0</v>
      </c>
      <c r="O10" s="447">
        <f>transport!O54</f>
        <v>0</v>
      </c>
      <c r="P10" s="448">
        <f>transport!P54</f>
        <v>0</v>
      </c>
      <c r="Q10" s="446">
        <f t="shared" si="0"/>
        <v>3207.3614594885535</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4401.239638</v>
      </c>
      <c r="C14" s="454"/>
      <c r="D14" s="454">
        <f>'SEAP template'!E25</f>
        <v>1001.18903</v>
      </c>
      <c r="E14" s="454"/>
      <c r="F14" s="454"/>
      <c r="G14" s="454"/>
      <c r="H14" s="454"/>
      <c r="I14" s="454"/>
      <c r="J14" s="454"/>
      <c r="K14" s="454"/>
      <c r="L14" s="454"/>
      <c r="M14" s="454"/>
      <c r="N14" s="454"/>
      <c r="O14" s="454"/>
      <c r="P14" s="455"/>
      <c r="Q14" s="446">
        <f t="shared" si="0"/>
        <v>5402.4286680000005</v>
      </c>
    </row>
    <row r="15" spans="1:17" s="458" customFormat="1">
      <c r="A15" s="456" t="s">
        <v>531</v>
      </c>
      <c r="B15" s="457">
        <f ca="1">SUM(B4:B14)</f>
        <v>142200.88589804168</v>
      </c>
      <c r="C15" s="457">
        <f t="shared" ref="C15:Q15" ca="1" si="1">SUM(C4:C14)</f>
        <v>0</v>
      </c>
      <c r="D15" s="457">
        <f t="shared" ca="1" si="1"/>
        <v>207283.50600803655</v>
      </c>
      <c r="E15" s="457">
        <f t="shared" si="1"/>
        <v>6432.7348602687307</v>
      </c>
      <c r="F15" s="457">
        <f t="shared" ca="1" si="1"/>
        <v>94689.333142723961</v>
      </c>
      <c r="G15" s="457">
        <f t="shared" si="1"/>
        <v>230436.15145208436</v>
      </c>
      <c r="H15" s="457">
        <f t="shared" si="1"/>
        <v>57823.397608592073</v>
      </c>
      <c r="I15" s="457">
        <f t="shared" si="1"/>
        <v>0</v>
      </c>
      <c r="J15" s="457">
        <f t="shared" si="1"/>
        <v>629.50191311779645</v>
      </c>
      <c r="K15" s="457">
        <f t="shared" si="1"/>
        <v>0</v>
      </c>
      <c r="L15" s="457">
        <f t="shared" ca="1" si="1"/>
        <v>0</v>
      </c>
      <c r="M15" s="457">
        <f t="shared" si="1"/>
        <v>17330.414923934117</v>
      </c>
      <c r="N15" s="457">
        <f t="shared" ca="1" si="1"/>
        <v>23353.872511643316</v>
      </c>
      <c r="O15" s="457">
        <f t="shared" si="1"/>
        <v>1122.6698130425543</v>
      </c>
      <c r="P15" s="457">
        <f t="shared" si="1"/>
        <v>2326.5677664471586</v>
      </c>
      <c r="Q15" s="457">
        <f t="shared" ca="1" si="1"/>
        <v>783629.03589793225</v>
      </c>
    </row>
    <row r="17" spans="1:17">
      <c r="A17" s="459" t="s">
        <v>532</v>
      </c>
      <c r="B17" s="776">
        <f ca="1">huishoudens!B10</f>
        <v>0.16020789804796315</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8427.452937867989</v>
      </c>
      <c r="C22" s="447">
        <f t="shared" ref="C22:C32" ca="1" si="3">C4*$C$17</f>
        <v>0</v>
      </c>
      <c r="D22" s="447">
        <f t="shared" ref="D22:D32" si="4">D4*$D$17</f>
        <v>21662.257623650363</v>
      </c>
      <c r="E22" s="447">
        <f t="shared" ref="E22:E32" si="5">E4*$E$17</f>
        <v>793.3320006628112</v>
      </c>
      <c r="F22" s="447">
        <f t="shared" ref="F22:F32" si="6">F4*$F$17</f>
        <v>20441.627024596644</v>
      </c>
      <c r="G22" s="447">
        <f t="shared" ref="G22:G32" si="7">G4*$G$17</f>
        <v>0</v>
      </c>
      <c r="H22" s="447">
        <f t="shared" ref="H22:H32" si="8">H4*$H$17</f>
        <v>0</v>
      </c>
      <c r="I22" s="447">
        <f t="shared" ref="I22:I32" si="9">I4*$I$17</f>
        <v>0</v>
      </c>
      <c r="J22" s="447">
        <f t="shared" ref="J22:J32" si="10">J4*$J$17</f>
        <v>154.45943872481277</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51479.129025502625</v>
      </c>
    </row>
    <row r="23" spans="1:17">
      <c r="A23" s="446" t="s">
        <v>149</v>
      </c>
      <c r="B23" s="447">
        <f t="shared" ca="1" si="2"/>
        <v>7122.0001279660528</v>
      </c>
      <c r="C23" s="447">
        <f t="shared" ca="1" si="3"/>
        <v>0</v>
      </c>
      <c r="D23" s="447">
        <f t="shared" ca="1" si="4"/>
        <v>9769.1238524022356</v>
      </c>
      <c r="E23" s="447">
        <f t="shared" si="5"/>
        <v>55.541580613331654</v>
      </c>
      <c r="F23" s="447">
        <f t="shared" ca="1" si="6"/>
        <v>3024.6867088509707</v>
      </c>
      <c r="G23" s="447">
        <f t="shared" si="7"/>
        <v>0</v>
      </c>
      <c r="H23" s="447">
        <f t="shared" si="8"/>
        <v>0</v>
      </c>
      <c r="I23" s="447">
        <f t="shared" si="9"/>
        <v>0</v>
      </c>
      <c r="J23" s="447">
        <f t="shared" si="10"/>
        <v>3.1392335373382256E-2</v>
      </c>
      <c r="K23" s="447">
        <f t="shared" si="11"/>
        <v>0</v>
      </c>
      <c r="L23" s="447">
        <f t="shared" ca="1" si="12"/>
        <v>0</v>
      </c>
      <c r="M23" s="447">
        <f t="shared" si="13"/>
        <v>0</v>
      </c>
      <c r="N23" s="447">
        <f t="shared" ca="1" si="14"/>
        <v>0</v>
      </c>
      <c r="O23" s="447">
        <f t="shared" si="15"/>
        <v>0</v>
      </c>
      <c r="P23" s="448">
        <f t="shared" si="16"/>
        <v>0</v>
      </c>
      <c r="Q23" s="446">
        <f t="shared" ref="Q23:Q31" ca="1" si="17">SUM(B23:P23)</f>
        <v>19971.383662167966</v>
      </c>
    </row>
    <row r="24" spans="1:17">
      <c r="A24" s="446" t="s">
        <v>187</v>
      </c>
      <c r="B24" s="447">
        <f t="shared" ca="1" si="2"/>
        <v>324.28640209093578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324.28640209093578</v>
      </c>
    </row>
    <row r="25" spans="1:17">
      <c r="A25" s="446" t="s">
        <v>105</v>
      </c>
      <c r="B25" s="447">
        <f t="shared" ca="1" si="2"/>
        <v>20.637988956309822</v>
      </c>
      <c r="C25" s="447">
        <f t="shared" ca="1" si="3"/>
        <v>0</v>
      </c>
      <c r="D25" s="447">
        <f t="shared" si="4"/>
        <v>4.6577846355599997</v>
      </c>
      <c r="E25" s="447">
        <f t="shared" si="5"/>
        <v>0.83754468193910458</v>
      </c>
      <c r="F25" s="447">
        <f t="shared" si="6"/>
        <v>108.87665261660501</v>
      </c>
      <c r="G25" s="447">
        <f t="shared" si="7"/>
        <v>0</v>
      </c>
      <c r="H25" s="447">
        <f t="shared" si="8"/>
        <v>0</v>
      </c>
      <c r="I25" s="447">
        <f t="shared" si="9"/>
        <v>0</v>
      </c>
      <c r="J25" s="447">
        <f t="shared" si="10"/>
        <v>11.595232013848413</v>
      </c>
      <c r="K25" s="447">
        <f t="shared" si="11"/>
        <v>0</v>
      </c>
      <c r="L25" s="447">
        <f t="shared" si="12"/>
        <v>0</v>
      </c>
      <c r="M25" s="447">
        <f t="shared" si="13"/>
        <v>0</v>
      </c>
      <c r="N25" s="447">
        <f t="shared" si="14"/>
        <v>0</v>
      </c>
      <c r="O25" s="447">
        <f t="shared" si="15"/>
        <v>0</v>
      </c>
      <c r="P25" s="448">
        <f t="shared" si="16"/>
        <v>0</v>
      </c>
      <c r="Q25" s="446">
        <f t="shared" ca="1" si="17"/>
        <v>146.60520290426234</v>
      </c>
    </row>
    <row r="26" spans="1:17">
      <c r="A26" s="446" t="s">
        <v>611</v>
      </c>
      <c r="B26" s="447">
        <f t="shared" ca="1" si="2"/>
        <v>6062.0317141088235</v>
      </c>
      <c r="C26" s="447">
        <f t="shared" ca="1" si="3"/>
        <v>0</v>
      </c>
      <c r="D26" s="447">
        <f t="shared" si="4"/>
        <v>9999.8768633073269</v>
      </c>
      <c r="E26" s="447">
        <f t="shared" si="5"/>
        <v>496.7882678235145</v>
      </c>
      <c r="F26" s="447">
        <f t="shared" si="6"/>
        <v>1706.8615630430813</v>
      </c>
      <c r="G26" s="447">
        <f t="shared" si="7"/>
        <v>0</v>
      </c>
      <c r="H26" s="447">
        <f t="shared" si="8"/>
        <v>0</v>
      </c>
      <c r="I26" s="447">
        <f t="shared" si="9"/>
        <v>0</v>
      </c>
      <c r="J26" s="447">
        <f t="shared" si="10"/>
        <v>56.757614169665366</v>
      </c>
      <c r="K26" s="447">
        <f t="shared" si="11"/>
        <v>0</v>
      </c>
      <c r="L26" s="447">
        <f t="shared" si="12"/>
        <v>0</v>
      </c>
      <c r="M26" s="447">
        <f t="shared" si="13"/>
        <v>0</v>
      </c>
      <c r="N26" s="447">
        <f t="shared" si="14"/>
        <v>0</v>
      </c>
      <c r="O26" s="447">
        <f t="shared" si="15"/>
        <v>0</v>
      </c>
      <c r="P26" s="448">
        <f t="shared" si="16"/>
        <v>0</v>
      </c>
      <c r="Q26" s="446">
        <f t="shared" ca="1" si="17"/>
        <v>18322.316022452414</v>
      </c>
    </row>
    <row r="27" spans="1:17" s="452" customFormat="1">
      <c r="A27" s="450" t="s">
        <v>537</v>
      </c>
      <c r="B27" s="770">
        <f t="shared" ca="1" si="2"/>
        <v>112.53573173168192</v>
      </c>
      <c r="C27" s="451">
        <f t="shared" ca="1" si="3"/>
        <v>0</v>
      </c>
      <c r="D27" s="451">
        <f t="shared" si="4"/>
        <v>233.11190556790427</v>
      </c>
      <c r="E27" s="451">
        <f t="shared" si="5"/>
        <v>113.73141949940538</v>
      </c>
      <c r="F27" s="451">
        <f t="shared" si="6"/>
        <v>0</v>
      </c>
      <c r="G27" s="451">
        <f t="shared" si="7"/>
        <v>60728.639575015186</v>
      </c>
      <c r="H27" s="451">
        <f t="shared" si="8"/>
        <v>14398.026004539426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75586.044636353603</v>
      </c>
    </row>
    <row r="28" spans="1:17" ht="16.5" customHeight="1">
      <c r="A28" s="446" t="s">
        <v>527</v>
      </c>
      <c r="B28" s="447">
        <f t="shared" ca="1" si="2"/>
        <v>7.6467763523470822</v>
      </c>
      <c r="C28" s="447">
        <f t="shared" ca="1" si="3"/>
        <v>0</v>
      </c>
      <c r="D28" s="447">
        <f t="shared" si="4"/>
        <v>0</v>
      </c>
      <c r="E28" s="447">
        <f t="shared" si="5"/>
        <v>0</v>
      </c>
      <c r="F28" s="447">
        <f t="shared" si="6"/>
        <v>0</v>
      </c>
      <c r="G28" s="447">
        <f t="shared" si="7"/>
        <v>797.81286269134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805.45963904368705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705.11335120935826</v>
      </c>
      <c r="C32" s="447">
        <f t="shared" ca="1" si="3"/>
        <v>0</v>
      </c>
      <c r="D32" s="447">
        <f t="shared" si="4"/>
        <v>202.24018406000002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907.3535352693583</v>
      </c>
    </row>
    <row r="33" spans="1:17" s="458" customFormat="1">
      <c r="A33" s="456" t="s">
        <v>531</v>
      </c>
      <c r="B33" s="457">
        <f ca="1">SUM(B22:B32)</f>
        <v>22781.705030283498</v>
      </c>
      <c r="C33" s="457">
        <f t="shared" ref="C33:Q33" ca="1" si="19">SUM(C22:C32)</f>
        <v>0</v>
      </c>
      <c r="D33" s="457">
        <f t="shared" ca="1" si="19"/>
        <v>41871.268213623385</v>
      </c>
      <c r="E33" s="457">
        <f t="shared" si="19"/>
        <v>1460.2308132810019</v>
      </c>
      <c r="F33" s="457">
        <f t="shared" ca="1" si="19"/>
        <v>25282.051949107299</v>
      </c>
      <c r="G33" s="457">
        <f t="shared" si="19"/>
        <v>61526.452437706525</v>
      </c>
      <c r="H33" s="457">
        <f t="shared" si="19"/>
        <v>14398.026004539426</v>
      </c>
      <c r="I33" s="457">
        <f t="shared" si="19"/>
        <v>0</v>
      </c>
      <c r="J33" s="457">
        <f t="shared" si="19"/>
        <v>222.84367724369991</v>
      </c>
      <c r="K33" s="457">
        <f t="shared" si="19"/>
        <v>0</v>
      </c>
      <c r="L33" s="457">
        <f t="shared" ca="1" si="19"/>
        <v>0</v>
      </c>
      <c r="M33" s="457">
        <f t="shared" si="19"/>
        <v>0</v>
      </c>
      <c r="N33" s="457">
        <f t="shared" ca="1" si="19"/>
        <v>0</v>
      </c>
      <c r="O33" s="457">
        <f t="shared" si="19"/>
        <v>0</v>
      </c>
      <c r="P33" s="457">
        <f t="shared" si="19"/>
        <v>0</v>
      </c>
      <c r="Q33" s="457">
        <f t="shared" ca="1" si="19"/>
        <v>167542.57812578487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12745.227593457856</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26371.020158504623</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39116.247751962481</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0.16020789804796315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0.16020789804796315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0.16020789804796315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0.16020789804796315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13209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821.85</v>
      </c>
      <c r="C14" s="326"/>
      <c r="D14" s="326"/>
      <c r="E14" s="326"/>
      <c r="F14" s="326"/>
    </row>
    <row r="15" spans="1:6">
      <c r="A15" s="1310" t="s">
        <v>177</v>
      </c>
      <c r="B15" s="1311">
        <v>1</v>
      </c>
      <c r="C15" s="326"/>
      <c r="D15" s="326"/>
      <c r="E15" s="326"/>
      <c r="F15" s="326"/>
    </row>
    <row r="16" spans="1:6">
      <c r="A16" s="1310" t="s">
        <v>6</v>
      </c>
      <c r="B16" s="1311">
        <v>45</v>
      </c>
      <c r="C16" s="326"/>
      <c r="D16" s="326"/>
      <c r="E16" s="326"/>
      <c r="F16" s="326"/>
    </row>
    <row r="17" spans="1:6">
      <c r="A17" s="1310" t="s">
        <v>7</v>
      </c>
      <c r="B17" s="1311">
        <v>61</v>
      </c>
      <c r="C17" s="326"/>
      <c r="D17" s="326"/>
      <c r="E17" s="326"/>
      <c r="F17" s="326"/>
    </row>
    <row r="18" spans="1:6">
      <c r="A18" s="1310" t="s">
        <v>8</v>
      </c>
      <c r="B18" s="1311">
        <v>80</v>
      </c>
      <c r="C18" s="326"/>
      <c r="D18" s="326"/>
      <c r="E18" s="326"/>
      <c r="F18" s="326"/>
    </row>
    <row r="19" spans="1:6">
      <c r="A19" s="1310" t="s">
        <v>9</v>
      </c>
      <c r="B19" s="1311">
        <v>87</v>
      </c>
      <c r="C19" s="326"/>
      <c r="D19" s="326"/>
      <c r="E19" s="326"/>
      <c r="F19" s="326"/>
    </row>
    <row r="20" spans="1:6">
      <c r="A20" s="1310" t="s">
        <v>10</v>
      </c>
      <c r="B20" s="1311">
        <v>123</v>
      </c>
      <c r="C20" s="326"/>
      <c r="D20" s="326"/>
      <c r="E20" s="326"/>
      <c r="F20" s="326"/>
    </row>
    <row r="21" spans="1:6">
      <c r="A21" s="1310" t="s">
        <v>11</v>
      </c>
      <c r="B21" s="1311">
        <v>0</v>
      </c>
      <c r="C21" s="326"/>
      <c r="D21" s="326"/>
      <c r="E21" s="326"/>
      <c r="F21" s="326"/>
    </row>
    <row r="22" spans="1:6">
      <c r="A22" s="1310" t="s">
        <v>12</v>
      </c>
      <c r="B22" s="1311">
        <v>1</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26</v>
      </c>
      <c r="C26" s="326"/>
      <c r="D26" s="326"/>
      <c r="E26" s="326"/>
      <c r="F26" s="326"/>
    </row>
    <row r="27" spans="1:6">
      <c r="A27" s="1310" t="s">
        <v>17</v>
      </c>
      <c r="B27" s="1311">
        <v>5</v>
      </c>
      <c r="C27" s="326"/>
      <c r="D27" s="326"/>
      <c r="E27" s="326"/>
      <c r="F27" s="326"/>
    </row>
    <row r="28" spans="1:6">
      <c r="A28" s="1310" t="s">
        <v>18</v>
      </c>
      <c r="B28" s="1312">
        <v>5962</v>
      </c>
      <c r="C28" s="326"/>
      <c r="D28" s="326"/>
      <c r="E28" s="326"/>
      <c r="F28" s="326"/>
    </row>
    <row r="29" spans="1:6">
      <c r="A29" s="1310" t="s">
        <v>678</v>
      </c>
      <c r="B29" s="1312">
        <v>165</v>
      </c>
      <c r="C29" s="326"/>
      <c r="D29" s="326"/>
      <c r="E29" s="326"/>
      <c r="F29" s="326"/>
    </row>
    <row r="30" spans="1:6">
      <c r="A30" s="1305" t="s">
        <v>679</v>
      </c>
      <c r="B30" s="1313">
        <v>66</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4</v>
      </c>
      <c r="F36" s="1311">
        <v>39767.06</v>
      </c>
    </row>
    <row r="37" spans="1:6">
      <c r="A37" s="1310" t="s">
        <v>24</v>
      </c>
      <c r="B37" s="1310" t="s">
        <v>27</v>
      </c>
      <c r="C37" s="1311">
        <v>0</v>
      </c>
      <c r="D37" s="1311">
        <v>0</v>
      </c>
      <c r="E37" s="1311">
        <v>0</v>
      </c>
      <c r="F37" s="1311">
        <v>0</v>
      </c>
    </row>
    <row r="38" spans="1:6">
      <c r="A38" s="1310" t="s">
        <v>24</v>
      </c>
      <c r="B38" s="1310" t="s">
        <v>28</v>
      </c>
      <c r="C38" s="1311">
        <v>2</v>
      </c>
      <c r="D38" s="1311">
        <v>476890.815</v>
      </c>
      <c r="E38" s="1311">
        <v>1</v>
      </c>
      <c r="F38" s="1311">
        <v>30392.485000000001</v>
      </c>
    </row>
    <row r="39" spans="1:6">
      <c r="A39" s="1310" t="s">
        <v>29</v>
      </c>
      <c r="B39" s="1310" t="s">
        <v>30</v>
      </c>
      <c r="C39" s="1311">
        <v>7934</v>
      </c>
      <c r="D39" s="1311">
        <v>118758470.794</v>
      </c>
      <c r="E39" s="1311">
        <v>13318</v>
      </c>
      <c r="F39" s="1311">
        <v>40038904.875</v>
      </c>
    </row>
    <row r="40" spans="1:6">
      <c r="A40" s="1310" t="s">
        <v>29</v>
      </c>
      <c r="B40" s="1310" t="s">
        <v>28</v>
      </c>
      <c r="C40" s="1311">
        <v>0</v>
      </c>
      <c r="D40" s="1311">
        <v>0</v>
      </c>
      <c r="E40" s="1311">
        <v>0</v>
      </c>
      <c r="F40" s="1311">
        <v>0</v>
      </c>
    </row>
    <row r="41" spans="1:6">
      <c r="A41" s="1310" t="s">
        <v>31</v>
      </c>
      <c r="B41" s="1310" t="s">
        <v>32</v>
      </c>
      <c r="C41" s="1311">
        <v>130</v>
      </c>
      <c r="D41" s="1311">
        <v>28709258.25</v>
      </c>
      <c r="E41" s="1311">
        <v>309</v>
      </c>
      <c r="F41" s="1311">
        <v>5324592.91</v>
      </c>
    </row>
    <row r="42" spans="1:6">
      <c r="A42" s="1310" t="s">
        <v>31</v>
      </c>
      <c r="B42" s="1310" t="s">
        <v>33</v>
      </c>
      <c r="C42" s="1311">
        <v>3</v>
      </c>
      <c r="D42" s="1311">
        <v>1967685.7290000001</v>
      </c>
      <c r="E42" s="1311">
        <v>3</v>
      </c>
      <c r="F42" s="1311">
        <v>5939501.8559999997</v>
      </c>
    </row>
    <row r="43" spans="1:6">
      <c r="A43" s="1310" t="s">
        <v>31</v>
      </c>
      <c r="B43" s="1310" t="s">
        <v>34</v>
      </c>
      <c r="C43" s="1311">
        <v>0</v>
      </c>
      <c r="D43" s="1311">
        <v>0</v>
      </c>
      <c r="E43" s="1311">
        <v>0</v>
      </c>
      <c r="F43" s="1311">
        <v>0</v>
      </c>
    </row>
    <row r="44" spans="1:6">
      <c r="A44" s="1310" t="s">
        <v>31</v>
      </c>
      <c r="B44" s="1310" t="s">
        <v>35</v>
      </c>
      <c r="C44" s="1311">
        <v>21</v>
      </c>
      <c r="D44" s="1311">
        <v>12089004.91</v>
      </c>
      <c r="E44" s="1311">
        <v>32</v>
      </c>
      <c r="F44" s="1311">
        <v>3356866.912</v>
      </c>
    </row>
    <row r="45" spans="1:6">
      <c r="A45" s="1310" t="s">
        <v>31</v>
      </c>
      <c r="B45" s="1310" t="s">
        <v>36</v>
      </c>
      <c r="C45" s="1311">
        <v>0</v>
      </c>
      <c r="D45" s="1311">
        <v>0</v>
      </c>
      <c r="E45" s="1311">
        <v>5</v>
      </c>
      <c r="F45" s="1311">
        <v>2177332</v>
      </c>
    </row>
    <row r="46" spans="1:6">
      <c r="A46" s="1310" t="s">
        <v>31</v>
      </c>
      <c r="B46" s="1310" t="s">
        <v>37</v>
      </c>
      <c r="C46" s="1311">
        <v>3</v>
      </c>
      <c r="D46" s="1311">
        <v>27912493.991999999</v>
      </c>
      <c r="E46" s="1311">
        <v>0</v>
      </c>
      <c r="F46" s="1311">
        <v>0</v>
      </c>
    </row>
    <row r="47" spans="1:6">
      <c r="A47" s="1310" t="s">
        <v>31</v>
      </c>
      <c r="B47" s="1310" t="s">
        <v>38</v>
      </c>
      <c r="C47" s="1311">
        <v>4</v>
      </c>
      <c r="D47" s="1311">
        <v>69561.778999999995</v>
      </c>
      <c r="E47" s="1311">
        <v>5</v>
      </c>
      <c r="F47" s="1311">
        <v>23447.698</v>
      </c>
    </row>
    <row r="48" spans="1:6">
      <c r="A48" s="1310" t="s">
        <v>31</v>
      </c>
      <c r="B48" s="1310" t="s">
        <v>28</v>
      </c>
      <c r="C48" s="1311">
        <v>4</v>
      </c>
      <c r="D48" s="1311">
        <v>533303.73400000005</v>
      </c>
      <c r="E48" s="1311">
        <v>2</v>
      </c>
      <c r="F48" s="1311">
        <v>14671411</v>
      </c>
    </row>
    <row r="49" spans="1:6">
      <c r="A49" s="1310" t="s">
        <v>31</v>
      </c>
      <c r="B49" s="1310" t="s">
        <v>39</v>
      </c>
      <c r="C49" s="1311">
        <v>0</v>
      </c>
      <c r="D49" s="1311">
        <v>0</v>
      </c>
      <c r="E49" s="1311">
        <v>3</v>
      </c>
      <c r="F49" s="1311">
        <v>18777.194</v>
      </c>
    </row>
    <row r="50" spans="1:6">
      <c r="A50" s="1310" t="s">
        <v>31</v>
      </c>
      <c r="B50" s="1310" t="s">
        <v>40</v>
      </c>
      <c r="C50" s="1311">
        <v>12</v>
      </c>
      <c r="D50" s="1311">
        <v>11453268.551999999</v>
      </c>
      <c r="E50" s="1311">
        <v>15</v>
      </c>
      <c r="F50" s="1311">
        <v>6326602.6619999995</v>
      </c>
    </row>
    <row r="51" spans="1:6">
      <c r="A51" s="1310" t="s">
        <v>41</v>
      </c>
      <c r="B51" s="1310" t="s">
        <v>42</v>
      </c>
      <c r="C51" s="1311">
        <v>0</v>
      </c>
      <c r="D51" s="1311">
        <v>0</v>
      </c>
      <c r="E51" s="1311">
        <v>16</v>
      </c>
      <c r="F51" s="1311">
        <v>128820.04700000001</v>
      </c>
    </row>
    <row r="52" spans="1:6">
      <c r="A52" s="1310" t="s">
        <v>41</v>
      </c>
      <c r="B52" s="1310" t="s">
        <v>28</v>
      </c>
      <c r="C52" s="1311">
        <v>1</v>
      </c>
      <c r="D52" s="1311">
        <v>25535.26</v>
      </c>
      <c r="E52" s="1311">
        <v>0</v>
      </c>
      <c r="F52" s="1311">
        <v>0</v>
      </c>
    </row>
    <row r="53" spans="1:6">
      <c r="A53" s="1310" t="s">
        <v>43</v>
      </c>
      <c r="B53" s="1310" t="s">
        <v>44</v>
      </c>
      <c r="C53" s="1311">
        <v>56</v>
      </c>
      <c r="D53" s="1311">
        <v>1001189.03</v>
      </c>
      <c r="E53" s="1311">
        <v>140</v>
      </c>
      <c r="F53" s="1311">
        <v>4401239.6380000003</v>
      </c>
    </row>
    <row r="54" spans="1:6">
      <c r="A54" s="1310" t="s">
        <v>45</v>
      </c>
      <c r="B54" s="1310" t="s">
        <v>46</v>
      </c>
      <c r="C54" s="1311">
        <v>0</v>
      </c>
      <c r="D54" s="1311">
        <v>0</v>
      </c>
      <c r="E54" s="1311">
        <v>3</v>
      </c>
      <c r="F54" s="1311">
        <v>2024159.895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121</v>
      </c>
      <c r="D57" s="1311">
        <v>13676595.176000001</v>
      </c>
      <c r="E57" s="1311">
        <v>270</v>
      </c>
      <c r="F57" s="1311">
        <v>8767787.6600000001</v>
      </c>
    </row>
    <row r="58" spans="1:6">
      <c r="A58" s="1310" t="s">
        <v>48</v>
      </c>
      <c r="B58" s="1310" t="s">
        <v>50</v>
      </c>
      <c r="C58" s="1311">
        <v>74</v>
      </c>
      <c r="D58" s="1311">
        <v>7915348.2989999996</v>
      </c>
      <c r="E58" s="1311">
        <v>95</v>
      </c>
      <c r="F58" s="1311">
        <v>8213731.7110000001</v>
      </c>
    </row>
    <row r="59" spans="1:6">
      <c r="A59" s="1310" t="s">
        <v>48</v>
      </c>
      <c r="B59" s="1310" t="s">
        <v>51</v>
      </c>
      <c r="C59" s="1311">
        <v>197</v>
      </c>
      <c r="D59" s="1311">
        <v>12116146.694</v>
      </c>
      <c r="E59" s="1311">
        <v>346</v>
      </c>
      <c r="F59" s="1311">
        <v>16218871.377</v>
      </c>
    </row>
    <row r="60" spans="1:6">
      <c r="A60" s="1310" t="s">
        <v>48</v>
      </c>
      <c r="B60" s="1310" t="s">
        <v>52</v>
      </c>
      <c r="C60" s="1311">
        <v>118</v>
      </c>
      <c r="D60" s="1311">
        <v>8477992.5439999998</v>
      </c>
      <c r="E60" s="1311">
        <v>145</v>
      </c>
      <c r="F60" s="1311">
        <v>5062261.4380000001</v>
      </c>
    </row>
    <row r="61" spans="1:6">
      <c r="A61" s="1310" t="s">
        <v>48</v>
      </c>
      <c r="B61" s="1310" t="s">
        <v>53</v>
      </c>
      <c r="C61" s="1311">
        <v>245</v>
      </c>
      <c r="D61" s="1311">
        <v>9704008.7469999995</v>
      </c>
      <c r="E61" s="1311">
        <v>464</v>
      </c>
      <c r="F61" s="1311">
        <v>5704153.4970000004</v>
      </c>
    </row>
    <row r="62" spans="1:6">
      <c r="A62" s="1310" t="s">
        <v>48</v>
      </c>
      <c r="B62" s="1310" t="s">
        <v>54</v>
      </c>
      <c r="C62" s="1311">
        <v>16</v>
      </c>
      <c r="D62" s="1311">
        <v>1666939.8459999999</v>
      </c>
      <c r="E62" s="1311">
        <v>30</v>
      </c>
      <c r="F62" s="1311">
        <v>487932.28399999999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3962.1880000000001</v>
      </c>
    </row>
    <row r="66" spans="1:6">
      <c r="A66" s="1310" t="s">
        <v>55</v>
      </c>
      <c r="B66" s="1310" t="s">
        <v>57</v>
      </c>
      <c r="C66" s="1311">
        <v>0</v>
      </c>
      <c r="D66" s="1311">
        <v>0</v>
      </c>
      <c r="E66" s="1311">
        <v>12</v>
      </c>
      <c r="F66" s="1311">
        <v>252572.435</v>
      </c>
    </row>
    <row r="67" spans="1:6">
      <c r="A67" s="1310" t="s">
        <v>55</v>
      </c>
      <c r="B67" s="1310" t="s">
        <v>58</v>
      </c>
      <c r="C67" s="1311">
        <v>0</v>
      </c>
      <c r="D67" s="1311">
        <v>0</v>
      </c>
      <c r="E67" s="1311">
        <v>0</v>
      </c>
      <c r="F67" s="1311">
        <v>0</v>
      </c>
    </row>
    <row r="68" spans="1:6">
      <c r="A68" s="1305" t="s">
        <v>55</v>
      </c>
      <c r="B68" s="1305" t="s">
        <v>59</v>
      </c>
      <c r="C68" s="1313">
        <v>5</v>
      </c>
      <c r="D68" s="1313">
        <v>182352.56299999999</v>
      </c>
      <c r="E68" s="1313">
        <v>18</v>
      </c>
      <c r="F68" s="1313">
        <v>276148.93</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84810538</v>
      </c>
      <c r="E73" s="445"/>
      <c r="F73" s="326"/>
    </row>
    <row r="74" spans="1:6">
      <c r="A74" s="1310" t="s">
        <v>63</v>
      </c>
      <c r="B74" s="1310" t="s">
        <v>632</v>
      </c>
      <c r="C74" s="1323" t="s">
        <v>634</v>
      </c>
      <c r="D74" s="1311">
        <v>2937894.6630372829</v>
      </c>
      <c r="E74" s="445"/>
      <c r="F74" s="326"/>
    </row>
    <row r="75" spans="1:6">
      <c r="A75" s="1310" t="s">
        <v>64</v>
      </c>
      <c r="B75" s="1310" t="s">
        <v>631</v>
      </c>
      <c r="C75" s="1323" t="s">
        <v>635</v>
      </c>
      <c r="D75" s="1311">
        <v>57149724</v>
      </c>
      <c r="E75" s="445"/>
      <c r="F75" s="326"/>
    </row>
    <row r="76" spans="1:6">
      <c r="A76" s="1310" t="s">
        <v>64</v>
      </c>
      <c r="B76" s="1310" t="s">
        <v>632</v>
      </c>
      <c r="C76" s="1323" t="s">
        <v>636</v>
      </c>
      <c r="D76" s="1311">
        <v>741981.663037283</v>
      </c>
      <c r="E76" s="445"/>
      <c r="F76" s="326"/>
    </row>
    <row r="77" spans="1:6">
      <c r="A77" s="1310" t="s">
        <v>65</v>
      </c>
      <c r="B77" s="1310" t="s">
        <v>631</v>
      </c>
      <c r="C77" s="1323" t="s">
        <v>637</v>
      </c>
      <c r="D77" s="1311">
        <v>172047280</v>
      </c>
      <c r="E77" s="445"/>
      <c r="F77" s="326"/>
    </row>
    <row r="78" spans="1:6">
      <c r="A78" s="1305" t="s">
        <v>65</v>
      </c>
      <c r="B78" s="1305" t="s">
        <v>632</v>
      </c>
      <c r="C78" s="1305" t="s">
        <v>638</v>
      </c>
      <c r="D78" s="1313">
        <v>30563195</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890274.67392543401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12745.227593457856</v>
      </c>
      <c r="C90" s="326"/>
      <c r="D90" s="326"/>
      <c r="E90" s="326"/>
      <c r="F90" s="326"/>
    </row>
    <row r="91" spans="1:6">
      <c r="A91" s="1310" t="s">
        <v>67</v>
      </c>
      <c r="B91" s="1311">
        <v>12564.325306229717</v>
      </c>
      <c r="C91" s="326"/>
      <c r="D91" s="326"/>
      <c r="E91" s="326"/>
      <c r="F91" s="326"/>
    </row>
    <row r="92" spans="1:6">
      <c r="A92" s="1305" t="s">
        <v>68</v>
      </c>
      <c r="B92" s="1306">
        <v>13806.694852274904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1923</v>
      </c>
      <c r="C97" s="326"/>
      <c r="D97" s="326"/>
      <c r="E97" s="326"/>
      <c r="F97" s="326"/>
    </row>
    <row r="98" spans="1:6">
      <c r="A98" s="1310" t="s">
        <v>71</v>
      </c>
      <c r="B98" s="1311">
        <v>7</v>
      </c>
      <c r="C98" s="326"/>
      <c r="D98" s="326"/>
      <c r="E98" s="326"/>
      <c r="F98" s="326"/>
    </row>
    <row r="99" spans="1:6">
      <c r="A99" s="1310" t="s">
        <v>72</v>
      </c>
      <c r="B99" s="1311">
        <v>53</v>
      </c>
      <c r="C99" s="326"/>
      <c r="D99" s="326"/>
      <c r="E99" s="326"/>
      <c r="F99" s="326"/>
    </row>
    <row r="100" spans="1:6">
      <c r="A100" s="1310" t="s">
        <v>73</v>
      </c>
      <c r="B100" s="1311">
        <v>335</v>
      </c>
      <c r="C100" s="326"/>
      <c r="D100" s="326"/>
      <c r="E100" s="326"/>
      <c r="F100" s="326"/>
    </row>
    <row r="101" spans="1:6">
      <c r="A101" s="1310" t="s">
        <v>74</v>
      </c>
      <c r="B101" s="1311">
        <v>65</v>
      </c>
      <c r="C101" s="326"/>
      <c r="D101" s="326"/>
      <c r="E101" s="326"/>
      <c r="F101" s="326"/>
    </row>
    <row r="102" spans="1:6">
      <c r="A102" s="1310" t="s">
        <v>75</v>
      </c>
      <c r="B102" s="1311">
        <v>118</v>
      </c>
      <c r="C102" s="326"/>
      <c r="D102" s="326"/>
      <c r="E102" s="326"/>
      <c r="F102" s="326"/>
    </row>
    <row r="103" spans="1:6">
      <c r="A103" s="1310" t="s">
        <v>76</v>
      </c>
      <c r="B103" s="1311">
        <v>185</v>
      </c>
      <c r="C103" s="326"/>
      <c r="D103" s="326"/>
      <c r="E103" s="326"/>
      <c r="F103" s="326"/>
    </row>
    <row r="104" spans="1:6">
      <c r="A104" s="1310" t="s">
        <v>77</v>
      </c>
      <c r="B104" s="1311">
        <v>7729</v>
      </c>
      <c r="C104" s="326"/>
      <c r="D104" s="326"/>
      <c r="E104" s="326"/>
      <c r="F104" s="326"/>
    </row>
    <row r="105" spans="1:6">
      <c r="A105" s="1305" t="s">
        <v>78</v>
      </c>
      <c r="B105" s="131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2</v>
      </c>
      <c r="C122" s="1311">
        <v>0</v>
      </c>
      <c r="D122" s="326"/>
      <c r="E122" s="326"/>
      <c r="F122" s="326"/>
    </row>
    <row r="123" spans="1:6">
      <c r="A123" s="1310" t="s">
        <v>87</v>
      </c>
      <c r="B123" s="1311">
        <v>86</v>
      </c>
      <c r="C123" s="1311">
        <v>137</v>
      </c>
      <c r="D123" s="326"/>
      <c r="E123" s="326"/>
      <c r="F123" s="326"/>
    </row>
    <row r="124" spans="1:6">
      <c r="A124" s="1310" t="s">
        <v>88</v>
      </c>
      <c r="B124" s="1311">
        <v>8</v>
      </c>
      <c r="C124" s="1311">
        <v>5</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414</v>
      </c>
      <c r="C129" s="326"/>
      <c r="D129" s="326"/>
      <c r="E129" s="326"/>
      <c r="F129" s="326"/>
    </row>
    <row r="130" spans="1:6">
      <c r="A130" s="1310" t="s">
        <v>284</v>
      </c>
      <c r="B130" s="1311">
        <v>4</v>
      </c>
      <c r="C130" s="326"/>
      <c r="D130" s="326"/>
      <c r="E130" s="326"/>
      <c r="F130" s="326"/>
    </row>
    <row r="131" spans="1:6">
      <c r="A131" s="1310" t="s">
        <v>285</v>
      </c>
      <c r="B131" s="1311">
        <v>9</v>
      </c>
      <c r="C131" s="326"/>
      <c r="D131" s="326"/>
      <c r="E131" s="326"/>
      <c r="F131" s="326"/>
    </row>
    <row r="132" spans="1:6">
      <c r="A132" s="1305" t="s">
        <v>286</v>
      </c>
      <c r="B132" s="1306">
        <v>72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142200.88589804166</v>
      </c>
      <c r="C3" s="43" t="s">
        <v>163</v>
      </c>
      <c r="D3" s="43"/>
      <c r="E3" s="154"/>
      <c r="F3" s="43"/>
      <c r="G3" s="43"/>
      <c r="H3" s="43"/>
      <c r="I3" s="43"/>
      <c r="J3" s="43"/>
      <c r="K3" s="96"/>
    </row>
    <row r="4" spans="1:11">
      <c r="A4" s="352" t="s">
        <v>164</v>
      </c>
      <c r="B4" s="49">
        <f>IF(ISERROR('SEAP template'!B78+'SEAP template'!C78),0,'SEAP template'!B78+'SEAP template'!C78)</f>
        <v>39116.247751962481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0.16020789804796315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2024.159895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2024.159895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0.16020789804796315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324.28640209093578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40038.904875</v>
      </c>
      <c r="C5" s="17">
        <f>IF(ISERROR('Eigen informatie GS &amp; warmtenet'!B59),0,'Eigen informatie GS &amp; warmtenet'!B59)</f>
        <v>0</v>
      </c>
      <c r="D5" s="30">
        <f>(SUM(HH_hh_gas_kWh,HH_rest_gas_kWh)/1000)*0.903</f>
        <v>107238.899126982</v>
      </c>
      <c r="E5" s="17">
        <f>B32*B41</f>
        <v>3494.854628470534</v>
      </c>
      <c r="F5" s="17">
        <f>B36*B45</f>
        <v>76560.400841185925</v>
      </c>
      <c r="G5" s="18"/>
      <c r="H5" s="17"/>
      <c r="I5" s="17"/>
      <c r="J5" s="17">
        <f>B35*B44+C35*C44</f>
        <v>436.32609809269144</v>
      </c>
      <c r="K5" s="17"/>
      <c r="L5" s="17"/>
      <c r="M5" s="17"/>
      <c r="N5" s="17">
        <f>B34*B43+C34*C43</f>
        <v>17725.862687186695</v>
      </c>
      <c r="O5" s="17">
        <f>B52*B53*B54</f>
        <v>1103.0807699791897</v>
      </c>
      <c r="P5" s="17">
        <f>B60*B61*B62/1000-B60*B61*B62/1000/B63</f>
        <v>1748.6372450757135</v>
      </c>
    </row>
    <row r="6" spans="1:16">
      <c r="A6" s="16" t="s">
        <v>597</v>
      </c>
      <c r="B6" s="778">
        <f>kWh_PV_kleiner_dan_10kW</f>
        <v>12564.325306229717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52603.230181229716</v>
      </c>
      <c r="C8" s="21">
        <f>C5</f>
        <v>0</v>
      </c>
      <c r="D8" s="21">
        <f>D5</f>
        <v>107238.899126982</v>
      </c>
      <c r="E8" s="21">
        <f>E5</f>
        <v>3494.854628470534</v>
      </c>
      <c r="F8" s="21">
        <f>F5</f>
        <v>76560.400841185925</v>
      </c>
      <c r="G8" s="21"/>
      <c r="H8" s="21"/>
      <c r="I8" s="21"/>
      <c r="J8" s="21">
        <f>J5</f>
        <v>436.32609809269144</v>
      </c>
      <c r="K8" s="21"/>
      <c r="L8" s="21">
        <f>L5</f>
        <v>0</v>
      </c>
      <c r="M8" s="21">
        <f>M5</f>
        <v>0</v>
      </c>
      <c r="N8" s="21">
        <f>N5</f>
        <v>17725.862687186695</v>
      </c>
      <c r="O8" s="21">
        <f>O5</f>
        <v>1103.0807699791897</v>
      </c>
      <c r="P8" s="21">
        <f>P5</f>
        <v>1748.6372450757135</v>
      </c>
    </row>
    <row r="9" spans="1:16">
      <c r="B9" s="19"/>
      <c r="C9" s="19"/>
      <c r="D9" s="254"/>
      <c r="E9" s="19"/>
      <c r="F9" s="19"/>
      <c r="G9" s="19"/>
      <c r="H9" s="19"/>
      <c r="I9" s="19"/>
      <c r="J9" s="19"/>
      <c r="K9" s="19"/>
      <c r="L9" s="19"/>
      <c r="M9" s="19"/>
      <c r="N9" s="19"/>
      <c r="O9" s="19"/>
      <c r="P9" s="19"/>
    </row>
    <row r="10" spans="1:16">
      <c r="A10" s="24" t="s">
        <v>207</v>
      </c>
      <c r="B10" s="25">
        <f ca="1">'EF ele_warmte'!B12</f>
        <v>0.16020789804796315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8427.452937867989</v>
      </c>
      <c r="C12" s="23">
        <f ca="1">C10*C8</f>
        <v>0</v>
      </c>
      <c r="D12" s="23">
        <f>D8*D10</f>
        <v>21662.257623650363</v>
      </c>
      <c r="E12" s="23">
        <f>E10*E8</f>
        <v>793.3320006628112</v>
      </c>
      <c r="F12" s="23">
        <f>F10*F8</f>
        <v>20441.627024596644</v>
      </c>
      <c r="G12" s="23"/>
      <c r="H12" s="23"/>
      <c r="I12" s="23"/>
      <c r="J12" s="23">
        <f>J10*J8</f>
        <v>154.45943872481277</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13209</v>
      </c>
      <c r="C26" s="36"/>
      <c r="D26" s="225"/>
    </row>
    <row r="27" spans="1:5" s="15" customFormat="1">
      <c r="A27" s="227" t="s">
        <v>860</v>
      </c>
      <c r="B27" s="37">
        <f>SUM(HH_hh_gas_aantal,HH_rest_gas_aantal)</f>
        <v>7934</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7537.3</v>
      </c>
      <c r="C31" s="34" t="s">
        <v>104</v>
      </c>
      <c r="D31" s="171"/>
    </row>
    <row r="32" spans="1:5">
      <c r="A32" s="168" t="s">
        <v>72</v>
      </c>
      <c r="B32" s="33">
        <f>IF((B21*($B$26-($B$27-0.05*$B$27)-$B$60))&lt;0,0,(B21*($B$26-($B$27-0.05*$B$27)-$B$60)))</f>
        <v>87.404081449196269</v>
      </c>
      <c r="C32" s="34" t="s">
        <v>104</v>
      </c>
      <c r="D32" s="171"/>
    </row>
    <row r="33" spans="1:6">
      <c r="A33" s="168" t="s">
        <v>73</v>
      </c>
      <c r="B33" s="33">
        <f>IF((B22*($B$26-($B$27-0.05*$B$27)-$B$60))&lt;0,0,B22*($B$26-($B$27-0.05*$B$27)-$B$60))</f>
        <v>1419.2691770516485</v>
      </c>
      <c r="C33" s="34" t="s">
        <v>104</v>
      </c>
      <c r="D33" s="171"/>
    </row>
    <row r="34" spans="1:6">
      <c r="A34" s="168" t="s">
        <v>74</v>
      </c>
      <c r="B34" s="33">
        <f>IF((B24*($B$26-($B$27-0.05*$B$27)-$B$60))&lt;0,0,B24*($B$26-($B$27-0.05*$B$27)-$B$60))</f>
        <v>272.09289455960533</v>
      </c>
      <c r="C34" s="33">
        <f>B26*C24</f>
        <v>2706.6025589046421</v>
      </c>
      <c r="D34" s="230"/>
    </row>
    <row r="35" spans="1:6">
      <c r="A35" s="168" t="s">
        <v>76</v>
      </c>
      <c r="B35" s="33">
        <f>IF((B19*($B$26-($B$27-0.05*$B$27)-$B$60))&lt;0,0,B19*($B$26-($B$27-0.05*$B$27)-$B$60))</f>
        <v>37.99434582893187</v>
      </c>
      <c r="C35" s="33">
        <f>B35/2</f>
        <v>18.997172914465935</v>
      </c>
      <c r="D35" s="230"/>
    </row>
    <row r="36" spans="1:6">
      <c r="A36" s="168" t="s">
        <v>77</v>
      </c>
      <c r="B36" s="33">
        <f>IF((B18*($B$26-($B$27-0.05*$B$27)-$B$60))&lt;0,0,B18*($B$26-($B$27-0.05*$B$27)-$B$60))</f>
        <v>3688.9395011106167</v>
      </c>
      <c r="C36" s="34" t="s">
        <v>104</v>
      </c>
      <c r="D36" s="171"/>
    </row>
    <row r="37" spans="1:6">
      <c r="A37" s="168" t="s">
        <v>78</v>
      </c>
      <c r="B37" s="33">
        <f>B60</f>
        <v>166</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556</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166</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44454.737967000001</v>
      </c>
      <c r="C5" s="17">
        <f>IF(ISERROR('Eigen informatie GS &amp; warmtenet'!B60),0,'Eigen informatie GS &amp; warmtenet'!B60)</f>
        <v>0</v>
      </c>
      <c r="D5" s="30">
        <f>SUM(D6:D12)</f>
        <v>48361.999269317996</v>
      </c>
      <c r="E5" s="17">
        <f>SUM(E6:E12)</f>
        <v>244.67656657855352</v>
      </c>
      <c r="F5" s="17">
        <f>SUM(F6:F12)</f>
        <v>11328.414639891276</v>
      </c>
      <c r="G5" s="18"/>
      <c r="H5" s="17"/>
      <c r="I5" s="17"/>
      <c r="J5" s="17">
        <f>SUM(J6:J12)</f>
        <v>8.8678913484130678E-2</v>
      </c>
      <c r="K5" s="17"/>
      <c r="L5" s="17"/>
      <c r="M5" s="17"/>
      <c r="N5" s="17">
        <f>SUM(N6:N12)</f>
        <v>3429.8494259354711</v>
      </c>
      <c r="O5" s="17">
        <f>B38*B39*B40</f>
        <v>19.589043063364617</v>
      </c>
      <c r="P5" s="17">
        <f>B46*B47*B48/1000-B46*B47*B48/1000/B49</f>
        <v>577.93052137144514</v>
      </c>
      <c r="R5" s="32"/>
    </row>
    <row r="6" spans="1:18">
      <c r="A6" s="32" t="s">
        <v>53</v>
      </c>
      <c r="B6" s="37">
        <f>B26</f>
        <v>5704.1534970000002</v>
      </c>
      <c r="C6" s="33"/>
      <c r="D6" s="37">
        <f>IF(ISERROR(TER_kantoor_gas_kWh/1000),0,TER_kantoor_gas_kWh/1000)*0.903</f>
        <v>8762.7198985409996</v>
      </c>
      <c r="E6" s="33">
        <f>$C$26*'E Balans VL '!I12/100/3.6*1000000</f>
        <v>1.359131650249134</v>
      </c>
      <c r="F6" s="33">
        <f>$C$26*('E Balans VL '!L12+'E Balans VL '!N12)/100/3.6*1000000</f>
        <v>495.4616099517379</v>
      </c>
      <c r="G6" s="34"/>
      <c r="H6" s="33"/>
      <c r="I6" s="33"/>
      <c r="J6" s="33">
        <f>$C$26*('E Balans VL '!D12+'E Balans VL '!E12)/100/3.6*1000000</f>
        <v>0</v>
      </c>
      <c r="K6" s="33"/>
      <c r="L6" s="33"/>
      <c r="M6" s="33"/>
      <c r="N6" s="33">
        <f>$C$26*'E Balans VL '!Y12/100/3.6*1000000</f>
        <v>7.6243991609501496</v>
      </c>
      <c r="O6" s="33"/>
      <c r="P6" s="33"/>
      <c r="R6" s="32"/>
    </row>
    <row r="7" spans="1:18">
      <c r="A7" s="32" t="s">
        <v>52</v>
      </c>
      <c r="B7" s="37">
        <f t="shared" ref="B7:B12" si="0">B27</f>
        <v>5062.2614380000005</v>
      </c>
      <c r="C7" s="33"/>
      <c r="D7" s="37">
        <f>IF(ISERROR(TER_horeca_gas_kWh/1000),0,TER_horeca_gas_kWh/1000)*0.903</f>
        <v>7655.627267232001</v>
      </c>
      <c r="E7" s="33">
        <f>$C$27*'E Balans VL '!I9/100/3.6*1000000</f>
        <v>0</v>
      </c>
      <c r="F7" s="33">
        <f>$C$27*('E Balans VL '!L9+'E Balans VL '!N9)/100/3.6*1000000</f>
        <v>412.48269335171295</v>
      </c>
      <c r="G7" s="34"/>
      <c r="H7" s="33"/>
      <c r="I7" s="33"/>
      <c r="J7" s="33">
        <f>$C$27*('E Balans VL '!D9+'E Balans VL '!E9)/100/3.6*1000000</f>
        <v>0</v>
      </c>
      <c r="K7" s="33"/>
      <c r="L7" s="33"/>
      <c r="M7" s="33"/>
      <c r="N7" s="33">
        <f>$C$27*'E Balans VL '!Y9/100/3.6*1000000</f>
        <v>1.4021521724291059</v>
      </c>
      <c r="O7" s="33"/>
      <c r="P7" s="33"/>
      <c r="R7" s="32"/>
    </row>
    <row r="8" spans="1:18">
      <c r="A8" s="6" t="s">
        <v>51</v>
      </c>
      <c r="B8" s="37">
        <f t="shared" si="0"/>
        <v>16218.871376999999</v>
      </c>
      <c r="C8" s="33"/>
      <c r="D8" s="37">
        <f>IF(ISERROR(TER_handel_gas_kWh/1000),0,TER_handel_gas_kWh/1000)*0.903</f>
        <v>10940.880464682001</v>
      </c>
      <c r="E8" s="33">
        <f>$C$28*'E Balans VL '!I13/100/3.6*1000000</f>
        <v>129.64740701231943</v>
      </c>
      <c r="F8" s="33">
        <f>$C$28*('E Balans VL '!L13+'E Balans VL '!N13)/100/3.6*1000000</f>
        <v>1611.2440489180067</v>
      </c>
      <c r="G8" s="34"/>
      <c r="H8" s="33"/>
      <c r="I8" s="33"/>
      <c r="J8" s="33">
        <f>$C$28*('E Balans VL '!D13+'E Balans VL '!E13)/100/3.6*1000000</f>
        <v>0</v>
      </c>
      <c r="K8" s="33"/>
      <c r="L8" s="33"/>
      <c r="M8" s="33"/>
      <c r="N8" s="33">
        <f>$C$28*'E Balans VL '!Y13/100/3.6*1000000</f>
        <v>6.0587138707950228</v>
      </c>
      <c r="O8" s="33"/>
      <c r="P8" s="33"/>
      <c r="R8" s="32"/>
    </row>
    <row r="9" spans="1:18">
      <c r="A9" s="32" t="s">
        <v>50</v>
      </c>
      <c r="B9" s="37">
        <f t="shared" si="0"/>
        <v>8213.7317110000004</v>
      </c>
      <c r="C9" s="33"/>
      <c r="D9" s="37">
        <f>IF(ISERROR(TER_gezond_gas_kWh/1000),0,TER_gezond_gas_kWh/1000)*0.903</f>
        <v>7147.5595139969992</v>
      </c>
      <c r="E9" s="33">
        <f>$C$29*'E Balans VL '!I10/100/3.6*1000000</f>
        <v>0</v>
      </c>
      <c r="F9" s="33">
        <f>$C$29*('E Balans VL '!L10+'E Balans VL '!N10)/100/3.6*1000000</f>
        <v>748.81549393800697</v>
      </c>
      <c r="G9" s="34"/>
      <c r="H9" s="33"/>
      <c r="I9" s="33"/>
      <c r="J9" s="33">
        <f>$C$29*('E Balans VL '!D10+'E Balans VL '!E10)/100/3.6*1000000</f>
        <v>0</v>
      </c>
      <c r="K9" s="33"/>
      <c r="L9" s="33"/>
      <c r="M9" s="33"/>
      <c r="N9" s="33">
        <f>$C$29*'E Balans VL '!Y10/100/3.6*1000000</f>
        <v>60.035017989240593</v>
      </c>
      <c r="O9" s="33"/>
      <c r="P9" s="33"/>
      <c r="R9" s="32"/>
    </row>
    <row r="10" spans="1:18">
      <c r="A10" s="32" t="s">
        <v>49</v>
      </c>
      <c r="B10" s="37">
        <f t="shared" si="0"/>
        <v>8767.78766</v>
      </c>
      <c r="C10" s="33"/>
      <c r="D10" s="37">
        <f>IF(ISERROR(TER_ander_gas_kWh/1000),0,TER_ander_gas_kWh/1000)*0.903</f>
        <v>12349.965443928</v>
      </c>
      <c r="E10" s="33">
        <f>$C$30*'E Balans VL '!I14/100/3.6*1000000</f>
        <v>113.67002791598495</v>
      </c>
      <c r="F10" s="33">
        <f>$C$30*('E Balans VL '!L14+'E Balans VL '!N14)/100/3.6*1000000</f>
        <v>8041.2923049811097</v>
      </c>
      <c r="G10" s="34"/>
      <c r="H10" s="33"/>
      <c r="I10" s="33"/>
      <c r="J10" s="33">
        <f>$C$30*('E Balans VL '!D14+'E Balans VL '!E14)/100/3.6*1000000</f>
        <v>8.8678913484130678E-2</v>
      </c>
      <c r="K10" s="33"/>
      <c r="L10" s="33"/>
      <c r="M10" s="33"/>
      <c r="N10" s="33">
        <f>$C$30*'E Balans VL '!Y14/100/3.6*1000000</f>
        <v>3353.192523424932</v>
      </c>
      <c r="O10" s="33"/>
      <c r="P10" s="33"/>
      <c r="R10" s="32"/>
    </row>
    <row r="11" spans="1:18">
      <c r="A11" s="32" t="s">
        <v>54</v>
      </c>
      <c r="B11" s="37">
        <f t="shared" si="0"/>
        <v>487.93228399999998</v>
      </c>
      <c r="C11" s="33"/>
      <c r="D11" s="37">
        <f>IF(ISERROR(TER_onderwijs_gas_kWh/1000),0,TER_onderwijs_gas_kWh/1000)*0.903</f>
        <v>1505.2466809380001</v>
      </c>
      <c r="E11" s="33">
        <f>$C$31*'E Balans VL '!I11/100/3.6*1000000</f>
        <v>0</v>
      </c>
      <c r="F11" s="33">
        <f>$C$31*('E Balans VL '!L11+'E Balans VL '!N11)/100/3.6*1000000</f>
        <v>19.118488750701903</v>
      </c>
      <c r="G11" s="34"/>
      <c r="H11" s="33"/>
      <c r="I11" s="33"/>
      <c r="J11" s="33">
        <f>$C$31*('E Balans VL '!D11+'E Balans VL '!E11)/100/3.6*1000000</f>
        <v>0</v>
      </c>
      <c r="K11" s="33"/>
      <c r="L11" s="33"/>
      <c r="M11" s="33"/>
      <c r="N11" s="33">
        <f>$C$31*'E Balans VL '!Y11/100/3.6*1000000</f>
        <v>1.5366193171244977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44454.737967000001</v>
      </c>
      <c r="C16" s="21">
        <f t="shared" ca="1" si="1"/>
        <v>0</v>
      </c>
      <c r="D16" s="21">
        <f t="shared" ca="1" si="1"/>
        <v>48361.999269317996</v>
      </c>
      <c r="E16" s="21">
        <f t="shared" si="1"/>
        <v>244.67656657855352</v>
      </c>
      <c r="F16" s="21">
        <f t="shared" ca="1" si="1"/>
        <v>11328.414639891276</v>
      </c>
      <c r="G16" s="21">
        <f t="shared" si="1"/>
        <v>0</v>
      </c>
      <c r="H16" s="21">
        <f t="shared" si="1"/>
        <v>0</v>
      </c>
      <c r="I16" s="21">
        <f t="shared" si="1"/>
        <v>0</v>
      </c>
      <c r="J16" s="21">
        <f t="shared" si="1"/>
        <v>8.8678913484130678E-2</v>
      </c>
      <c r="K16" s="21">
        <f t="shared" si="1"/>
        <v>0</v>
      </c>
      <c r="L16" s="21">
        <f t="shared" ca="1" si="1"/>
        <v>0</v>
      </c>
      <c r="M16" s="21">
        <f t="shared" si="1"/>
        <v>0</v>
      </c>
      <c r="N16" s="21">
        <f t="shared" ca="1" si="1"/>
        <v>3429.8494259354711</v>
      </c>
      <c r="O16" s="21">
        <f>O5</f>
        <v>19.589043063364617</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0.16020789804796315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7122.0001279660528</v>
      </c>
      <c r="C20" s="23">
        <f t="shared" ref="C20:P20" ca="1" si="2">C16*C18</f>
        <v>0</v>
      </c>
      <c r="D20" s="23">
        <f t="shared" ca="1" si="2"/>
        <v>9769.1238524022356</v>
      </c>
      <c r="E20" s="23">
        <f t="shared" si="2"/>
        <v>55.541580613331654</v>
      </c>
      <c r="F20" s="23">
        <f t="shared" ca="1" si="2"/>
        <v>3024.6867088509707</v>
      </c>
      <c r="G20" s="23">
        <f t="shared" si="2"/>
        <v>0</v>
      </c>
      <c r="H20" s="23">
        <f t="shared" si="2"/>
        <v>0</v>
      </c>
      <c r="I20" s="23">
        <f t="shared" si="2"/>
        <v>0</v>
      </c>
      <c r="J20" s="23">
        <f t="shared" si="2"/>
        <v>3.1392335373382256E-2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5704.1534970000002</v>
      </c>
      <c r="C26" s="39">
        <f>IF(ISERROR(B26*3.6/1000000/'E Balans VL '!Z12*100),0,B26*3.6/1000000/'E Balans VL '!Z12*100)</f>
        <v>0.16365162703895858</v>
      </c>
      <c r="D26" s="233" t="s">
        <v>835</v>
      </c>
      <c r="F26" s="6"/>
    </row>
    <row r="27" spans="1:18" ht="30">
      <c r="A27" s="228" t="s">
        <v>52</v>
      </c>
      <c r="B27" s="33">
        <f>IF(ISERROR(TER_horeca_ele_kWh/1000),0,TER_horeca_ele_kWh/1000)</f>
        <v>5062.2614380000005</v>
      </c>
      <c r="C27" s="39">
        <f>IF(ISERROR(B27*3.6/1000000/'E Balans VL '!Z9*100),0,B27*3.6/1000000/'E Balans VL '!Z9*100)</f>
        <v>0.37086306516844336</v>
      </c>
      <c r="D27" s="233" t="s">
        <v>835</v>
      </c>
      <c r="F27" s="6"/>
    </row>
    <row r="28" spans="1:18" ht="30">
      <c r="A28" s="168" t="s">
        <v>51</v>
      </c>
      <c r="B28" s="33">
        <f>IF(ISERROR(TER_handel_ele_kWh/1000),0,TER_handel_ele_kWh/1000)</f>
        <v>16218.871376999999</v>
      </c>
      <c r="C28" s="39">
        <f>IF(ISERROR(B28*3.6/1000000/'E Balans VL '!Z13*100),0,B28*3.6/1000000/'E Balans VL '!Z13*100)</f>
        <v>0.50117680537804266</v>
      </c>
      <c r="D28" s="233" t="s">
        <v>835</v>
      </c>
      <c r="F28" s="6"/>
    </row>
    <row r="29" spans="1:18" ht="30">
      <c r="A29" s="228" t="s">
        <v>50</v>
      </c>
      <c r="B29" s="33">
        <f>IF(ISERROR(TER_gezond_ele_kWh/1000),0,TER_gezond_ele_kWh/1000)</f>
        <v>8213.7317110000004</v>
      </c>
      <c r="C29" s="39">
        <f>IF(ISERROR(B29*3.6/1000000/'E Balans VL '!Z10*100),0,B29*3.6/1000000/'E Balans VL '!Z10*100)</f>
        <v>0.80499621354466266</v>
      </c>
      <c r="D29" s="233" t="s">
        <v>835</v>
      </c>
      <c r="F29" s="6"/>
    </row>
    <row r="30" spans="1:18" ht="30">
      <c r="A30" s="228" t="s">
        <v>49</v>
      </c>
      <c r="B30" s="33">
        <f>IF(ISERROR(TER_ander_ele_kWh/1000),0,TER_ander_ele_kWh/1000)</f>
        <v>8767.78766</v>
      </c>
      <c r="C30" s="39">
        <f>IF(ISERROR(B30*3.6/1000000/'E Balans VL '!Z14*100),0,B30*3.6/1000000/'E Balans VL '!Z14*100)</f>
        <v>0.36319008935480135</v>
      </c>
      <c r="D30" s="233" t="s">
        <v>835</v>
      </c>
      <c r="F30" s="6"/>
    </row>
    <row r="31" spans="1:18" ht="30">
      <c r="A31" s="228" t="s">
        <v>54</v>
      </c>
      <c r="B31" s="33">
        <f>IF(ISERROR(TER_onderwijs_ele_kWh/1000),0,TER_onderwijs_ele_kWh/1000)</f>
        <v>487.93228399999998</v>
      </c>
      <c r="C31" s="39">
        <f>IF(ISERROR(B31*3.6/1000000/'E Balans VL '!Z11*100),0,B31*3.6/1000000/'E Balans VL '!Z11*100)</f>
        <v>0.14992675645334214</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4</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37838.532231999998</v>
      </c>
      <c r="C5" s="17">
        <f>IF(ISERROR('Eigen informatie GS &amp; warmtenet'!B61),0,'Eigen informatie GS &amp; warmtenet'!B61)</f>
        <v>0</v>
      </c>
      <c r="D5" s="30">
        <f>SUM(D6:D15)</f>
        <v>49504.340907462007</v>
      </c>
      <c r="E5" s="17">
        <f>SUM(E6:E15)</f>
        <v>2188.4945719097555</v>
      </c>
      <c r="F5" s="17">
        <f>SUM(F6:F15)</f>
        <v>6392.7399364909406</v>
      </c>
      <c r="G5" s="18"/>
      <c r="H5" s="17"/>
      <c r="I5" s="17"/>
      <c r="J5" s="17">
        <f>SUM(J6:J15)</f>
        <v>160.33224341713381</v>
      </c>
      <c r="K5" s="17"/>
      <c r="L5" s="17"/>
      <c r="M5" s="17"/>
      <c r="N5" s="17">
        <f>SUM(N6:N15)</f>
        <v>2198.1603985211509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3356.866912</v>
      </c>
      <c r="C8" s="33"/>
      <c r="D8" s="37">
        <f>IF( ISERROR(IND_metaal_Gas_kWH/1000),0,IND_metaal_Gas_kWH/1000)*0.903</f>
        <v>10916.371433730001</v>
      </c>
      <c r="E8" s="33">
        <f>C30*'E Balans VL '!I18/100/3.6*1000000</f>
        <v>18.298805065789505</v>
      </c>
      <c r="F8" s="33">
        <f>C30*'E Balans VL '!L18/100/3.6*1000000+C30*'E Balans VL '!N18/100/3.6*1000000</f>
        <v>216.18248553936337</v>
      </c>
      <c r="G8" s="34"/>
      <c r="H8" s="33"/>
      <c r="I8" s="33"/>
      <c r="J8" s="40">
        <f>C30*'E Balans VL '!D18/100/3.6*1000000+C30*'E Balans VL '!E18/100/3.6*1000000</f>
        <v>2.7496834662098344</v>
      </c>
      <c r="K8" s="33"/>
      <c r="L8" s="33"/>
      <c r="M8" s="33"/>
      <c r="N8" s="33">
        <f>C30*'E Balans VL '!Y18/100/3.6*1000000</f>
        <v>72.522891426519294</v>
      </c>
      <c r="O8" s="33"/>
      <c r="P8" s="33"/>
      <c r="R8" s="32"/>
    </row>
    <row r="9" spans="1:18">
      <c r="A9" s="6" t="s">
        <v>32</v>
      </c>
      <c r="B9" s="37">
        <f t="shared" si="0"/>
        <v>5324.5929100000003</v>
      </c>
      <c r="C9" s="33"/>
      <c r="D9" s="37">
        <f>IF( ISERROR(IND_andere_gas_kWh/1000),0,IND_andere_gas_kWh/1000)*0.903</f>
        <v>25924.460199749999</v>
      </c>
      <c r="E9" s="33">
        <f>C31*'E Balans VL '!I19/100/3.6*1000000</f>
        <v>17.188692694611117</v>
      </c>
      <c r="F9" s="33">
        <f>C31*'E Balans VL '!L19/100/3.6*1000000+C31*'E Balans VL '!N19/100/3.6*1000000</f>
        <v>3442.9235739873734</v>
      </c>
      <c r="G9" s="34"/>
      <c r="H9" s="33"/>
      <c r="I9" s="33"/>
      <c r="J9" s="40">
        <f>C31*'E Balans VL '!D19/100/3.6*1000000+C31*'E Balans VL '!E19/100/3.6*1000000</f>
        <v>0</v>
      </c>
      <c r="K9" s="33"/>
      <c r="L9" s="33"/>
      <c r="M9" s="33"/>
      <c r="N9" s="33">
        <f>C31*'E Balans VL '!Y19/100/3.6*1000000</f>
        <v>215.16064904889555</v>
      </c>
      <c r="O9" s="33"/>
      <c r="P9" s="33"/>
      <c r="R9" s="32"/>
    </row>
    <row r="10" spans="1:18">
      <c r="A10" s="6" t="s">
        <v>40</v>
      </c>
      <c r="B10" s="37">
        <f t="shared" si="0"/>
        <v>6326.6026619999993</v>
      </c>
      <c r="C10" s="33"/>
      <c r="D10" s="37">
        <f>IF( ISERROR(IND_voed_gas_kWh/1000),0,IND_voed_gas_kWh/1000)*0.903</f>
        <v>10342.301502455999</v>
      </c>
      <c r="E10" s="33">
        <f>C32*'E Balans VL '!I20/100/3.6*1000000</f>
        <v>13.262109662584946</v>
      </c>
      <c r="F10" s="33">
        <f>C32*'E Balans VL '!L20/100/3.6*1000000+C32*'E Balans VL '!N20/100/3.6*1000000</f>
        <v>123.26408381737654</v>
      </c>
      <c r="G10" s="34"/>
      <c r="H10" s="33"/>
      <c r="I10" s="33"/>
      <c r="J10" s="40">
        <f>C32*'E Balans VL '!D20/100/3.6*1000000+C32*'E Balans VL '!E20/100/3.6*1000000</f>
        <v>0</v>
      </c>
      <c r="K10" s="33"/>
      <c r="L10" s="33"/>
      <c r="M10" s="33"/>
      <c r="N10" s="33">
        <f>C32*'E Balans VL '!Y20/100/3.6*1000000</f>
        <v>251.65471398116725</v>
      </c>
      <c r="O10" s="33"/>
      <c r="P10" s="33"/>
      <c r="R10" s="32"/>
    </row>
    <row r="11" spans="1:18">
      <c r="A11" s="6" t="s">
        <v>39</v>
      </c>
      <c r="B11" s="37">
        <f t="shared" si="0"/>
        <v>18.777193999999998</v>
      </c>
      <c r="C11" s="33"/>
      <c r="D11" s="37">
        <f>IF( ISERROR(IND_textiel_gas_kWh/1000),0,IND_textiel_gas_kWh/1000)*0.903</f>
        <v>0</v>
      </c>
      <c r="E11" s="33">
        <f>C33*'E Balans VL '!I21/100/3.6*1000000</f>
        <v>1.6134678352834469E-2</v>
      </c>
      <c r="F11" s="33">
        <f>C33*'E Balans VL '!L21/100/3.6*1000000+C33*'E Balans VL '!N21/100/3.6*1000000</f>
        <v>0.39368336072440879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2177.3319999999999</v>
      </c>
      <c r="C12" s="33"/>
      <c r="D12" s="37">
        <f>IF( ISERROR(IND_min_gas_kWh/1000),0,IND_min_gas_kWh/1000)*0.903</f>
        <v>0</v>
      </c>
      <c r="E12" s="33">
        <f>C34*'E Balans VL '!I22/100/3.6*1000000</f>
        <v>35.632166394804052</v>
      </c>
      <c r="F12" s="33">
        <f>C34*'E Balans VL '!L22/100/3.6*1000000+C34*'E Balans VL '!N22/100/3.6*1000000</f>
        <v>332.33560716057076</v>
      </c>
      <c r="G12" s="34"/>
      <c r="H12" s="33"/>
      <c r="I12" s="33"/>
      <c r="J12" s="40">
        <f>C34*'E Balans VL '!D22/100/3.6*1000000+C34*'E Balans VL '!E22/100/3.6*1000000</f>
        <v>77.919234561503231</v>
      </c>
      <c r="K12" s="33"/>
      <c r="L12" s="33"/>
      <c r="M12" s="33"/>
      <c r="N12" s="33">
        <f>C34*'E Balans VL '!Y22/100/3.6*1000000</f>
        <v>1193.2241473971244</v>
      </c>
      <c r="O12" s="33"/>
      <c r="P12" s="33"/>
      <c r="R12" s="32"/>
    </row>
    <row r="13" spans="1:18">
      <c r="A13" s="6" t="s">
        <v>38</v>
      </c>
      <c r="B13" s="37">
        <f t="shared" si="0"/>
        <v>23.447697999999999</v>
      </c>
      <c r="C13" s="33"/>
      <c r="D13" s="37">
        <f>IF( ISERROR(IND_papier_gas_kWh/1000),0,IND_papier_gas_kWh/1000)*0.903</f>
        <v>62.814286437</v>
      </c>
      <c r="E13" s="33">
        <f>C35*'E Balans VL '!I23/100/3.6*1000000</f>
        <v>0</v>
      </c>
      <c r="F13" s="33">
        <f>C35*'E Balans VL '!L23/100/3.6*1000000+C35*'E Balans VL '!N23/100/3.6*1000000</f>
        <v>3.1408930698405579E-3</v>
      </c>
      <c r="G13" s="34"/>
      <c r="H13" s="33"/>
      <c r="I13" s="33"/>
      <c r="J13" s="40">
        <f>C35*'E Balans VL '!D23/100/3.6*1000000+C35*'E Balans VL '!E23/100/3.6*1000000</f>
        <v>4.638102196626903E-3</v>
      </c>
      <c r="K13" s="33"/>
      <c r="L13" s="33"/>
      <c r="M13" s="33"/>
      <c r="N13" s="33">
        <f>C35*'E Balans VL '!Y23/100/3.6*1000000</f>
        <v>0</v>
      </c>
      <c r="O13" s="33"/>
      <c r="P13" s="33"/>
      <c r="R13" s="32"/>
    </row>
    <row r="14" spans="1:18">
      <c r="A14" s="6" t="s">
        <v>33</v>
      </c>
      <c r="B14" s="37">
        <f t="shared" si="0"/>
        <v>5939.5018559999999</v>
      </c>
      <c r="C14" s="33"/>
      <c r="D14" s="37">
        <f>IF( ISERROR(IND_chemie_gas_kWh/1000),0,IND_chemie_gas_kWh/1000)*0.903</f>
        <v>1776.8202132870001</v>
      </c>
      <c r="E14" s="33">
        <f>C36*'E Balans VL '!I24/100/3.6*1000000</f>
        <v>1240.3541865794846</v>
      </c>
      <c r="F14" s="33">
        <f>C36*'E Balans VL '!L24/100/3.6*1000000+C36*'E Balans VL '!N24/100/3.6*1000000</f>
        <v>39.461821640208953</v>
      </c>
      <c r="G14" s="34"/>
      <c r="H14" s="33"/>
      <c r="I14" s="33"/>
      <c r="J14" s="40">
        <f>C36*'E Balans VL '!D24/100/3.6*1000000+C36*'E Balans VL '!E24/100/3.6*1000000</f>
        <v>0</v>
      </c>
      <c r="K14" s="33"/>
      <c r="L14" s="33"/>
      <c r="M14" s="33"/>
      <c r="N14" s="33">
        <f>C36*'E Balans VL '!Y24/100/3.6*1000000</f>
        <v>2.0726087314596064</v>
      </c>
      <c r="O14" s="33"/>
      <c r="P14" s="33"/>
      <c r="R14" s="32"/>
    </row>
    <row r="15" spans="1:18">
      <c r="A15" s="6" t="s">
        <v>259</v>
      </c>
      <c r="B15" s="37">
        <f t="shared" si="0"/>
        <v>14671.411</v>
      </c>
      <c r="C15" s="33"/>
      <c r="D15" s="37">
        <f>IF( ISERROR(IND_rest_gas_kWh/1000),0,IND_rest_gas_kWh/1000)*0.903</f>
        <v>481.57327180200008</v>
      </c>
      <c r="E15" s="33">
        <f>C37*'E Balans VL '!I15/100/3.6*1000000</f>
        <v>863.74247683412852</v>
      </c>
      <c r="F15" s="33">
        <f>C37*'E Balans VL '!L15/100/3.6*1000000+C37*'E Balans VL '!N15/100/3.6*1000000</f>
        <v>2238.1755400922539</v>
      </c>
      <c r="G15" s="34"/>
      <c r="H15" s="33"/>
      <c r="I15" s="33"/>
      <c r="J15" s="40">
        <f>C37*'E Balans VL '!D15/100/3.6*1000000+C37*'E Balans VL '!E15/100/3.6*1000000</f>
        <v>79.658687287224126</v>
      </c>
      <c r="K15" s="33"/>
      <c r="L15" s="33"/>
      <c r="M15" s="33"/>
      <c r="N15" s="33">
        <f>C37*'E Balans VL '!Y15/100/3.6*1000000</f>
        <v>463.52538793598461</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37838.532231999998</v>
      </c>
      <c r="C18" s="21">
        <f>C5+C16</f>
        <v>0</v>
      </c>
      <c r="D18" s="21">
        <f>MAX((D5+D16),0)</f>
        <v>49504.340907462007</v>
      </c>
      <c r="E18" s="21">
        <f>MAX((E5+E16),0)</f>
        <v>2188.4945719097555</v>
      </c>
      <c r="F18" s="21">
        <f>MAX((F5+F16),0)</f>
        <v>6392.7399364909406</v>
      </c>
      <c r="G18" s="21"/>
      <c r="H18" s="21"/>
      <c r="I18" s="21"/>
      <c r="J18" s="21">
        <f>MAX((J5+J16),0)</f>
        <v>160.33224341713381</v>
      </c>
      <c r="K18" s="21"/>
      <c r="L18" s="21">
        <f>MAX((L5+L16),0)</f>
        <v>0</v>
      </c>
      <c r="M18" s="21"/>
      <c r="N18" s="21">
        <f>MAX((N5+N16),0)</f>
        <v>2198.1603985211509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0.16020789804796315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6062.0317141088235</v>
      </c>
      <c r="C22" s="23">
        <f ca="1">C18*C20</f>
        <v>0</v>
      </c>
      <c r="D22" s="23">
        <f>D18*D20</f>
        <v>9999.8768633073269</v>
      </c>
      <c r="E22" s="23">
        <f>E18*E20</f>
        <v>496.7882678235145</v>
      </c>
      <c r="F22" s="23">
        <f>F18*F20</f>
        <v>1706.8615630430813</v>
      </c>
      <c r="G22" s="23"/>
      <c r="H22" s="23"/>
      <c r="I22" s="23"/>
      <c r="J22" s="23">
        <f>J18*J20</f>
        <v>56.757614169665366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3356.866912</v>
      </c>
      <c r="C30" s="39">
        <f>IF(ISERROR(B30*3.6/1000000/'E Balans VL '!Z18*100),0,B30*3.6/1000000/'E Balans VL '!Z18*100)</f>
        <v>0.20214132077507524</v>
      </c>
      <c r="D30" s="233" t="s">
        <v>835</v>
      </c>
    </row>
    <row r="31" spans="1:18" ht="30">
      <c r="A31" s="6" t="s">
        <v>32</v>
      </c>
      <c r="B31" s="37">
        <f>IF( ISERROR(IND_ander_ele_kWh/1000),0,IND_ander_ele_kWh/1000)</f>
        <v>5324.5929100000003</v>
      </c>
      <c r="C31" s="39">
        <f>IF(ISERROR(B31*3.6/1000000/'E Balans VL '!Z19*100),0,B31*3.6/1000000/'E Balans VL '!Z19*100)</f>
        <v>0.21693493832928484</v>
      </c>
      <c r="D31" s="233" t="s">
        <v>835</v>
      </c>
    </row>
    <row r="32" spans="1:18" ht="30">
      <c r="A32" s="168" t="s">
        <v>40</v>
      </c>
      <c r="B32" s="37">
        <f>IF( ISERROR(IND_voed_ele_kWh/1000),0,IND_voed_ele_kWh/1000)</f>
        <v>6326.6026619999993</v>
      </c>
      <c r="C32" s="39">
        <f>IF(ISERROR(B32*3.6/1000000/'E Balans VL '!Z20*100),0,B32*3.6/1000000/'E Balans VL '!Z20*100)</f>
        <v>0.18292754310998502</v>
      </c>
      <c r="D32" s="233" t="s">
        <v>835</v>
      </c>
    </row>
    <row r="33" spans="1:5" ht="30">
      <c r="A33" s="168" t="s">
        <v>39</v>
      </c>
      <c r="B33" s="37">
        <f>IF( ISERROR(IND_textiel_ele_kWh/1000),0,IND_textiel_ele_kWh/1000)</f>
        <v>18.777193999999998</v>
      </c>
      <c r="C33" s="39">
        <f>IF(ISERROR(B33*3.6/1000000/'E Balans VL '!Z21*100),0,B33*3.6/1000000/'E Balans VL '!Z21*100)</f>
        <v>3.0879767182458314E-3</v>
      </c>
      <c r="D33" s="233" t="s">
        <v>835</v>
      </c>
    </row>
    <row r="34" spans="1:5" ht="30">
      <c r="A34" s="168" t="s">
        <v>36</v>
      </c>
      <c r="B34" s="37">
        <f>IF( ISERROR(IND_min_ele_kWh/1000),0,IND_min_ele_kWh/1000)</f>
        <v>2177.3319999999999</v>
      </c>
      <c r="C34" s="39">
        <f>IF(ISERROR(B34*3.6/1000000/'E Balans VL '!Z22*100),0,B34*3.6/1000000/'E Balans VL '!Z22*100)</f>
        <v>0.92970053168968358</v>
      </c>
      <c r="D34" s="233" t="s">
        <v>835</v>
      </c>
    </row>
    <row r="35" spans="1:5" ht="30">
      <c r="A35" s="168" t="s">
        <v>38</v>
      </c>
      <c r="B35" s="37">
        <f>IF( ISERROR(IND_papier_ele_kWh/1000),0,IND_papier_ele_kWh/1000)</f>
        <v>23.447697999999999</v>
      </c>
      <c r="C35" s="39">
        <f>IF(ISERROR(B35*3.6/1000000/'E Balans VL '!Z22*100),0,B35*3.6/1000000/'E Balans VL '!Z22*100)</f>
        <v>1.0011949164160143E-2</v>
      </c>
      <c r="D35" s="233" t="s">
        <v>835</v>
      </c>
    </row>
    <row r="36" spans="1:5" ht="30">
      <c r="A36" s="168" t="s">
        <v>33</v>
      </c>
      <c r="B36" s="37">
        <f>IF( ISERROR(IND_chemie_ele_kWh/1000),0,IND_chemie_ele_kWh/1000)</f>
        <v>5939.5018559999999</v>
      </c>
      <c r="C36" s="39">
        <f>IF(ISERROR(B36*3.6/1000000/'E Balans VL '!Z24*100),0,B36*3.6/1000000/'E Balans VL '!Z24*100)</f>
        <v>0.1802268462138798</v>
      </c>
      <c r="D36" s="233" t="s">
        <v>835</v>
      </c>
    </row>
    <row r="37" spans="1:5" ht="30">
      <c r="A37" s="168" t="s">
        <v>259</v>
      </c>
      <c r="B37" s="37">
        <f>IF( ISERROR(IND_rest_ele_kWh/1000),0,IND_rest_ele_kWh/1000)</f>
        <v>14671.411</v>
      </c>
      <c r="C37" s="39">
        <f>IF(ISERROR(B37*3.6/1000000/'E Balans VL '!Z15*100),0,B37*3.6/1000000/'E Balans VL '!Z15*100)</f>
        <v>0.12046339675317161</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128.82004700000002</v>
      </c>
      <c r="C5" s="17">
        <f>'Eigen informatie GS &amp; warmtenet'!B62</f>
        <v>0</v>
      </c>
      <c r="D5" s="30">
        <f>IF(ISERROR(SUM(LB_lb_gas_kWh,LB_rest_gas_kWh)/1000),0,SUM(LB_lb_gas_kWh,LB_rest_gas_kWh)/1000)*0.903</f>
        <v>23.058339779999997</v>
      </c>
      <c r="E5" s="17">
        <f>B17*'E Balans VL '!I25/3.6*1000000/100</f>
        <v>3.6896241495114737</v>
      </c>
      <c r="F5" s="17">
        <f>B17*('E Balans VL '!L25/3.6*1000000+'E Balans VL '!N25/3.6*1000000)/100</f>
        <v>407.77772515582399</v>
      </c>
      <c r="G5" s="18"/>
      <c r="H5" s="17"/>
      <c r="I5" s="17"/>
      <c r="J5" s="17">
        <f>('E Balans VL '!D25+'E Balans VL '!E25)/3.6*1000000*landbouw!B17/100</f>
        <v>32.754892694487047</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128.82004700000002</v>
      </c>
      <c r="C8" s="21">
        <f>C5+C6</f>
        <v>0</v>
      </c>
      <c r="D8" s="21">
        <f>MAX((D5+D6),0)</f>
        <v>23.058339779999997</v>
      </c>
      <c r="E8" s="21">
        <f>MAX((E5+E6),0)</f>
        <v>3.6896241495114737</v>
      </c>
      <c r="F8" s="21">
        <f>MAX((F5+F6),0)</f>
        <v>407.77772515582399</v>
      </c>
      <c r="G8" s="21"/>
      <c r="H8" s="21"/>
      <c r="I8" s="21"/>
      <c r="J8" s="21">
        <f>MAX((J5+J6),0)</f>
        <v>32.754892694487047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0.16020789804796315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20.637988956309822</v>
      </c>
      <c r="C12" s="23">
        <f ca="1">C8*C10</f>
        <v>0</v>
      </c>
      <c r="D12" s="23">
        <f>D8*D10</f>
        <v>4.6577846355599997</v>
      </c>
      <c r="E12" s="23">
        <f>E8*E10</f>
        <v>0.83754468193910458</v>
      </c>
      <c r="F12" s="23">
        <f>F8*F10</f>
        <v>108.87665261660501</v>
      </c>
      <c r="G12" s="23"/>
      <c r="H12" s="23"/>
      <c r="I12" s="23"/>
      <c r="J12" s="23">
        <f>J8*J10</f>
        <v>11.595232013848413</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1.783865416235534E-2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25.96276822192932</v>
      </c>
      <c r="C26" s="243">
        <f>B26*'GWP N2O_CH4'!B5</f>
        <v>545.21813266051572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3.0313266403085217</v>
      </c>
      <c r="C27" s="243">
        <f>B27*'GWP N2O_CH4'!B5</f>
        <v>63.657859446478959</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0.38090803998397027</v>
      </c>
      <c r="C28" s="243">
        <f>B28*'GWP N2O_CH4'!B4</f>
        <v>118.08149239503078</v>
      </c>
      <c r="D28" s="50"/>
    </row>
    <row r="29" spans="1:4">
      <c r="A29" s="41" t="s">
        <v>266</v>
      </c>
      <c r="B29" s="243">
        <f>B34*'ha_N2O bodem landbouw'!B4</f>
        <v>5.3598611749346041</v>
      </c>
      <c r="C29" s="243">
        <f>B29*'GWP N2O_CH4'!B4</f>
        <v>1661.5569642297273</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1.2176645320213027E-3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2.5287681766648436E-3</v>
      </c>
      <c r="C5" s="432" t="s">
        <v>204</v>
      </c>
      <c r="D5" s="417">
        <f>SUM(D6:D11)</f>
        <v>4.1544696041804722E-3</v>
      </c>
      <c r="E5" s="417">
        <f>SUM(E6:E11)</f>
        <v>1.803670088977354E-3</v>
      </c>
      <c r="F5" s="430" t="s">
        <v>204</v>
      </c>
      <c r="G5" s="417">
        <f>SUM(G6:G11)</f>
        <v>0.81881311786537325</v>
      </c>
      <c r="H5" s="417">
        <f>SUM(H6:H11)</f>
        <v>0.20816423139093146</v>
      </c>
      <c r="I5" s="432" t="s">
        <v>204</v>
      </c>
      <c r="J5" s="432" t="s">
        <v>204</v>
      </c>
      <c r="K5" s="432" t="s">
        <v>204</v>
      </c>
      <c r="L5" s="432" t="s">
        <v>204</v>
      </c>
      <c r="M5" s="417">
        <f>SUM(M6:M11)</f>
        <v>6.1771849033592577E-2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5.9470891353030002E-4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9.9155000488412187E-4</v>
      </c>
      <c r="E6" s="884">
        <f>vkm_GW_PW*SUMIFS(TableVerdeelsleutelVkm[LPG],TableVerdeelsleutelVkm[Voertuigtype],"Lichte voertuigen")*SUMIFS(TableECFTransport[EnergieConsumptieFactor (PJ per km)],TableECFTransport[Index],CONCATENATE($A6,"_LPG_LPG"))</f>
        <v>3.9310924843594927E-4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0.11813920423238587</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4.8627347696086398E-2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1.0230636151445271E-2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7.1478472505210797E-7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2.833451703754903E-2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2.0906772290930975E-7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1.6269200505420248E-3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5.0005633759558844E-4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1.1418552544646145E-3</v>
      </c>
      <c r="E8" s="420">
        <f>vkm_NGW_PW*SUMIFS(TableVerdeelsleutelVkm[LPG],TableVerdeelsleutelVkm[Voertuigtype],"Lichte voertuigen")*SUMIFS(TableECFTransport[EnergieConsumptieFactor (PJ per km)],TableECFTransport[Index],CONCATENATE($A8,"_LPG_LPG"))</f>
        <v>4.3345413323968925E-4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0.1193212891337313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5.5475709229483042E-2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1.0784010598384861E-2</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1.8052286410415791E-7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9.2152980629443566E-3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6.3732416772583785E-8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5.2912652814881265E-4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1.4256716451051484E-3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2.0210643448317351E-3</v>
      </c>
      <c r="E10" s="420">
        <f>vkm_SW_PW*SUMIFS(TableVerdeelsleutelVkm[LPG],TableVerdeelsleutelVkm[Voertuigtype],"Lichte voertuigen")*SUMIFS(TableECFTransport[EnergieConsumptieFactor (PJ per km)],TableECFTransport[Index],CONCATENATE($A10,"_LPG_LPG"))</f>
        <v>9.771067073017154E-4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0.26640520009628854</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0.104058663047382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2.2673440499206651E-2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7.4359728446505321E-6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0.27739760930247415</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2.2386178403518625E-6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1.5927715205864956E-2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702.43560462912319</v>
      </c>
      <c r="C14" s="21"/>
      <c r="D14" s="21">
        <f t="shared" ref="D14:M14" si="0">((D5)*10^9/3600)+D12</f>
        <v>1154.0193344945756</v>
      </c>
      <c r="E14" s="21">
        <f t="shared" si="0"/>
        <v>501.0194691603761</v>
      </c>
      <c r="F14" s="21"/>
      <c r="G14" s="21">
        <f t="shared" si="0"/>
        <v>227448.08829593702</v>
      </c>
      <c r="H14" s="21">
        <f t="shared" si="0"/>
        <v>57823.397608592073</v>
      </c>
      <c r="I14" s="21"/>
      <c r="J14" s="21"/>
      <c r="K14" s="21"/>
      <c r="L14" s="21"/>
      <c r="M14" s="21">
        <f t="shared" si="0"/>
        <v>17158.846953775716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0.16020789804796315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112.53573173168192</v>
      </c>
      <c r="C18" s="23"/>
      <c r="D18" s="23">
        <f t="shared" ref="D18:M18" si="1">D14*D16</f>
        <v>233.11190556790427</v>
      </c>
      <c r="E18" s="23">
        <f t="shared" si="1"/>
        <v>113.73141949940538</v>
      </c>
      <c r="F18" s="23"/>
      <c r="G18" s="23">
        <f t="shared" si="1"/>
        <v>60728.639575015186</v>
      </c>
      <c r="H18" s="23">
        <f t="shared" si="1"/>
        <v>14398.026004539426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1.7182919945811929E-4</v>
      </c>
      <c r="C50" s="315">
        <f t="shared" ref="C50:P50" si="2">SUM(C51:C52)</f>
        <v>0</v>
      </c>
      <c r="D50" s="315">
        <f t="shared" si="2"/>
        <v>0</v>
      </c>
      <c r="E50" s="315">
        <f t="shared" si="2"/>
        <v>0</v>
      </c>
      <c r="F50" s="315">
        <f t="shared" si="2"/>
        <v>0</v>
      </c>
      <c r="G50" s="315">
        <f t="shared" si="2"/>
        <v>1.0757027362130425E-2</v>
      </c>
      <c r="H50" s="315">
        <f t="shared" si="2"/>
        <v>0</v>
      </c>
      <c r="I50" s="315">
        <f t="shared" si="2"/>
        <v>0</v>
      </c>
      <c r="J50" s="315">
        <f t="shared" si="2"/>
        <v>0</v>
      </c>
      <c r="K50" s="315">
        <f t="shared" si="2"/>
        <v>0</v>
      </c>
      <c r="L50" s="315">
        <f t="shared" si="2"/>
        <v>0</v>
      </c>
      <c r="M50" s="315">
        <f t="shared" si="2"/>
        <v>6.1764469257024647E-4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1.7182919945811929E-4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1.0757027362130425E-2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6.1764469257024647E-4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47.730333182810909</v>
      </c>
      <c r="C54" s="21">
        <f t="shared" ref="C54:P54" si="3">(C50)*10^9/3600</f>
        <v>0</v>
      </c>
      <c r="D54" s="21">
        <f t="shared" si="3"/>
        <v>0</v>
      </c>
      <c r="E54" s="21">
        <f t="shared" si="3"/>
        <v>0</v>
      </c>
      <c r="F54" s="21">
        <f t="shared" si="3"/>
        <v>0</v>
      </c>
      <c r="G54" s="21">
        <f t="shared" si="3"/>
        <v>2988.0631561473406</v>
      </c>
      <c r="H54" s="21">
        <f t="shared" si="3"/>
        <v>0</v>
      </c>
      <c r="I54" s="21">
        <f t="shared" si="3"/>
        <v>0</v>
      </c>
      <c r="J54" s="21">
        <f t="shared" si="3"/>
        <v>0</v>
      </c>
      <c r="K54" s="21">
        <f t="shared" si="3"/>
        <v>0</v>
      </c>
      <c r="L54" s="21">
        <f t="shared" si="3"/>
        <v>0</v>
      </c>
      <c r="M54" s="21">
        <f t="shared" si="3"/>
        <v>171.56797015840181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0.16020789804796315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7.6467763523470822</v>
      </c>
      <c r="C58" s="23">
        <f t="shared" ref="C58:P58" ca="1" si="4">C54*C56</f>
        <v>0</v>
      </c>
      <c r="D58" s="23">
        <f t="shared" si="4"/>
        <v>0</v>
      </c>
      <c r="E58" s="23">
        <f t="shared" si="4"/>
        <v>0</v>
      </c>
      <c r="F58" s="23">
        <f t="shared" si="4"/>
        <v>0</v>
      </c>
      <c r="G58" s="23">
        <f t="shared" si="4"/>
        <v>797.81286269134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12745.227593457856</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26371.020158504623</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39116.247751962481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2021-11-11T12:21:17Z</dcterms:modified>
</cp:coreProperties>
</file>