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4C61F26-DFB0-4071-BC88-B9C187A2E8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<sst xmlns="http://schemas.openxmlformats.org/spreadsheetml/2006/main" count="2422" uniqueCount="871">
  <si>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</si>
  <si>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</si>
  <si>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</si>
  <si>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</si>
  <si>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</si>
  <si>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</si>
  <si>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</si>
  <si>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</si>
  <si>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</si>
  <si>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</si>
  <si>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</si>
  <si>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</si>
  <si>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</si>
  <si>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</si>
  <si>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</si>
  <si>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</si>
  <si>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</si>
  <si>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</si>
  <si>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</si>
  <si>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</si>
  <si>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</si>
  <si>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</si>
  <si>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</si>
  <si>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</si>
  <si>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</si>
  <si>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</si>
  <si>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</si>
  <si>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</si>
  <si>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</si>
  <si>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</si>
  <si>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</si>
  <si>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</si>
  <si>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</si>
  <si>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</si>
  <si>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</si>
  <si>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</si>
  <si>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</si>
  <si>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</si>
  <si>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</si>
  <si>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</si>
  <si>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</si>
  <si>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</si>
  <si>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</si>
  <si>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</si>
  <si>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</si>
  <si>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</si>
  <si>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</si>
  <si>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</si>
  <si>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</si>
  <si>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</si>
  <si>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</si>
  <si>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</si>
  <si>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</si>
  <si>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</si>
  <si>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</si>
  <si>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</si>
  <si>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</si>
  <si>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</si>
  <si>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</si>
  <si>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</si>
  <si>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</si>
  <si>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</si>
  <si>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</si>
  <si>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</si>
  <si>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</si>
  <si>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</si>
  <si>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</si>
  <si>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</si>
  <si>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</si>
  <si>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</si>
  <si>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</si>
  <si>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</si>
  <si>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</si>
  <si>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</si>
  <si>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</si>
  <si>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</si>
  <si>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</si>
  <si>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</si>
  <si>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</si>
  <si>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</si>
  <si>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</si>
  <si>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</si>
  <si>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</si>
  <si>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</si>
  <si>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</si>
  <si>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</si>
  <si>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</si>
  <si>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</si>
  <si>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</si>
  <si>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</si>
  <si>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</si>
  <si>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</si>
  <si>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</si>
  <si>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</si>
  <si>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</si>
  <si>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</si>
  <si>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</si>
  <si>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</si>
  <si>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</si>
  <si>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</si>
  <si>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</si>
  <si>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</si>
  <si>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</si>
  <si>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</si>
  <si>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</si>
  <si>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</si>
  <si>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</si>
  <si>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</si>
  <si>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</si>
  <si>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</si>
  <si>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</si>
  <si>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</si>
  <si>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</si>
  <si>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</si>
  <si>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</si>
  <si>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</si>
  <si>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</si>
  <si>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</si>
  <si>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</si>
  <si>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</si>
  <si>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</si>
  <si>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</si>
  <si>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</si>
  <si>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</si>
  <si>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</si>
  <si>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</si>
  <si>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</si>
  <si>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</si>
  <si>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</si>
  <si>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</si>
  <si>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</si>
  <si>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</si>
  <si>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</si>
  <si>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</si>
  <si>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</si>
  <si>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</si>
  <si>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</si>
  <si>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</si>
  <si>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</si>
  <si>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</si>
  <si>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</si>
  <si>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</si>
  <si>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</si>
  <si>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</si>
  <si>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</si>
  <si>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</si>
  <si>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</si>
  <si>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</si>
  <si>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</si>
  <si>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</si>
  <si>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</si>
  <si>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</si>
  <si>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</si>
  <si>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</si>
  <si>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</si>
  <si>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</si>
  <si>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</si>
  <si>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</si>
  <si>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</si>
  <si>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</si>
  <si>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</si>
  <si>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</si>
  <si>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</si>
  <si>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</si>
  <si>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</si>
  <si>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</si>
  <si>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</si>
  <si>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</si>
  <si>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</si>
  <si>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</si>
  <si>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</si>
  <si>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</si>
  <si>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</si>
  <si>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</si>
  <si>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</si>
  <si>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</si>
  <si>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</si>
  <si>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</si>
  <si>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</si>
  <si>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</si>
  <si>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</si>
  <si>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</si>
  <si>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</si>
  <si>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</si>
  <si>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</si>
  <si>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</si>
  <si>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</si>
  <si>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</si>
  <si>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</si>
  <si>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</si>
  <si>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</si>
  <si>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</si>
  <si>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</si>
  <si>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</si>
  <si>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</si>
  <si>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</si>
  <si>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</si>
  <si>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</si>
  <si>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</si>
  <si>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</si>
  <si>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</si>
  <si>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</si>
  <si>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</si>
  <si>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</si>
  <si>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</si>
  <si>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</si>
  <si>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</si>
  <si>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</si>
  <si>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</si>
  <si>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</si>
  <si>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</si>
  <si>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</si>
  <si>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</si>
  <si>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</si>
  <si>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</si>
  <si>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</si>
  <si>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</si>
  <si>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</si>
  <si>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</si>
  <si>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</si>
  <si>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</si>
  <si>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</si>
  <si>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</si>
  <si>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</si>
  <si>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</si>
  <si>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</si>
  <si>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</si>
  <si>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</si>
  <si>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</si>
  <si>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</si>
  <si>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</si>
  <si>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</si>
  <si>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</si>
  <si>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</si>
  <si>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</si>
  <si>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</si>
  <si>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</si>
  <si>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</si>
  <si>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</si>
  <si>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</si>
  <si>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</si>
  <si>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</si>
  <si>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</si>
  <si>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</si>
  <si>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</si>
  <si>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</si>
  <si>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</si>
  <si>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</si>
  <si>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</si>
  <si>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</si>
  <si>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</si>
  <si>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</si>
  <si>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</si>
  <si>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</si>
  <si>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</si>
  <si>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</si>
  <si>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</si>
  <si>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</si>
  <si>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</si>
  <si>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</si>
  <si>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</si>
  <si>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</si>
  <si>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</si>
  <si>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</si>
  <si>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</si>
  <si>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</si>
  <si>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</si>
  <si>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</si>
  <si>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</si>
  <si>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</si>
  <si>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</si>
  <si>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</si>
  <si>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</si>
  <si>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</si>
  <si>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</si>
  <si>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</si>
  <si>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</si>
  <si>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</si>
  <si>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</si>
  <si>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</si>
  <si>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</si>
  <si>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</si>
  <si>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</si>
  <si>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</si>
  <si>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</si>
  <si>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</si>
  <si>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</si>
  <si>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</si>
  <si>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</si>
  <si>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</si>
  <si>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</si>
  <si>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</si>
  <si>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</si>
  <si>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</si>
  <si>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</si>
  <si>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</si>
  <si>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</si>
  <si>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</si>
  <si>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</si>
  <si>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</si>
  <si>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</si>
  <si>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</si>
  <si>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</si>
  <si>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</si>
  <si>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</si>
  <si>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</si>
  <si>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</si>
  <si>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</si>
  <si>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</si>
  <si>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</si>
  <si>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</si>
  <si>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</si>
  <si>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</si>
  <si>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</si>
  <si>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</si>
  <si>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</si>
  <si>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</si>
  <si>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</si>
  <si>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</si>
  <si>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</si>
  <si>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</si>
  <si>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</si>
  <si>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</si>
  <si>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</si>
  <si>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</si>
  <si>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</si>
  <si>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</si>
  <si>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</si>
  <si>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</si>
  <si>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</si>
  <si>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</si>
  <si>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</si>
  <si>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</si>
  <si>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</si>
  <si>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</si>
  <si>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</si>
  <si>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</si>
  <si>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</si>
  <si>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</si>
  <si>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</si>
  <si>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</si>
  <si>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</si>
  <si>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</si>
  <si>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</si>
  <si>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</si>
  <si>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</si>
  <si>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</si>
  <si>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</si>
  <si>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</si>
  <si>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</si>
  <si>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</si>
  <si>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</si>
  <si>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</si>
  <si>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</si>
  <si>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</si>
  <si>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</si>
  <si>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</si>
  <si>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</si>
  <si>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</si>
  <si>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</si>
  <si>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</si>
  <si>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</si>
  <si>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</si>
  <si>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</si>
  <si>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</si>
  <si>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</si>
  <si>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</si>
  <si>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</si>
  <si>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</si>
  <si>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</si>
  <si>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</si>
  <si>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</si>
  <si>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</si>
  <si>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</si>
  <si>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</si>
  <si>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</si>
  <si>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</si>
  <si>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</si>
  <si>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</si>
  <si>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</si>
  <si>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</si>
  <si>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</si>
  <si>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</si>
  <si>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</si>
  <si>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</si>
  <si>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</si>
  <si>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</si>
  <si>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</si>
  <si>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</si>
  <si>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</si>
  <si>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</si>
  <si>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</si>
  <si>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</si>
  <si>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</si>
  <si>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</si>
  <si>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</si>
  <si>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</si>
  <si>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</si>
  <si>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</si>
  <si>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</si>
  <si>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</si>
  <si>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</si>
  <si>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</si>
  <si>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</si>
  <si>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</si>
  <si>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</si>
  <si>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</si>
  <si>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</si>
  <si>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</si>
  <si>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</si>
  <si>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</si>
  <si>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</si>
  <si>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</si>
  <si>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</si>
  <si>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</si>
  <si>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</si>
  <si>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</si>
  <si>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</si>
  <si>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</si>
  <si>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</si>
  <si>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</si>
  <si>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</si>
  <si>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</si>
  <si>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</si>
  <si>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</si>
  <si>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</si>
  <si>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</si>
  <si>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</si>
  <si>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</si>
  <si>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</si>
  <si>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</si>
  <si>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</si>
  <si>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</si>
  <si>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</si>
  <si>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</si>
  <si>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</si>
  <si>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</si>
  <si>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</si>
  <si>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</si>
  <si>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</si>
  <si>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</si>
  <si>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</si>
  <si>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</si>
  <si>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</si>
  <si>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</si>
  <si>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</si>
  <si>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</si>
  <si>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</si>
  <si>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</si>
  <si>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</si>
  <si>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</si>
  <si>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</si>
  <si>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</si>
  <si>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</si>
  <si>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</si>
  <si>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</si>
  <si>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</si>
  <si>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</si>
  <si>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</si>
  <si>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</si>
  <si>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</si>
  <si>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</si>
  <si>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</si>
  <si>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</si>
  <si>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</si>
  <si>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</si>
  <si>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</si>
  <si>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</si>
  <si>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</si>
  <si>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</si>
  <si>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</si>
  <si>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</si>
  <si>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</si>
  <si>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</si>
  <si>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</si>
  <si>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</si>
  <si>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</si>
  <si>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</si>
  <si>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</si>
  <si>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</si>
  <si>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</si>
  <si>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</si>
  <si>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</si>
  <si>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</si>
  <si>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</si>
  <si>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</si>
  <si>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</si>
  <si>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</si>
  <si>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</si>
  <si>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</si>
  <si>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</si>
  <si>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</si>
  <si>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</si>
  <si>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</si>
  <si>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</si>
  <si>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</si>
  <si>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</si>
  <si>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</si>
  <si>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</si>
  <si>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</si>
  <si>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</si>
  <si>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</si>
  <si>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</si>
  <si>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</si>
  <si>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</si>
  <si>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</si>
  <si>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</si>
  <si>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</si>
  <si>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</si>
  <si>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</si>
  <si>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</si>
  <si>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</si>
  <si>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</si>
  <si>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</si>
  <si>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</si>
  <si>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</si>
  <si>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</si>
  <si>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</si>
  <si>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</si>
  <si>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</si>
  <si>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</si>
  <si>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</si>
  <si>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</si>
  <si>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</si>
  <si>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</si>
  <si>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</si>
  <si>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</si>
  <si>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</si>
  <si>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</si>
  <si>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</si>
  <si>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</si>
  <si>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</si>
  <si>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</si>
  <si>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</si>
  <si>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</si>
  <si>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</si>
  <si>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</si>
  <si>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</si>
  <si>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</si>
  <si>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</si>
  <si>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</si>
  <si>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</si>
  <si>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</si>
  <si>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</si>
  <si>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</si>
  <si>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</si>
  <si>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</si>
  <si>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</si>
  <si>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</si>
  <si>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</si>
  <si>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</si>
  <si>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</si>
  <si>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</si>
  <si>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</si>
  <si>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</si>
  <si>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</si>
  <si>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</si>
  <si>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</si>
  <si>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</si>
  <si>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</si>
  <si>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</si>
  <si>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</si>
  <si>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</si>
  <si>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</si>
  <si>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</si>
  <si>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</si>
  <si>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</si>
  <si>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</si>
  <si>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</si>
  <si>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</si>
  <si>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</si>
  <si>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</si>
  <si>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</si>
  <si>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</si>
  <si>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</si>
  <si>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</si>
  <si>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</si>
  <si>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</si>
  <si>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</si>
  <si>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</si>
  <si>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</si>
  <si>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</si>
  <si>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</si>
  <si>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</si>
  <si>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</si>
  <si>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</si>
  <si>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</si>
  <si>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</si>
  <si>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</si>
  <si>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</si>
  <si>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</si>
  <si>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</si>
  <si>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</si>
  <si>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</si>
  <si>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</si>
  <si>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</si>
  <si>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</si>
  <si>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</si>
  <si>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</si>
  <si>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</si>
  <si>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</si>
  <si>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</si>
  <si>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</si>
  <si>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</si>
  <si>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</si>
  <si>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</si>
  <si>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</si>
  <si>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</si>
  <si>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</si>
  <si>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</si>
  <si>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</si>
  <si>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</si>
  <si>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</si>
  <si>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</si>
  <si>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</si>
  <si>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</si>
  <si>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</si>
  <si>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</si>
  <si>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</si>
  <si>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</si>
  <si>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</si>
  <si>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</si>
  <si>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</si>
  <si>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</si>
  <si>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</si>
  <si>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</si>
  <si>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</si>
  <si>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</si>
  <si>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</si>
  <si>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</si>
  <si>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</si>
  <si>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</si>
  <si>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</si>
  <si>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</si>
  <si>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</si>
  <si>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</si>
  <si>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</si>
  <si>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</si>
  <si>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</si>
  <si>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</si>
  <si>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</si>
  <si>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</si>
  <si>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</si>
  <si>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</si>
  <si>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</si>
  <si>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</si>
  <si>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</si>
  <si>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</si>
  <si>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</si>
  <si>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</si>
  <si>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</si>
  <si>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</si>
  <si>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</si>
  <si>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</si>
  <si>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</si>
  <si>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</si>
  <si>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</si>
  <si>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</si>
  <si>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</si>
  <si>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</si>
  <si>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</si>
  <si>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</si>
  <si>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</si>
  <si>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</si>
  <si>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</si>
  <si>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</si>
  <si>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</si>
  <si>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</si>
  <si>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</si>
  <si>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</si>
  <si>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</si>
  <si>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</si>
  <si>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</si>
  <si>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</si>
  <si>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</si>
  <si>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</si>
  <si>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</si>
  <si>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</si>
  <si>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</si>
  <si>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</si>
  <si>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</si>
  <si>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</si>
  <si>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</si>
  <si>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</si>
  <si>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</si>
  <si>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</si>
  <si>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</si>
  <si>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</si>
  <si>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</si>
  <si>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</si>
  <si>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</si>
  <si>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</si>
  <si>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</si>
  <si>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</si>
  <si>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</si>
  <si>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</si>
  <si>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</si>
  <si>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</si>
  <si>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</si>
  <si>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</si>
  <si>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</si>
  <si>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</si>
  <si>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</si>
  <si>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</si>
  <si>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</si>
  <si>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</si>
  <si>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</si>
  <si>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</si>
  <si>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</si>
  <si>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</si>
  <si>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</si>
  <si>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</si>
  <si>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</si>
  <si>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</si>
  <si>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</si>
  <si>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</si>
  <si>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</si>
  <si>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</si>
  <si>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</si>
  <si>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</si>
  <si>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</si>
  <si>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</si>
  <si>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</si>
  <si>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</si>
  <si>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</si>
  <si>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</si>
  <si>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</si>
  <si>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</si>
  <si>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</si>
  <si>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</si>
  <si>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</si>
  <si>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</si>
  <si>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</si>
  <si>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</si>
  <si>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</si>
  <si>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</si>
  <si>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</si>
  <si>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</si>
  <si>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</si>
  <si>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</si>
  <si>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</si>
  <si>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</si>
  <si>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</si>
  <si>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</si>
  <si>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</si>
  <si>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</si>
  <si>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</si>
  <si>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</si>
  <si>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</si>
  <si>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</si>
  <si>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</si>
  <si>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</si>
  <si>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</si>
  <si>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</si>
  <si>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</si>
  <si>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</si>
  <si>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</si>
  <si>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</si>
  <si>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</si>
  <si>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</si>
  <si>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</si>
  <si>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</si>
  <si>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</si>
  <si>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</si>
  <si>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</si>
  <si>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</si>
  <si>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</si>
  <si>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</si>
  <si>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</si>
  <si>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</si>
  <si>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</si>
  <si>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</si>
  <si>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</si>
  <si>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</si>
  <si>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</si>
  <si>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</si>
  <si>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</si>
  <si>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</si>
  <si>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</si>
  <si>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</si>
  <si>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</si>
  <si>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</si>
  <si>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</si>
  <si>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</si>
  <si>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</si>
  <si>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</si>
  <si>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</si>
  <si>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</si>
  <si>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</si>
  <si>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</si>
  <si>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</si>
  <si>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</si>
  <si>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</si>
  <si>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</si>
  <si>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</si>
  <si>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</si>
  <si>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</si>
  <si>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</si>
  <si>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</si>
  <si>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</si>
  <si>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</si>
  <si>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</si>
  <si>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</si>
  <si>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</si>
  <si>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</si>
  <si>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</si>
  <si>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</si>
  <si>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</si>
  <si>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</si>
  <si>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</si>
  <si>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</si>
  <si>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</si>
  <si>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</si>
  <si>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</si>
  <si>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</si>
  <si>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</si>
  <si>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</si>
  <si>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</si>
  <si>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</si>
  <si>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</si>
  <si>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</si>
  <si>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</si>
  <si>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</si>
  <si>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</si>
  <si>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</si>
  <si>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</si>
  <si>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</si>
  <si>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</si>
  <si>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</si>
  <si>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</si>
  <si>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</si>
  <si>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</si>
  <si>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</si>
  <si>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</si>
  <si>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</si>
  <si>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</si>
  <si>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</si>
  <si>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</si>
  <si>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</si>
  <si>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</si>
  <si>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</si>
  <si>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</si>
  <si>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</si>
  <si>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</si>
  <si>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</si>
  <si>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</si>
  <si>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</si>
  <si>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</si>
  <si>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</si>
  <si>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</si>
  <si>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</si>
  <si>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</si>
  <si>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</si>
  <si>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</si>
  <si>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</si>
  <si>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</si>
  <si>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</si>
  <si>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</si>
  <si>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</si>
  <si>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</si>
  <si>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</si>
  <si>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</si>
  <si>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</si>
  <si>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</si>
  <si>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71011</t>
  </si>
  <si>
    <t>DIEPENBEEK</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</si>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</sst>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9789EDD-93CC-4557-8CE4-A598CB7E273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156223.31804673269</c:v>
                </c:pt>
                <c:pt idx="1">
                  <c:v>57103.831830484967</c:v>
                </c:pt>
                <c:pt idx="2">
                  <c:v>799.44471099999998</c:v>
                </c:pt>
                <c:pt idx="3">
                  <c:v>3139.393839428411</c:v>
                </c:pt>
                <c:pt idx="4">
                  <c:v>30801.360118690962</c:v>
                </c:pt>
                <c:pt idx="5">
                  <c:v>200590.98642745538</c:v>
                </c:pt>
                <c:pt idx="6">
                  <c:v>3573.940834902879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156223.31804673269</c:v>
                </c:pt>
                <c:pt idx="1">
                  <c:v>57103.831830484967</c:v>
                </c:pt>
                <c:pt idx="2">
                  <c:v>799.44471099999998</c:v>
                </c:pt>
                <c:pt idx="3">
                  <c:v>3139.393839428411</c:v>
                </c:pt>
                <c:pt idx="4">
                  <c:v>30801.360118690962</c:v>
                </c:pt>
                <c:pt idx="5">
                  <c:v>200590.98642745538</c:v>
                </c:pt>
                <c:pt idx="6">
                  <c:v>3573.940834902879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31577.734984857285</c:v>
                </c:pt>
                <c:pt idx="1">
                  <c:v>11129.403826279582</c:v>
                </c:pt>
                <c:pt idx="2">
                  <c:v>147.25192209076644</c:v>
                </c:pt>
                <c:pt idx="3">
                  <c:v>793.47990395365764</c:v>
                </c:pt>
                <c:pt idx="4">
                  <c:v>6265.0984812592351</c:v>
                </c:pt>
                <c:pt idx="5">
                  <c:v>49717.825242209976</c:v>
                </c:pt>
                <c:pt idx="6">
                  <c:v>898.79378953526009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31577.734984857285</c:v>
                </c:pt>
                <c:pt idx="1">
                  <c:v>11129.403826279582</c:v>
                </c:pt>
                <c:pt idx="2">
                  <c:v>147.25192209076644</c:v>
                </c:pt>
                <c:pt idx="3">
                  <c:v>793.47990395365764</c:v>
                </c:pt>
                <c:pt idx="4">
                  <c:v>6265.0984812592351</c:v>
                </c:pt>
                <c:pt idx="5">
                  <c:v>49717.825242209976</c:v>
                </c:pt>
                <c:pt idx="6">
                  <c:v>898.79378953526009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71011</v>
      </c>
      <c r="B6" s="384"/>
      <c r="C6" s="385"/>
    </row>
    <row r="7" spans="1:7" s="382" customFormat="1" ht="15.75" customHeight="1">
      <c r="A7" s="386" t="str">
        <f>txtMunicipality</f>
        <v>DIEPENBEEK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23564.850718999998</v>
      </c>
      <c r="D10" s="681">
        <f ca="1">tertiair!C16</f>
        <v>321.42857142857144</v>
      </c>
      <c r="E10" s="681">
        <f ca="1">tertiair!D16</f>
        <v>29257.905513858859</v>
      </c>
      <c r="F10" s="681">
        <f>tertiair!E16</f>
        <v>73.940093023481339</v>
      </c>
      <c r="G10" s="681">
        <f ca="1">tertiair!F16</f>
        <v>3494.0283867949679</v>
      </c>
      <c r="H10" s="681">
        <f>tertiair!G16</f>
        <v>0</v>
      </c>
      <c r="I10" s="681">
        <f>tertiair!H16</f>
        <v>0</v>
      </c>
      <c r="J10" s="681">
        <f>tertiair!I16</f>
        <v>0</v>
      </c>
      <c r="K10" s="681">
        <f>tertiair!J16</f>
        <v>2.1396971829796184E-2</v>
      </c>
      <c r="L10" s="681">
        <f>tertiair!K16</f>
        <v>0</v>
      </c>
      <c r="M10" s="681">
        <f ca="1">tertiair!L16</f>
        <v>0</v>
      </c>
      <c r="N10" s="681">
        <f>tertiair!M16</f>
        <v>0</v>
      </c>
      <c r="O10" s="681">
        <f ca="1">tertiair!N16</f>
        <v>846.48346597323336</v>
      </c>
      <c r="P10" s="681">
        <f>tertiair!O16</f>
        <v>29.383564595046927</v>
      </c>
      <c r="Q10" s="682">
        <f>tertiair!P16</f>
        <v>315.23482983897009</v>
      </c>
      <c r="R10" s="684">
        <f ca="1">SUM(C10:Q10)</f>
        <v>57903.276541484971</v>
      </c>
      <c r="S10" s="67"/>
    </row>
    <row r="11" spans="1:19" s="443" customFormat="1">
      <c r="A11" s="802" t="s">
        <v>214</v>
      </c>
      <c r="B11" s="807"/>
      <c r="C11" s="681">
        <f>huishoudens!B8</f>
        <v>33706.042359971994</v>
      </c>
      <c r="D11" s="681">
        <f>huishoudens!C8</f>
        <v>0</v>
      </c>
      <c r="E11" s="681">
        <f>huishoudens!D8</f>
        <v>57358.728497994001</v>
      </c>
      <c r="F11" s="681">
        <f>huishoudens!E8</f>
        <v>2252.0061950626327</v>
      </c>
      <c r="G11" s="681">
        <f>huishoudens!F8</f>
        <v>49333.810793235622</v>
      </c>
      <c r="H11" s="681">
        <f>huishoudens!G8</f>
        <v>0</v>
      </c>
      <c r="I11" s="681">
        <f>huishoudens!H8</f>
        <v>0</v>
      </c>
      <c r="J11" s="681">
        <f>huishoudens!I8</f>
        <v>0</v>
      </c>
      <c r="K11" s="681">
        <f>huishoudens!J8</f>
        <v>281.15878353494492</v>
      </c>
      <c r="L11" s="681">
        <f>huishoudens!K8</f>
        <v>0</v>
      </c>
      <c r="M11" s="681">
        <f>huishoudens!L8</f>
        <v>0</v>
      </c>
      <c r="N11" s="681">
        <f>huishoudens!M8</f>
        <v>0</v>
      </c>
      <c r="O11" s="681">
        <f>huishoudens!N8</f>
        <v>10825.779825411821</v>
      </c>
      <c r="P11" s="681">
        <f>huishoudens!O8</f>
        <v>632.88267198446317</v>
      </c>
      <c r="Q11" s="682">
        <f>huishoudens!P8</f>
        <v>1832.9089195371939</v>
      </c>
      <c r="R11" s="684">
        <f>SUM(C11:Q11)</f>
        <v>156223.31804673269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13322.157622999997</v>
      </c>
      <c r="D13" s="681">
        <f>industrie!C18</f>
        <v>0</v>
      </c>
      <c r="E13" s="681">
        <f>industrie!D18</f>
        <v>11143.027954526999</v>
      </c>
      <c r="F13" s="681">
        <f>industrie!E18</f>
        <v>52.272523927130713</v>
      </c>
      <c r="G13" s="681">
        <f>industrie!F18</f>
        <v>5795.9648805686165</v>
      </c>
      <c r="H13" s="681">
        <f>industrie!G18</f>
        <v>0</v>
      </c>
      <c r="I13" s="681">
        <f>industrie!H18</f>
        <v>0</v>
      </c>
      <c r="J13" s="681">
        <f>industrie!I18</f>
        <v>0</v>
      </c>
      <c r="K13" s="681">
        <f>industrie!J18</f>
        <v>2.7498914722393848</v>
      </c>
      <c r="L13" s="681">
        <f>industrie!K18</f>
        <v>0</v>
      </c>
      <c r="M13" s="681">
        <f>industrie!L18</f>
        <v>0</v>
      </c>
      <c r="N13" s="681">
        <f>industrie!M18</f>
        <v>0</v>
      </c>
      <c r="O13" s="681">
        <f>industrie!N18</f>
        <v>485.18724519598118</v>
      </c>
      <c r="P13" s="681">
        <f>industrie!O18</f>
        <v>0</v>
      </c>
      <c r="Q13" s="682">
        <f>industrie!P18</f>
        <v>0</v>
      </c>
      <c r="R13" s="684">
        <f>SUM(C13:Q13)</f>
        <v>30801.360118690962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70593.050701971981</v>
      </c>
      <c r="D16" s="717">
        <f t="shared" ref="D16:R16" ca="1" si="0">SUM(D9:D15)</f>
        <v>321.42857142857144</v>
      </c>
      <c r="E16" s="717">
        <f t="shared" ca="1" si="0"/>
        <v>97759.661966379863</v>
      </c>
      <c r="F16" s="717">
        <f t="shared" si="0"/>
        <v>2378.218812013245</v>
      </c>
      <c r="G16" s="717">
        <f t="shared" ca="1" si="0"/>
        <v>58623.804060599206</v>
      </c>
      <c r="H16" s="717">
        <f t="shared" si="0"/>
        <v>0</v>
      </c>
      <c r="I16" s="717">
        <f t="shared" si="0"/>
        <v>0</v>
      </c>
      <c r="J16" s="717">
        <f t="shared" si="0"/>
        <v>0</v>
      </c>
      <c r="K16" s="717">
        <f t="shared" si="0"/>
        <v>283.93007197901409</v>
      </c>
      <c r="L16" s="717">
        <f t="shared" si="0"/>
        <v>0</v>
      </c>
      <c r="M16" s="717">
        <f t="shared" ca="1" si="0"/>
        <v>0</v>
      </c>
      <c r="N16" s="717">
        <f t="shared" si="0"/>
        <v>0</v>
      </c>
      <c r="O16" s="717">
        <f t="shared" ca="1" si="0"/>
        <v>12157.450536581035</v>
      </c>
      <c r="P16" s="717">
        <f t="shared" si="0"/>
        <v>662.26623657951006</v>
      </c>
      <c r="Q16" s="717">
        <f t="shared" si="0"/>
        <v>2148.1437493761641</v>
      </c>
      <c r="R16" s="717">
        <f t="shared" ca="1" si="0"/>
        <v>244927.95470690864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53.185582286310016</v>
      </c>
      <c r="D19" s="681">
        <f>transport!C54</f>
        <v>0</v>
      </c>
      <c r="E19" s="681">
        <f>transport!D54</f>
        <v>0</v>
      </c>
      <c r="F19" s="681">
        <f>transport!E54</f>
        <v>0</v>
      </c>
      <c r="G19" s="681">
        <f>transport!F54</f>
        <v>0</v>
      </c>
      <c r="H19" s="681">
        <f>transport!G54</f>
        <v>3329.5782423994892</v>
      </c>
      <c r="I19" s="681">
        <f>transport!H54</f>
        <v>0</v>
      </c>
      <c r="J19" s="681">
        <f>transport!I54</f>
        <v>0</v>
      </c>
      <c r="K19" s="681">
        <f>transport!J54</f>
        <v>0</v>
      </c>
      <c r="L19" s="681">
        <f>transport!K54</f>
        <v>0</v>
      </c>
      <c r="M19" s="681">
        <f>transport!L54</f>
        <v>0</v>
      </c>
      <c r="N19" s="681">
        <f>transport!M54</f>
        <v>191.1770102170797</v>
      </c>
      <c r="O19" s="681">
        <f>transport!N54</f>
        <v>0</v>
      </c>
      <c r="P19" s="681">
        <f>transport!O54</f>
        <v>0</v>
      </c>
      <c r="Q19" s="682">
        <f>transport!P54</f>
        <v>0</v>
      </c>
      <c r="R19" s="684">
        <f>SUM(C19:Q19)</f>
        <v>3573.940834902879</v>
      </c>
      <c r="S19" s="67"/>
    </row>
    <row r="20" spans="1:19" s="443" customFormat="1">
      <c r="A20" s="802" t="s">
        <v>296</v>
      </c>
      <c r="B20" s="807"/>
      <c r="C20" s="681">
        <f>transport!B14</f>
        <v>477.16781823116588</v>
      </c>
      <c r="D20" s="681">
        <f>transport!C14</f>
        <v>0</v>
      </c>
      <c r="E20" s="681">
        <f>transport!D14</f>
        <v>799.53201168738349</v>
      </c>
      <c r="F20" s="681">
        <f>transport!E14</f>
        <v>335.2411098741108</v>
      </c>
      <c r="G20" s="681">
        <f>transport!F14</f>
        <v>0</v>
      </c>
      <c r="H20" s="681">
        <f>transport!G14</f>
        <v>147941.27385493051</v>
      </c>
      <c r="I20" s="681">
        <f>transport!H14</f>
        <v>39726.944058705645</v>
      </c>
      <c r="J20" s="681">
        <f>transport!I14</f>
        <v>0</v>
      </c>
      <c r="K20" s="681">
        <f>transport!J14</f>
        <v>0</v>
      </c>
      <c r="L20" s="681">
        <f>transport!K14</f>
        <v>0</v>
      </c>
      <c r="M20" s="681">
        <f>transport!L14</f>
        <v>0</v>
      </c>
      <c r="N20" s="681">
        <f>transport!M14</f>
        <v>11310.82757402656</v>
      </c>
      <c r="O20" s="681">
        <f>transport!N14</f>
        <v>0</v>
      </c>
      <c r="P20" s="681">
        <f>transport!O14</f>
        <v>0</v>
      </c>
      <c r="Q20" s="682">
        <f>transport!P14</f>
        <v>0</v>
      </c>
      <c r="R20" s="684">
        <f>SUM(C20:Q20)</f>
        <v>200590.98642745538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530.35340051747585</v>
      </c>
      <c r="D22" s="805">
        <f t="shared" ref="D22:R22" si="1">SUM(D18:D21)</f>
        <v>0</v>
      </c>
      <c r="E22" s="805">
        <f t="shared" si="1"/>
        <v>799.53201168738349</v>
      </c>
      <c r="F22" s="805">
        <f t="shared" si="1"/>
        <v>335.2411098741108</v>
      </c>
      <c r="G22" s="805">
        <f t="shared" si="1"/>
        <v>0</v>
      </c>
      <c r="H22" s="805">
        <f t="shared" si="1"/>
        <v>151270.85209733</v>
      </c>
      <c r="I22" s="805">
        <f t="shared" si="1"/>
        <v>39726.944058705645</v>
      </c>
      <c r="J22" s="805">
        <f t="shared" si="1"/>
        <v>0</v>
      </c>
      <c r="K22" s="805">
        <f t="shared" si="1"/>
        <v>0</v>
      </c>
      <c r="L22" s="805">
        <f t="shared" si="1"/>
        <v>0</v>
      </c>
      <c r="M22" s="805">
        <f t="shared" si="1"/>
        <v>0</v>
      </c>
      <c r="N22" s="805">
        <f t="shared" si="1"/>
        <v>11502.004584243639</v>
      </c>
      <c r="O22" s="805">
        <f t="shared" si="1"/>
        <v>0</v>
      </c>
      <c r="P22" s="805">
        <f t="shared" si="1"/>
        <v>0</v>
      </c>
      <c r="Q22" s="805">
        <f t="shared" si="1"/>
        <v>0</v>
      </c>
      <c r="R22" s="805">
        <f t="shared" si="1"/>
        <v>204164.92726235825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700.89091099999996</v>
      </c>
      <c r="D24" s="681">
        <f>+landbouw!C8</f>
        <v>0</v>
      </c>
      <c r="E24" s="681">
        <f>+landbouw!D8</f>
        <v>21.555107552999999</v>
      </c>
      <c r="F24" s="681">
        <f>+landbouw!E8</f>
        <v>20.07470181561645</v>
      </c>
      <c r="G24" s="681">
        <f>+landbouw!F8</f>
        <v>2218.658570043629</v>
      </c>
      <c r="H24" s="681">
        <f>+landbouw!G8</f>
        <v>0</v>
      </c>
      <c r="I24" s="681">
        <f>+landbouw!H8</f>
        <v>0</v>
      </c>
      <c r="J24" s="681">
        <f>+landbouw!I8</f>
        <v>0</v>
      </c>
      <c r="K24" s="681">
        <f>+landbouw!J8</f>
        <v>178.21454901616571</v>
      </c>
      <c r="L24" s="681">
        <f>+landbouw!K8</f>
        <v>0</v>
      </c>
      <c r="M24" s="681">
        <f>+landbouw!L8</f>
        <v>0</v>
      </c>
      <c r="N24" s="681">
        <f>+landbouw!M8</f>
        <v>0</v>
      </c>
      <c r="O24" s="681">
        <f>+landbouw!N8</f>
        <v>0</v>
      </c>
      <c r="P24" s="681">
        <f>+landbouw!O8</f>
        <v>0</v>
      </c>
      <c r="Q24" s="682">
        <f>+landbouw!P8</f>
        <v>0</v>
      </c>
      <c r="R24" s="684">
        <f>SUM(C24:Q24)</f>
        <v>3139.393839428411</v>
      </c>
      <c r="S24" s="67"/>
    </row>
    <row r="25" spans="1:19" s="443" customFormat="1" ht="15" thickBot="1">
      <c r="A25" s="824" t="s">
        <v>690</v>
      </c>
      <c r="B25" s="937"/>
      <c r="C25" s="938">
        <f>IF(Onbekend_ele_kWh="---",0,Onbekend_ele_kWh)/1000+IF(REST_rest_ele_kWh="---",0,REST_rest_ele_kWh)/1000</f>
        <v>797.96228300000007</v>
      </c>
      <c r="D25" s="938"/>
      <c r="E25" s="938">
        <f>IF(onbekend_gas_kWh="---",0,onbekend_gas_kWh)/1000+IF(REST_rest_gas_kWh="---",0,REST_rest_gas_kWh)/1000</f>
        <v>944.79970800000001</v>
      </c>
      <c r="F25" s="938"/>
      <c r="G25" s="938"/>
      <c r="H25" s="938"/>
      <c r="I25" s="938"/>
      <c r="J25" s="938"/>
      <c r="K25" s="938"/>
      <c r="L25" s="938"/>
      <c r="M25" s="938"/>
      <c r="N25" s="938"/>
      <c r="O25" s="938"/>
      <c r="P25" s="938"/>
      <c r="Q25" s="939"/>
      <c r="R25" s="684">
        <f>SUM(C25:Q25)</f>
        <v>1742.7619910000001</v>
      </c>
      <c r="S25" s="67"/>
    </row>
    <row r="26" spans="1:19" s="443" customFormat="1" ht="15.75" thickBot="1">
      <c r="A26" s="689" t="s">
        <v>691</v>
      </c>
      <c r="B26" s="810"/>
      <c r="C26" s="805">
        <f>SUM(C24:C25)</f>
        <v>1498.853194</v>
      </c>
      <c r="D26" s="805">
        <f t="shared" ref="D26:R26" si="2">SUM(D24:D25)</f>
        <v>0</v>
      </c>
      <c r="E26" s="805">
        <f t="shared" si="2"/>
        <v>966.35481555299998</v>
      </c>
      <c r="F26" s="805">
        <f t="shared" si="2"/>
        <v>20.07470181561645</v>
      </c>
      <c r="G26" s="805">
        <f t="shared" si="2"/>
        <v>2218.658570043629</v>
      </c>
      <c r="H26" s="805">
        <f t="shared" si="2"/>
        <v>0</v>
      </c>
      <c r="I26" s="805">
        <f t="shared" si="2"/>
        <v>0</v>
      </c>
      <c r="J26" s="805">
        <f t="shared" si="2"/>
        <v>0</v>
      </c>
      <c r="K26" s="805">
        <f t="shared" si="2"/>
        <v>178.21454901616571</v>
      </c>
      <c r="L26" s="805">
        <f t="shared" si="2"/>
        <v>0</v>
      </c>
      <c r="M26" s="805">
        <f t="shared" si="2"/>
        <v>0</v>
      </c>
      <c r="N26" s="805">
        <f t="shared" si="2"/>
        <v>0</v>
      </c>
      <c r="O26" s="805">
        <f t="shared" si="2"/>
        <v>0</v>
      </c>
      <c r="P26" s="805">
        <f t="shared" si="2"/>
        <v>0</v>
      </c>
      <c r="Q26" s="805">
        <f t="shared" si="2"/>
        <v>0</v>
      </c>
      <c r="R26" s="805">
        <f t="shared" si="2"/>
        <v>4882.1558304284108</v>
      </c>
      <c r="S26" s="67"/>
    </row>
    <row r="27" spans="1:19" s="443" customFormat="1" ht="17.25" thickTop="1" thickBot="1">
      <c r="A27" s="690" t="s">
        <v>109</v>
      </c>
      <c r="B27" s="797"/>
      <c r="C27" s="691">
        <f ca="1">C22+C16+C26</f>
        <v>72622.25729648945</v>
      </c>
      <c r="D27" s="691">
        <f t="shared" ref="D27:R27" ca="1" si="3">D22+D16+D26</f>
        <v>321.42857142857144</v>
      </c>
      <c r="E27" s="691">
        <f t="shared" ca="1" si="3"/>
        <v>99525.548793620241</v>
      </c>
      <c r="F27" s="691">
        <f t="shared" si="3"/>
        <v>2733.5346237029726</v>
      </c>
      <c r="G27" s="691">
        <f t="shared" ca="1" si="3"/>
        <v>60842.462630642833</v>
      </c>
      <c r="H27" s="691">
        <f t="shared" si="3"/>
        <v>151270.85209733</v>
      </c>
      <c r="I27" s="691">
        <f t="shared" si="3"/>
        <v>39726.944058705645</v>
      </c>
      <c r="J27" s="691">
        <f t="shared" si="3"/>
        <v>0</v>
      </c>
      <c r="K27" s="691">
        <f t="shared" si="3"/>
        <v>462.14462099517982</v>
      </c>
      <c r="L27" s="691">
        <f t="shared" si="3"/>
        <v>0</v>
      </c>
      <c r="M27" s="691">
        <f t="shared" ca="1" si="3"/>
        <v>0</v>
      </c>
      <c r="N27" s="691">
        <f t="shared" si="3"/>
        <v>11502.004584243639</v>
      </c>
      <c r="O27" s="691">
        <f t="shared" ca="1" si="3"/>
        <v>12157.450536581035</v>
      </c>
      <c r="P27" s="691">
        <f t="shared" si="3"/>
        <v>662.26623657951006</v>
      </c>
      <c r="Q27" s="691">
        <f t="shared" si="3"/>
        <v>2148.1437493761641</v>
      </c>
      <c r="R27" s="691">
        <f t="shared" ca="1" si="3"/>
        <v>453975.03779969533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4340.4747250303953</v>
      </c>
      <c r="D40" s="681">
        <f ca="1">tertiair!C20</f>
        <v>76.386554621848759</v>
      </c>
      <c r="E40" s="681">
        <f ca="1">tertiair!D20</f>
        <v>5910.0969137994898</v>
      </c>
      <c r="F40" s="681">
        <f>tertiair!E20</f>
        <v>16.784401116330265</v>
      </c>
      <c r="G40" s="681">
        <f ca="1">tertiair!F20</f>
        <v>932.90557927425652</v>
      </c>
      <c r="H40" s="681">
        <f>tertiair!G20</f>
        <v>0</v>
      </c>
      <c r="I40" s="681">
        <f>tertiair!H20</f>
        <v>0</v>
      </c>
      <c r="J40" s="681">
        <f>tertiair!I20</f>
        <v>0</v>
      </c>
      <c r="K40" s="681">
        <f>tertiair!J20</f>
        <v>7.5745280277478488E-3</v>
      </c>
      <c r="L40" s="681">
        <f>tertiair!K20</f>
        <v>0</v>
      </c>
      <c r="M40" s="681">
        <f ca="1">tertiair!L20</f>
        <v>0</v>
      </c>
      <c r="N40" s="681">
        <f>tertiair!M20</f>
        <v>0</v>
      </c>
      <c r="O40" s="681">
        <f ca="1">tertiair!N20</f>
        <v>0</v>
      </c>
      <c r="P40" s="681">
        <f>tertiair!O20</f>
        <v>0</v>
      </c>
      <c r="Q40" s="764">
        <f>tertiair!P20</f>
        <v>0</v>
      </c>
      <c r="R40" s="843">
        <f t="shared" ca="1" si="4"/>
        <v>11276.655748370349</v>
      </c>
    </row>
    <row r="41" spans="1:18">
      <c r="A41" s="815" t="s">
        <v>214</v>
      </c>
      <c r="B41" s="822"/>
      <c r="C41" s="681">
        <f ca="1">huishoudens!B12</f>
        <v>6208.408730817996</v>
      </c>
      <c r="D41" s="681">
        <f ca="1">huishoudens!C12</f>
        <v>0</v>
      </c>
      <c r="E41" s="681">
        <f>huishoudens!D12</f>
        <v>11586.463156594789</v>
      </c>
      <c r="F41" s="681">
        <f>huishoudens!E12</f>
        <v>511.20540627921764</v>
      </c>
      <c r="G41" s="681">
        <f>huishoudens!F12</f>
        <v>13172.127481793912</v>
      </c>
      <c r="H41" s="681">
        <f>huishoudens!G12</f>
        <v>0</v>
      </c>
      <c r="I41" s="681">
        <f>huishoudens!H12</f>
        <v>0</v>
      </c>
      <c r="J41" s="681">
        <f>huishoudens!I12</f>
        <v>0</v>
      </c>
      <c r="K41" s="681">
        <f>huishoudens!J12</f>
        <v>99.530209371370489</v>
      </c>
      <c r="L41" s="681">
        <f>huishoudens!K12</f>
        <v>0</v>
      </c>
      <c r="M41" s="681">
        <f>huishoudens!L12</f>
        <v>0</v>
      </c>
      <c r="N41" s="681">
        <f>huishoudens!M12</f>
        <v>0</v>
      </c>
      <c r="O41" s="681">
        <f>huishoudens!N12</f>
        <v>0</v>
      </c>
      <c r="P41" s="681">
        <f>huishoudens!O12</f>
        <v>0</v>
      </c>
      <c r="Q41" s="764">
        <f>huishoudens!P12</f>
        <v>0</v>
      </c>
      <c r="R41" s="843">
        <f t="shared" ca="1" si="4"/>
        <v>31577.734984857285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2453.8448868203291</v>
      </c>
      <c r="D43" s="681">
        <f ca="1">industrie!C22</f>
        <v>0</v>
      </c>
      <c r="E43" s="681">
        <f>industrie!D22</f>
        <v>2250.8916468144539</v>
      </c>
      <c r="F43" s="681">
        <f>industrie!E22</f>
        <v>11.865862931458672</v>
      </c>
      <c r="G43" s="681">
        <f>industrie!F22</f>
        <v>1547.5226231118206</v>
      </c>
      <c r="H43" s="681">
        <f>industrie!G22</f>
        <v>0</v>
      </c>
      <c r="I43" s="681">
        <f>industrie!H22</f>
        <v>0</v>
      </c>
      <c r="J43" s="681">
        <f>industrie!I22</f>
        <v>0</v>
      </c>
      <c r="K43" s="681">
        <f>industrie!J22</f>
        <v>0.97346158117274217</v>
      </c>
      <c r="L43" s="681">
        <f>industrie!K22</f>
        <v>0</v>
      </c>
      <c r="M43" s="681">
        <f>industrie!L22</f>
        <v>0</v>
      </c>
      <c r="N43" s="681">
        <f>industrie!M22</f>
        <v>0</v>
      </c>
      <c r="O43" s="681">
        <f>industrie!N22</f>
        <v>0</v>
      </c>
      <c r="P43" s="681">
        <f>industrie!O22</f>
        <v>0</v>
      </c>
      <c r="Q43" s="764">
        <f>industrie!P22</f>
        <v>0</v>
      </c>
      <c r="R43" s="842">
        <f t="shared" ca="1" si="4"/>
        <v>6265.0984812592351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13002.728342668719</v>
      </c>
      <c r="D46" s="717">
        <f t="shared" ref="D46:Q46" ca="1" si="5">SUM(D39:D45)</f>
        <v>76.386554621848759</v>
      </c>
      <c r="E46" s="717">
        <f t="shared" ca="1" si="5"/>
        <v>19747.451717208733</v>
      </c>
      <c r="F46" s="717">
        <f t="shared" si="5"/>
        <v>539.85567032700658</v>
      </c>
      <c r="G46" s="717">
        <f t="shared" ca="1" si="5"/>
        <v>15652.55568417999</v>
      </c>
      <c r="H46" s="717">
        <f t="shared" si="5"/>
        <v>0</v>
      </c>
      <c r="I46" s="717">
        <f t="shared" si="5"/>
        <v>0</v>
      </c>
      <c r="J46" s="717">
        <f t="shared" si="5"/>
        <v>0</v>
      </c>
      <c r="K46" s="717">
        <f t="shared" si="5"/>
        <v>100.51124548057098</v>
      </c>
      <c r="L46" s="717">
        <f t="shared" si="5"/>
        <v>0</v>
      </c>
      <c r="M46" s="717">
        <f t="shared" ca="1" si="5"/>
        <v>0</v>
      </c>
      <c r="N46" s="717">
        <f t="shared" si="5"/>
        <v>0</v>
      </c>
      <c r="O46" s="717">
        <f t="shared" ca="1" si="5"/>
        <v>0</v>
      </c>
      <c r="P46" s="717">
        <f t="shared" si="5"/>
        <v>0</v>
      </c>
      <c r="Q46" s="717">
        <f t="shared" si="5"/>
        <v>0</v>
      </c>
      <c r="R46" s="717">
        <f ca="1">SUM(R39:R45)</f>
        <v>49119.489214486872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9.7963988145964098</v>
      </c>
      <c r="D49" s="681">
        <f ca="1">transport!C58</f>
        <v>0</v>
      </c>
      <c r="E49" s="681">
        <f>transport!D58</f>
        <v>0</v>
      </c>
      <c r="F49" s="681">
        <f>transport!E58</f>
        <v>0</v>
      </c>
      <c r="G49" s="681">
        <f>transport!F58</f>
        <v>0</v>
      </c>
      <c r="H49" s="681">
        <f>transport!G58</f>
        <v>888.9973907206637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898.79378953526009</v>
      </c>
    </row>
    <row r="50" spans="1:18">
      <c r="A50" s="818" t="s">
        <v>296</v>
      </c>
      <c r="B50" s="828"/>
      <c r="C50" s="687">
        <f ca="1">transport!B18</f>
        <v>87.890854023545643</v>
      </c>
      <c r="D50" s="687">
        <f>transport!C18</f>
        <v>0</v>
      </c>
      <c r="E50" s="687">
        <f>transport!D18</f>
        <v>161.50546636085147</v>
      </c>
      <c r="F50" s="687">
        <f>transport!E18</f>
        <v>76.099731941423158</v>
      </c>
      <c r="G50" s="687">
        <f>transport!F18</f>
        <v>0</v>
      </c>
      <c r="H50" s="687">
        <f>transport!G18</f>
        <v>39500.320119266449</v>
      </c>
      <c r="I50" s="687">
        <f>transport!H18</f>
        <v>9892.0090706177052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49717.825242209976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97.687252838142058</v>
      </c>
      <c r="D52" s="717">
        <f t="shared" ref="D52:Q52" ca="1" si="6">SUM(D48:D51)</f>
        <v>0</v>
      </c>
      <c r="E52" s="717">
        <f t="shared" si="6"/>
        <v>161.50546636085147</v>
      </c>
      <c r="F52" s="717">
        <f t="shared" si="6"/>
        <v>76.099731941423158</v>
      </c>
      <c r="G52" s="717">
        <f t="shared" si="6"/>
        <v>0</v>
      </c>
      <c r="H52" s="717">
        <f t="shared" si="6"/>
        <v>40389.317509987115</v>
      </c>
      <c r="I52" s="717">
        <f t="shared" si="6"/>
        <v>9892.0090706177052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50616.619031745235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129.0990263624351</v>
      </c>
      <c r="D54" s="687">
        <f ca="1">+landbouw!C12</f>
        <v>0</v>
      </c>
      <c r="E54" s="687">
        <f>+landbouw!D12</f>
        <v>4.3541317257059999</v>
      </c>
      <c r="F54" s="687">
        <f>+landbouw!E12</f>
        <v>4.5569573121449345</v>
      </c>
      <c r="G54" s="687">
        <f>+landbouw!F12</f>
        <v>592.38183820164897</v>
      </c>
      <c r="H54" s="687">
        <f>+landbouw!G12</f>
        <v>0</v>
      </c>
      <c r="I54" s="687">
        <f>+landbouw!H12</f>
        <v>0</v>
      </c>
      <c r="J54" s="687">
        <f>+landbouw!I12</f>
        <v>0</v>
      </c>
      <c r="K54" s="687">
        <f>+landbouw!J12</f>
        <v>63.087950351722654</v>
      </c>
      <c r="L54" s="687">
        <f>+landbouw!K12</f>
        <v>0</v>
      </c>
      <c r="M54" s="687">
        <f>+landbouw!L12</f>
        <v>0</v>
      </c>
      <c r="N54" s="687">
        <f>+landbouw!M12</f>
        <v>0</v>
      </c>
      <c r="O54" s="687">
        <f>+landbouw!N12</f>
        <v>0</v>
      </c>
      <c r="P54" s="687">
        <f>+landbouw!O12</f>
        <v>0</v>
      </c>
      <c r="Q54" s="688">
        <f>+landbouw!P12</f>
        <v>0</v>
      </c>
      <c r="R54" s="716">
        <f ca="1">SUM(C54:Q54)</f>
        <v>793.47990395365764</v>
      </c>
    </row>
    <row r="55" spans="1:18" ht="15" thickBot="1">
      <c r="A55" s="818" t="s">
        <v>690</v>
      </c>
      <c r="B55" s="828"/>
      <c r="C55" s="687">
        <f ca="1">C25*'EF ele_warmte'!B12</f>
        <v>146.97886959650688</v>
      </c>
      <c r="D55" s="687"/>
      <c r="E55" s="687">
        <f>E25*EF_CO2_aardgas</f>
        <v>190.84954101600002</v>
      </c>
      <c r="F55" s="687"/>
      <c r="G55" s="687"/>
      <c r="H55" s="687"/>
      <c r="I55" s="687"/>
      <c r="J55" s="687"/>
      <c r="K55" s="687"/>
      <c r="L55" s="687"/>
      <c r="M55" s="687"/>
      <c r="N55" s="687"/>
      <c r="O55" s="687"/>
      <c r="P55" s="687"/>
      <c r="Q55" s="688"/>
      <c r="R55" s="716">
        <f ca="1">SUM(C55:Q55)</f>
        <v>337.8284106125069</v>
      </c>
    </row>
    <row r="56" spans="1:18" ht="15.75" thickBot="1">
      <c r="A56" s="816" t="s">
        <v>691</v>
      </c>
      <c r="B56" s="829"/>
      <c r="C56" s="717">
        <f ca="1">SUM(C54:C55)</f>
        <v>276.07789595894201</v>
      </c>
      <c r="D56" s="717">
        <f t="shared" ref="D56:Q56" ca="1" si="7">SUM(D54:D55)</f>
        <v>0</v>
      </c>
      <c r="E56" s="717">
        <f t="shared" si="7"/>
        <v>195.20367274170601</v>
      </c>
      <c r="F56" s="717">
        <f t="shared" si="7"/>
        <v>4.5569573121449345</v>
      </c>
      <c r="G56" s="717">
        <f t="shared" si="7"/>
        <v>592.38183820164897</v>
      </c>
      <c r="H56" s="717">
        <f t="shared" si="7"/>
        <v>0</v>
      </c>
      <c r="I56" s="717">
        <f t="shared" si="7"/>
        <v>0</v>
      </c>
      <c r="J56" s="717">
        <f t="shared" si="7"/>
        <v>0</v>
      </c>
      <c r="K56" s="717">
        <f t="shared" si="7"/>
        <v>63.087950351722654</v>
      </c>
      <c r="L56" s="717">
        <f t="shared" si="7"/>
        <v>0</v>
      </c>
      <c r="M56" s="717">
        <f t="shared" si="7"/>
        <v>0</v>
      </c>
      <c r="N56" s="717">
        <f t="shared" si="7"/>
        <v>0</v>
      </c>
      <c r="O56" s="717">
        <f t="shared" si="7"/>
        <v>0</v>
      </c>
      <c r="P56" s="717">
        <f t="shared" si="7"/>
        <v>0</v>
      </c>
      <c r="Q56" s="718">
        <f t="shared" si="7"/>
        <v>0</v>
      </c>
      <c r="R56" s="719">
        <f ca="1">SUM(R54:R55)</f>
        <v>1131.3083145661644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13376.493491465804</v>
      </c>
      <c r="D61" s="725">
        <f t="shared" ref="D61:Q61" ca="1" si="8">D46+D52+D56</f>
        <v>76.386554621848759</v>
      </c>
      <c r="E61" s="725">
        <f t="shared" ca="1" si="8"/>
        <v>20104.16085631129</v>
      </c>
      <c r="F61" s="725">
        <f t="shared" si="8"/>
        <v>620.51235958057464</v>
      </c>
      <c r="G61" s="725">
        <f t="shared" ca="1" si="8"/>
        <v>16244.937522381639</v>
      </c>
      <c r="H61" s="725">
        <f t="shared" si="8"/>
        <v>40389.317509987115</v>
      </c>
      <c r="I61" s="725">
        <f t="shared" si="8"/>
        <v>9892.0090706177052</v>
      </c>
      <c r="J61" s="725">
        <f t="shared" si="8"/>
        <v>0</v>
      </c>
      <c r="K61" s="725">
        <f t="shared" si="8"/>
        <v>163.59919583229362</v>
      </c>
      <c r="L61" s="725">
        <f t="shared" si="8"/>
        <v>0</v>
      </c>
      <c r="M61" s="725">
        <f t="shared" ca="1" si="8"/>
        <v>0</v>
      </c>
      <c r="N61" s="725">
        <f t="shared" si="8"/>
        <v>0</v>
      </c>
      <c r="O61" s="725">
        <f t="shared" ca="1" si="8"/>
        <v>0</v>
      </c>
      <c r="P61" s="725">
        <f t="shared" si="8"/>
        <v>0</v>
      </c>
      <c r="Q61" s="725">
        <f t="shared" si="8"/>
        <v>0</v>
      </c>
      <c r="R61" s="725">
        <f ca="1">R46+R52+R56</f>
        <v>100867.41656079827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0.18419275287539735</v>
      </c>
      <c r="D63" s="771">
        <f t="shared" ca="1" si="9"/>
        <v>0.23764705882352946</v>
      </c>
      <c r="E63" s="963">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12112.085788659097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225</v>
      </c>
      <c r="D76" s="946">
        <f>'lokale energieproductie'!C8</f>
        <v>264.70588235294116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53.470588235294116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12112.085788659097</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321.42857142857144</v>
      </c>
      <c r="D87" s="767">
        <f>'lokale energieproductie'!C17</f>
        <v>378.15126050420173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33706.042359971994</v>
      </c>
      <c r="C4" s="447">
        <f>huishoudens!C8</f>
        <v>0</v>
      </c>
      <c r="D4" s="447">
        <f>huishoudens!D8</f>
        <v>57358.728497994001</v>
      </c>
      <c r="E4" s="447">
        <f>huishoudens!E8</f>
        <v>2252.0061950626327</v>
      </c>
      <c r="F4" s="447">
        <f>huishoudens!F8</f>
        <v>49333.810793235622</v>
      </c>
      <c r="G4" s="447">
        <f>huishoudens!G8</f>
        <v>0</v>
      </c>
      <c r="H4" s="447">
        <f>huishoudens!H8</f>
        <v>0</v>
      </c>
      <c r="I4" s="447">
        <f>huishoudens!I8</f>
        <v>0</v>
      </c>
      <c r="J4" s="447">
        <f>huishoudens!J8</f>
        <v>281.15878353494492</v>
      </c>
      <c r="K4" s="447">
        <f>huishoudens!K8</f>
        <v>0</v>
      </c>
      <c r="L4" s="447">
        <f>huishoudens!L8</f>
        <v>0</v>
      </c>
      <c r="M4" s="447">
        <f>huishoudens!M8</f>
        <v>0</v>
      </c>
      <c r="N4" s="447">
        <f>huishoudens!N8</f>
        <v>10825.779825411821</v>
      </c>
      <c r="O4" s="447">
        <f>huishoudens!O8</f>
        <v>632.88267198446317</v>
      </c>
      <c r="P4" s="448">
        <f>huishoudens!P8</f>
        <v>1832.9089195371939</v>
      </c>
      <c r="Q4" s="449">
        <f>SUM(B4:P4)</f>
        <v>156223.31804673269</v>
      </c>
    </row>
    <row r="5" spans="1:17">
      <c r="A5" s="446" t="s">
        <v>149</v>
      </c>
      <c r="B5" s="447">
        <f ca="1">tertiair!B16</f>
        <v>22765.406007999998</v>
      </c>
      <c r="C5" s="447">
        <f ca="1">tertiair!C16</f>
        <v>321.42857142857144</v>
      </c>
      <c r="D5" s="447">
        <f ca="1">tertiair!D16</f>
        <v>29257.905513858859</v>
      </c>
      <c r="E5" s="447">
        <f>tertiair!E16</f>
        <v>73.940093023481339</v>
      </c>
      <c r="F5" s="447">
        <f ca="1">tertiair!F16</f>
        <v>3494.0283867949679</v>
      </c>
      <c r="G5" s="447">
        <f>tertiair!G16</f>
        <v>0</v>
      </c>
      <c r="H5" s="447">
        <f>tertiair!H16</f>
        <v>0</v>
      </c>
      <c r="I5" s="447">
        <f>tertiair!I16</f>
        <v>0</v>
      </c>
      <c r="J5" s="447">
        <f>tertiair!J16</f>
        <v>2.1396971829796184E-2</v>
      </c>
      <c r="K5" s="447">
        <f>tertiair!K16</f>
        <v>0</v>
      </c>
      <c r="L5" s="447">
        <f ca="1">tertiair!L16</f>
        <v>0</v>
      </c>
      <c r="M5" s="447">
        <f>tertiair!M16</f>
        <v>0</v>
      </c>
      <c r="N5" s="447">
        <f ca="1">tertiair!N16</f>
        <v>846.48346597323336</v>
      </c>
      <c r="O5" s="447">
        <f>tertiair!O16</f>
        <v>29.383564595046927</v>
      </c>
      <c r="P5" s="448">
        <f>tertiair!P16</f>
        <v>315.23482983897009</v>
      </c>
      <c r="Q5" s="446">
        <f t="shared" ref="Q5:Q14" ca="1" si="0">SUM(B5:P5)</f>
        <v>57103.831830484967</v>
      </c>
    </row>
    <row r="6" spans="1:17">
      <c r="A6" s="446" t="s">
        <v>187</v>
      </c>
      <c r="B6" s="447">
        <f>'openbare verlichting'!B8</f>
        <v>799.44471099999998</v>
      </c>
      <c r="C6" s="447"/>
      <c r="D6" s="447"/>
      <c r="E6" s="447"/>
      <c r="F6" s="447"/>
      <c r="G6" s="447"/>
      <c r="H6" s="447"/>
      <c r="I6" s="447"/>
      <c r="J6" s="447"/>
      <c r="K6" s="447"/>
      <c r="L6" s="447"/>
      <c r="M6" s="447"/>
      <c r="N6" s="447"/>
      <c r="O6" s="447"/>
      <c r="P6" s="448"/>
      <c r="Q6" s="446">
        <f t="shared" si="0"/>
        <v>799.44471099999998</v>
      </c>
    </row>
    <row r="7" spans="1:17">
      <c r="A7" s="446" t="s">
        <v>105</v>
      </c>
      <c r="B7" s="447">
        <f>landbouw!B8</f>
        <v>700.89091099999996</v>
      </c>
      <c r="C7" s="447">
        <f>landbouw!C8</f>
        <v>0</v>
      </c>
      <c r="D7" s="447">
        <f>landbouw!D8</f>
        <v>21.555107552999999</v>
      </c>
      <c r="E7" s="447">
        <f>landbouw!E8</f>
        <v>20.07470181561645</v>
      </c>
      <c r="F7" s="447">
        <f>landbouw!F8</f>
        <v>2218.658570043629</v>
      </c>
      <c r="G7" s="447">
        <f>landbouw!G8</f>
        <v>0</v>
      </c>
      <c r="H7" s="447">
        <f>landbouw!H8</f>
        <v>0</v>
      </c>
      <c r="I7" s="447">
        <f>landbouw!I8</f>
        <v>0</v>
      </c>
      <c r="J7" s="447">
        <f>landbouw!J8</f>
        <v>178.21454901616571</v>
      </c>
      <c r="K7" s="447">
        <f>landbouw!K8</f>
        <v>0</v>
      </c>
      <c r="L7" s="447">
        <f>landbouw!L8</f>
        <v>0</v>
      </c>
      <c r="M7" s="447">
        <f>landbouw!M8</f>
        <v>0</v>
      </c>
      <c r="N7" s="447">
        <f>landbouw!N8</f>
        <v>0</v>
      </c>
      <c r="O7" s="447">
        <f>landbouw!O8</f>
        <v>0</v>
      </c>
      <c r="P7" s="448">
        <f>landbouw!P8</f>
        <v>0</v>
      </c>
      <c r="Q7" s="446">
        <f t="shared" si="0"/>
        <v>3139.393839428411</v>
      </c>
    </row>
    <row r="8" spans="1:17">
      <c r="A8" s="446" t="s">
        <v>611</v>
      </c>
      <c r="B8" s="447">
        <f>industrie!B18</f>
        <v>13322.157622999997</v>
      </c>
      <c r="C8" s="447">
        <f>industrie!C18</f>
        <v>0</v>
      </c>
      <c r="D8" s="447">
        <f>industrie!D18</f>
        <v>11143.027954526999</v>
      </c>
      <c r="E8" s="447">
        <f>industrie!E18</f>
        <v>52.272523927130713</v>
      </c>
      <c r="F8" s="447">
        <f>industrie!F18</f>
        <v>5795.9648805686165</v>
      </c>
      <c r="G8" s="447">
        <f>industrie!G18</f>
        <v>0</v>
      </c>
      <c r="H8" s="447">
        <f>industrie!H18</f>
        <v>0</v>
      </c>
      <c r="I8" s="447">
        <f>industrie!I18</f>
        <v>0</v>
      </c>
      <c r="J8" s="447">
        <f>industrie!J18</f>
        <v>2.7498914722393848</v>
      </c>
      <c r="K8" s="447">
        <f>industrie!K18</f>
        <v>0</v>
      </c>
      <c r="L8" s="447">
        <f>industrie!L18</f>
        <v>0</v>
      </c>
      <c r="M8" s="447">
        <f>industrie!M18</f>
        <v>0</v>
      </c>
      <c r="N8" s="447">
        <f>industrie!N18</f>
        <v>485.18724519598118</v>
      </c>
      <c r="O8" s="447">
        <f>industrie!O18</f>
        <v>0</v>
      </c>
      <c r="P8" s="448">
        <f>industrie!P18</f>
        <v>0</v>
      </c>
      <c r="Q8" s="446">
        <f t="shared" si="0"/>
        <v>30801.360118690962</v>
      </c>
    </row>
    <row r="9" spans="1:17" s="452" customFormat="1">
      <c r="A9" s="450" t="s">
        <v>537</v>
      </c>
      <c r="B9" s="451">
        <f>transport!B14</f>
        <v>477.16781823116588</v>
      </c>
      <c r="C9" s="451">
        <f>transport!C14</f>
        <v>0</v>
      </c>
      <c r="D9" s="451">
        <f>transport!D14</f>
        <v>799.53201168738349</v>
      </c>
      <c r="E9" s="451">
        <f>transport!E14</f>
        <v>335.2411098741108</v>
      </c>
      <c r="F9" s="451">
        <f>transport!F14</f>
        <v>0</v>
      </c>
      <c r="G9" s="451">
        <f>transport!G14</f>
        <v>147941.27385493051</v>
      </c>
      <c r="H9" s="451">
        <f>transport!H14</f>
        <v>39726.944058705645</v>
      </c>
      <c r="I9" s="451">
        <f>transport!I14</f>
        <v>0</v>
      </c>
      <c r="J9" s="451">
        <f>transport!J14</f>
        <v>0</v>
      </c>
      <c r="K9" s="451">
        <f>transport!K14</f>
        <v>0</v>
      </c>
      <c r="L9" s="451">
        <f>transport!L14</f>
        <v>0</v>
      </c>
      <c r="M9" s="451">
        <f>transport!M14</f>
        <v>11310.82757402656</v>
      </c>
      <c r="N9" s="451">
        <f>transport!N14</f>
        <v>0</v>
      </c>
      <c r="O9" s="451">
        <f>transport!O14</f>
        <v>0</v>
      </c>
      <c r="P9" s="451">
        <f>transport!P14</f>
        <v>0</v>
      </c>
      <c r="Q9" s="450">
        <f>SUM(B9:P9)</f>
        <v>200590.98642745538</v>
      </c>
    </row>
    <row r="10" spans="1:17">
      <c r="A10" s="446" t="s">
        <v>527</v>
      </c>
      <c r="B10" s="447">
        <f>transport!B54</f>
        <v>53.185582286310016</v>
      </c>
      <c r="C10" s="447">
        <f>transport!C54</f>
        <v>0</v>
      </c>
      <c r="D10" s="447">
        <f>transport!D54</f>
        <v>0</v>
      </c>
      <c r="E10" s="447">
        <f>transport!E54</f>
        <v>0</v>
      </c>
      <c r="F10" s="447">
        <f>transport!F54</f>
        <v>0</v>
      </c>
      <c r="G10" s="447">
        <f>transport!G54</f>
        <v>3329.5782423994892</v>
      </c>
      <c r="H10" s="447">
        <f>transport!H54</f>
        <v>0</v>
      </c>
      <c r="I10" s="447">
        <f>transport!I54</f>
        <v>0</v>
      </c>
      <c r="J10" s="447">
        <f>transport!J54</f>
        <v>0</v>
      </c>
      <c r="K10" s="447">
        <f>transport!K54</f>
        <v>0</v>
      </c>
      <c r="L10" s="447">
        <f>transport!L54</f>
        <v>0</v>
      </c>
      <c r="M10" s="447">
        <f>transport!M54</f>
        <v>191.1770102170797</v>
      </c>
      <c r="N10" s="447">
        <f>transport!N54</f>
        <v>0</v>
      </c>
      <c r="O10" s="447">
        <f>transport!O54</f>
        <v>0</v>
      </c>
      <c r="P10" s="448">
        <f>transport!P54</f>
        <v>0</v>
      </c>
      <c r="Q10" s="446">
        <f t="shared" si="0"/>
        <v>3573.940834902879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797.96228300000007</v>
      </c>
      <c r="C14" s="454"/>
      <c r="D14" s="454">
        <f>'SEAP template'!E25</f>
        <v>944.79970800000001</v>
      </c>
      <c r="E14" s="454"/>
      <c r="F14" s="454"/>
      <c r="G14" s="454"/>
      <c r="H14" s="454"/>
      <c r="I14" s="454"/>
      <c r="J14" s="454"/>
      <c r="K14" s="454"/>
      <c r="L14" s="454"/>
      <c r="M14" s="454"/>
      <c r="N14" s="454"/>
      <c r="O14" s="454"/>
      <c r="P14" s="455"/>
      <c r="Q14" s="446">
        <f t="shared" si="0"/>
        <v>1742.7619910000001</v>
      </c>
    </row>
    <row r="15" spans="1:17" s="458" customFormat="1">
      <c r="A15" s="456" t="s">
        <v>531</v>
      </c>
      <c r="B15" s="457">
        <f ca="1">SUM(B4:B14)</f>
        <v>72622.257296489464</v>
      </c>
      <c r="C15" s="457">
        <f t="shared" ref="C15:Q15" ca="1" si="1">SUM(C4:C14)</f>
        <v>321.42857142857144</v>
      </c>
      <c r="D15" s="457">
        <f t="shared" ca="1" si="1"/>
        <v>99525.548793620241</v>
      </c>
      <c r="E15" s="457">
        <f t="shared" si="1"/>
        <v>2733.5346237029726</v>
      </c>
      <c r="F15" s="457">
        <f t="shared" ca="1" si="1"/>
        <v>60842.462630642833</v>
      </c>
      <c r="G15" s="457">
        <f t="shared" si="1"/>
        <v>151270.85209733</v>
      </c>
      <c r="H15" s="457">
        <f t="shared" si="1"/>
        <v>39726.944058705645</v>
      </c>
      <c r="I15" s="457">
        <f t="shared" si="1"/>
        <v>0</v>
      </c>
      <c r="J15" s="457">
        <f t="shared" si="1"/>
        <v>462.14462099517982</v>
      </c>
      <c r="K15" s="457">
        <f t="shared" si="1"/>
        <v>0</v>
      </c>
      <c r="L15" s="457">
        <f t="shared" ca="1" si="1"/>
        <v>0</v>
      </c>
      <c r="M15" s="457">
        <f t="shared" si="1"/>
        <v>11502.004584243639</v>
      </c>
      <c r="N15" s="457">
        <f t="shared" ca="1" si="1"/>
        <v>12157.450536581035</v>
      </c>
      <c r="O15" s="457">
        <f t="shared" si="1"/>
        <v>662.26623657951006</v>
      </c>
      <c r="P15" s="457">
        <f t="shared" si="1"/>
        <v>2148.1437493761641</v>
      </c>
      <c r="Q15" s="457">
        <f t="shared" ca="1" si="1"/>
        <v>453975.03779969527</v>
      </c>
    </row>
    <row r="17" spans="1:17">
      <c r="A17" s="459" t="s">
        <v>532</v>
      </c>
      <c r="B17" s="776">
        <f ca="1">huishoudens!B10</f>
        <v>0.18419275287539733</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6208.408730817996</v>
      </c>
      <c r="C22" s="447">
        <f t="shared" ref="C22:C32" ca="1" si="3">C4*$C$17</f>
        <v>0</v>
      </c>
      <c r="D22" s="447">
        <f t="shared" ref="D22:D32" si="4">D4*$D$17</f>
        <v>11586.463156594789</v>
      </c>
      <c r="E22" s="447">
        <f t="shared" ref="E22:E32" si="5">E4*$E$17</f>
        <v>511.20540627921764</v>
      </c>
      <c r="F22" s="447">
        <f t="shared" ref="F22:F32" si="6">F4*$F$17</f>
        <v>13172.127481793912</v>
      </c>
      <c r="G22" s="447">
        <f t="shared" ref="G22:G32" si="7">G4*$G$17</f>
        <v>0</v>
      </c>
      <c r="H22" s="447">
        <f t="shared" ref="H22:H32" si="8">H4*$H$17</f>
        <v>0</v>
      </c>
      <c r="I22" s="447">
        <f t="shared" ref="I22:I32" si="9">I4*$I$17</f>
        <v>0</v>
      </c>
      <c r="J22" s="447">
        <f t="shared" ref="J22:J32" si="10">J4*$J$17</f>
        <v>99.530209371370489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31577.734984857285</v>
      </c>
    </row>
    <row r="23" spans="1:17">
      <c r="A23" s="446" t="s">
        <v>149</v>
      </c>
      <c r="B23" s="447">
        <f t="shared" ca="1" si="2"/>
        <v>4193.2228029396292</v>
      </c>
      <c r="C23" s="447">
        <f t="shared" ca="1" si="3"/>
        <v>76.386554621848759</v>
      </c>
      <c r="D23" s="447">
        <f t="shared" ca="1" si="4"/>
        <v>5910.0969137994898</v>
      </c>
      <c r="E23" s="447">
        <f t="shared" si="5"/>
        <v>16.784401116330265</v>
      </c>
      <c r="F23" s="447">
        <f t="shared" ca="1" si="6"/>
        <v>932.90557927425652</v>
      </c>
      <c r="G23" s="447">
        <f t="shared" si="7"/>
        <v>0</v>
      </c>
      <c r="H23" s="447">
        <f t="shared" si="8"/>
        <v>0</v>
      </c>
      <c r="I23" s="447">
        <f t="shared" si="9"/>
        <v>0</v>
      </c>
      <c r="J23" s="447">
        <f t="shared" si="10"/>
        <v>7.5745280277478488E-3</v>
      </c>
      <c r="K23" s="447">
        <f t="shared" si="11"/>
        <v>0</v>
      </c>
      <c r="L23" s="447">
        <f t="shared" ca="1" si="12"/>
        <v>0</v>
      </c>
      <c r="M23" s="447">
        <f t="shared" si="13"/>
        <v>0</v>
      </c>
      <c r="N23" s="447">
        <f t="shared" ca="1" si="14"/>
        <v>0</v>
      </c>
      <c r="O23" s="447">
        <f t="shared" si="15"/>
        <v>0</v>
      </c>
      <c r="P23" s="448">
        <f t="shared" si="16"/>
        <v>0</v>
      </c>
      <c r="Q23" s="446">
        <f t="shared" ref="Q23:Q31" ca="1" si="17">SUM(B23:P23)</f>
        <v>11129.403826279582</v>
      </c>
    </row>
    <row r="24" spans="1:17">
      <c r="A24" s="446" t="s">
        <v>187</v>
      </c>
      <c r="B24" s="447">
        <f t="shared" ca="1" si="2"/>
        <v>147.25192209076644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147.25192209076644</v>
      </c>
    </row>
    <row r="25" spans="1:17">
      <c r="A25" s="446" t="s">
        <v>105</v>
      </c>
      <c r="B25" s="447">
        <f t="shared" ca="1" si="2"/>
        <v>129.0990263624351</v>
      </c>
      <c r="C25" s="447">
        <f t="shared" ca="1" si="3"/>
        <v>0</v>
      </c>
      <c r="D25" s="447">
        <f t="shared" si="4"/>
        <v>4.3541317257059999</v>
      </c>
      <c r="E25" s="447">
        <f t="shared" si="5"/>
        <v>4.5569573121449345</v>
      </c>
      <c r="F25" s="447">
        <f t="shared" si="6"/>
        <v>592.38183820164897</v>
      </c>
      <c r="G25" s="447">
        <f t="shared" si="7"/>
        <v>0</v>
      </c>
      <c r="H25" s="447">
        <f t="shared" si="8"/>
        <v>0</v>
      </c>
      <c r="I25" s="447">
        <f t="shared" si="9"/>
        <v>0</v>
      </c>
      <c r="J25" s="447">
        <f t="shared" si="10"/>
        <v>63.087950351722654</v>
      </c>
      <c r="K25" s="447">
        <f t="shared" si="11"/>
        <v>0</v>
      </c>
      <c r="L25" s="447">
        <f t="shared" si="12"/>
        <v>0</v>
      </c>
      <c r="M25" s="447">
        <f t="shared" si="13"/>
        <v>0</v>
      </c>
      <c r="N25" s="447">
        <f t="shared" si="14"/>
        <v>0</v>
      </c>
      <c r="O25" s="447">
        <f t="shared" si="15"/>
        <v>0</v>
      </c>
      <c r="P25" s="448">
        <f t="shared" si="16"/>
        <v>0</v>
      </c>
      <c r="Q25" s="446">
        <f t="shared" ca="1" si="17"/>
        <v>793.47990395365764</v>
      </c>
    </row>
    <row r="26" spans="1:17">
      <c r="A26" s="446" t="s">
        <v>611</v>
      </c>
      <c r="B26" s="447">
        <f t="shared" ca="1" si="2"/>
        <v>2453.8448868203291</v>
      </c>
      <c r="C26" s="447">
        <f t="shared" ca="1" si="3"/>
        <v>0</v>
      </c>
      <c r="D26" s="447">
        <f t="shared" si="4"/>
        <v>2250.8916468144539</v>
      </c>
      <c r="E26" s="447">
        <f t="shared" si="5"/>
        <v>11.865862931458672</v>
      </c>
      <c r="F26" s="447">
        <f t="shared" si="6"/>
        <v>1547.5226231118206</v>
      </c>
      <c r="G26" s="447">
        <f t="shared" si="7"/>
        <v>0</v>
      </c>
      <c r="H26" s="447">
        <f t="shared" si="8"/>
        <v>0</v>
      </c>
      <c r="I26" s="447">
        <f t="shared" si="9"/>
        <v>0</v>
      </c>
      <c r="J26" s="447">
        <f t="shared" si="10"/>
        <v>0.97346158117274217</v>
      </c>
      <c r="K26" s="447">
        <f t="shared" si="11"/>
        <v>0</v>
      </c>
      <c r="L26" s="447">
        <f t="shared" si="12"/>
        <v>0</v>
      </c>
      <c r="M26" s="447">
        <f t="shared" si="13"/>
        <v>0</v>
      </c>
      <c r="N26" s="447">
        <f t="shared" si="14"/>
        <v>0</v>
      </c>
      <c r="O26" s="447">
        <f t="shared" si="15"/>
        <v>0</v>
      </c>
      <c r="P26" s="448">
        <f t="shared" si="16"/>
        <v>0</v>
      </c>
      <c r="Q26" s="446">
        <f t="shared" ca="1" si="17"/>
        <v>6265.0984812592351</v>
      </c>
    </row>
    <row r="27" spans="1:17" s="452" customFormat="1">
      <c r="A27" s="450" t="s">
        <v>537</v>
      </c>
      <c r="B27" s="770">
        <f t="shared" ca="1" si="2"/>
        <v>87.890854023545643</v>
      </c>
      <c r="C27" s="451">
        <f t="shared" ca="1" si="3"/>
        <v>0</v>
      </c>
      <c r="D27" s="451">
        <f t="shared" si="4"/>
        <v>161.50546636085147</v>
      </c>
      <c r="E27" s="451">
        <f t="shared" si="5"/>
        <v>76.099731941423158</v>
      </c>
      <c r="F27" s="451">
        <f t="shared" si="6"/>
        <v>0</v>
      </c>
      <c r="G27" s="451">
        <f t="shared" si="7"/>
        <v>39500.320119266449</v>
      </c>
      <c r="H27" s="451">
        <f t="shared" si="8"/>
        <v>9892.0090706177052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49717.825242209976</v>
      </c>
    </row>
    <row r="28" spans="1:17" ht="16.5" customHeight="1">
      <c r="A28" s="446" t="s">
        <v>527</v>
      </c>
      <c r="B28" s="447">
        <f t="shared" ca="1" si="2"/>
        <v>9.7963988145964098</v>
      </c>
      <c r="C28" s="447">
        <f t="shared" ca="1" si="3"/>
        <v>0</v>
      </c>
      <c r="D28" s="447">
        <f t="shared" si="4"/>
        <v>0</v>
      </c>
      <c r="E28" s="447">
        <f t="shared" si="5"/>
        <v>0</v>
      </c>
      <c r="F28" s="447">
        <f t="shared" si="6"/>
        <v>0</v>
      </c>
      <c r="G28" s="447">
        <f t="shared" si="7"/>
        <v>888.9973907206637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898.79378953526009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146.97886959650688</v>
      </c>
      <c r="C32" s="447">
        <f t="shared" ca="1" si="3"/>
        <v>0</v>
      </c>
      <c r="D32" s="447">
        <f t="shared" si="4"/>
        <v>190.84954101600002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337.8284106125069</v>
      </c>
    </row>
    <row r="33" spans="1:17" s="458" customFormat="1">
      <c r="A33" s="456" t="s">
        <v>531</v>
      </c>
      <c r="B33" s="457">
        <f ca="1">SUM(B22:B32)</f>
        <v>13376.493491465806</v>
      </c>
      <c r="C33" s="457">
        <f t="shared" ref="C33:Q33" ca="1" si="19">SUM(C22:C32)</f>
        <v>76.386554621848759</v>
      </c>
      <c r="D33" s="457">
        <f t="shared" ca="1" si="19"/>
        <v>20104.16085631129</v>
      </c>
      <c r="E33" s="457">
        <f t="shared" si="19"/>
        <v>620.51235958057464</v>
      </c>
      <c r="F33" s="457">
        <f t="shared" ca="1" si="19"/>
        <v>16244.937522381639</v>
      </c>
      <c r="G33" s="457">
        <f t="shared" si="19"/>
        <v>40389.317509987115</v>
      </c>
      <c r="H33" s="457">
        <f t="shared" si="19"/>
        <v>9892.0090706177052</v>
      </c>
      <c r="I33" s="457">
        <f t="shared" si="19"/>
        <v>0</v>
      </c>
      <c r="J33" s="457">
        <f t="shared" si="19"/>
        <v>163.59919583229362</v>
      </c>
      <c r="K33" s="457">
        <f t="shared" si="19"/>
        <v>0</v>
      </c>
      <c r="L33" s="457">
        <f t="shared" ca="1" si="19"/>
        <v>0</v>
      </c>
      <c r="M33" s="457">
        <f t="shared" si="19"/>
        <v>0</v>
      </c>
      <c r="N33" s="457">
        <f t="shared" ca="1" si="19"/>
        <v>0</v>
      </c>
      <c r="O33" s="457">
        <f t="shared" si="19"/>
        <v>0</v>
      </c>
      <c r="P33" s="457">
        <f t="shared" si="19"/>
        <v>0</v>
      </c>
      <c r="Q33" s="457">
        <f t="shared" ca="1" si="19"/>
        <v>100867.41656079827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12112.085788659097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225</v>
      </c>
      <c r="D8" s="1014">
        <f>'SEAP template'!D76</f>
        <v>264.70588235294116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53.470588235294116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12112.085788659097</v>
      </c>
      <c r="C10" s="1016">
        <f>SUM(C4:C9)</f>
        <v>225</v>
      </c>
      <c r="D10" s="1016">
        <f t="shared" ref="D10:H10" si="0">SUM(D8:D9)</f>
        <v>264.70588235294116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53.470588235294116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0.18419275287539733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321.42857142857144</v>
      </c>
      <c r="D17" s="1015">
        <f>'SEAP template'!D87</f>
        <v>378.15126050420173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76.386554621848759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321.42857142857144</v>
      </c>
      <c r="D20" s="1016">
        <f t="shared" ref="D20:H20" si="2">SUM(D17:D19)</f>
        <v>378.15126050420173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76.386554621848759</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0.18419275287539733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0.18419275287539733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0.18419275287539733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7992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1484.39</v>
      </c>
      <c r="C14" s="326"/>
      <c r="D14" s="326"/>
      <c r="E14" s="326"/>
      <c r="F14" s="326"/>
    </row>
    <row r="15" spans="1:6">
      <c r="A15" s="1310" t="s">
        <v>177</v>
      </c>
      <c r="B15" s="1311">
        <v>12</v>
      </c>
      <c r="C15" s="326"/>
      <c r="D15" s="326"/>
      <c r="E15" s="326"/>
      <c r="F15" s="326"/>
    </row>
    <row r="16" spans="1:6">
      <c r="A16" s="1310" t="s">
        <v>6</v>
      </c>
      <c r="B16" s="1311">
        <v>710</v>
      </c>
      <c r="C16" s="326"/>
      <c r="D16" s="326"/>
      <c r="E16" s="326"/>
      <c r="F16" s="326"/>
    </row>
    <row r="17" spans="1:6">
      <c r="A17" s="1310" t="s">
        <v>7</v>
      </c>
      <c r="B17" s="1311">
        <v>195</v>
      </c>
      <c r="C17" s="326"/>
      <c r="D17" s="326"/>
      <c r="E17" s="326"/>
      <c r="F17" s="326"/>
    </row>
    <row r="18" spans="1:6">
      <c r="A18" s="1310" t="s">
        <v>8</v>
      </c>
      <c r="B18" s="1311">
        <v>445</v>
      </c>
      <c r="C18" s="326"/>
      <c r="D18" s="326"/>
      <c r="E18" s="326"/>
      <c r="F18" s="326"/>
    </row>
    <row r="19" spans="1:6">
      <c r="A19" s="1310" t="s">
        <v>9</v>
      </c>
      <c r="B19" s="1311">
        <v>451</v>
      </c>
      <c r="C19" s="326"/>
      <c r="D19" s="326"/>
      <c r="E19" s="326"/>
      <c r="F19" s="326"/>
    </row>
    <row r="20" spans="1:6">
      <c r="A20" s="1310" t="s">
        <v>10</v>
      </c>
      <c r="B20" s="1311">
        <v>248</v>
      </c>
      <c r="C20" s="326"/>
      <c r="D20" s="326"/>
      <c r="E20" s="326"/>
      <c r="F20" s="326"/>
    </row>
    <row r="21" spans="1:6">
      <c r="A21" s="1310" t="s">
        <v>11</v>
      </c>
      <c r="B21" s="1311">
        <v>350</v>
      </c>
      <c r="C21" s="326"/>
      <c r="D21" s="326"/>
      <c r="E21" s="326"/>
      <c r="F21" s="326"/>
    </row>
    <row r="22" spans="1:6">
      <c r="A22" s="1310" t="s">
        <v>12</v>
      </c>
      <c r="B22" s="1311">
        <v>1889</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96</v>
      </c>
      <c r="C26" s="326"/>
      <c r="D26" s="326"/>
      <c r="E26" s="326"/>
      <c r="F26" s="326"/>
    </row>
    <row r="27" spans="1:6">
      <c r="A27" s="1310" t="s">
        <v>17</v>
      </c>
      <c r="B27" s="1311">
        <v>0</v>
      </c>
      <c r="C27" s="326"/>
      <c r="D27" s="326"/>
      <c r="E27" s="326"/>
      <c r="F27" s="326"/>
    </row>
    <row r="28" spans="1:6">
      <c r="A28" s="1310" t="s">
        <v>18</v>
      </c>
      <c r="B28" s="1312">
        <v>25341</v>
      </c>
      <c r="C28" s="326"/>
      <c r="D28" s="326"/>
      <c r="E28" s="326"/>
      <c r="F28" s="326"/>
    </row>
    <row r="29" spans="1:6">
      <c r="A29" s="1310" t="s">
        <v>678</v>
      </c>
      <c r="B29" s="1312">
        <v>62</v>
      </c>
      <c r="C29" s="326"/>
      <c r="D29" s="326"/>
      <c r="E29" s="326"/>
      <c r="F29" s="326"/>
    </row>
    <row r="30" spans="1:6">
      <c r="A30" s="1305" t="s">
        <v>679</v>
      </c>
      <c r="B30" s="1313">
        <v>24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5906.3149999999996</v>
      </c>
    </row>
    <row r="37" spans="1:6">
      <c r="A37" s="1310" t="s">
        <v>24</v>
      </c>
      <c r="B37" s="1310" t="s">
        <v>27</v>
      </c>
      <c r="C37" s="1311">
        <v>0</v>
      </c>
      <c r="D37" s="1311">
        <v>0</v>
      </c>
      <c r="E37" s="1311">
        <v>0</v>
      </c>
      <c r="F37" s="1311">
        <v>0</v>
      </c>
    </row>
    <row r="38" spans="1:6">
      <c r="A38" s="1310" t="s">
        <v>24</v>
      </c>
      <c r="B38" s="1310" t="s">
        <v>28</v>
      </c>
      <c r="C38" s="1311">
        <v>1</v>
      </c>
      <c r="D38" s="1311">
        <v>7558.9750000000004</v>
      </c>
      <c r="E38" s="1311">
        <v>0</v>
      </c>
      <c r="F38" s="1311">
        <v>0</v>
      </c>
    </row>
    <row r="39" spans="1:6">
      <c r="A39" s="1310" t="s">
        <v>29</v>
      </c>
      <c r="B39" s="1310" t="s">
        <v>30</v>
      </c>
      <c r="C39" s="1311">
        <v>4495</v>
      </c>
      <c r="D39" s="1311">
        <v>63520186.597999997</v>
      </c>
      <c r="E39" s="1311">
        <v>7970</v>
      </c>
      <c r="F39" s="1311">
        <v>24337912.480999999</v>
      </c>
    </row>
    <row r="40" spans="1:6">
      <c r="A40" s="1310" t="s">
        <v>29</v>
      </c>
      <c r="B40" s="1310" t="s">
        <v>28</v>
      </c>
      <c r="C40" s="1311">
        <v>0</v>
      </c>
      <c r="D40" s="1311">
        <v>0</v>
      </c>
      <c r="E40" s="1311">
        <v>0</v>
      </c>
      <c r="F40" s="1311">
        <v>0</v>
      </c>
    </row>
    <row r="41" spans="1:6">
      <c r="A41" s="1310" t="s">
        <v>31</v>
      </c>
      <c r="B41" s="1310" t="s">
        <v>32</v>
      </c>
      <c r="C41" s="1311">
        <v>74</v>
      </c>
      <c r="D41" s="1311">
        <v>3862293.0559999999</v>
      </c>
      <c r="E41" s="1311">
        <v>168</v>
      </c>
      <c r="F41" s="1311">
        <v>8613133.3029999994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13</v>
      </c>
      <c r="F44" s="1311">
        <v>2717320.51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5173087.7189999996</v>
      </c>
      <c r="E48" s="1311">
        <v>4</v>
      </c>
      <c r="F48" s="1311">
        <v>96523.215999999986</v>
      </c>
    </row>
    <row r="49" spans="1:6">
      <c r="A49" s="1310" t="s">
        <v>31</v>
      </c>
      <c r="B49" s="1310" t="s">
        <v>39</v>
      </c>
      <c r="C49" s="1311">
        <v>0</v>
      </c>
      <c r="D49" s="1311">
        <v>0</v>
      </c>
      <c r="E49" s="1311">
        <v>0</v>
      </c>
      <c r="F49" s="1311">
        <v>0</v>
      </c>
    </row>
    <row r="50" spans="1:6">
      <c r="A50" s="1310" t="s">
        <v>31</v>
      </c>
      <c r="B50" s="1310" t="s">
        <v>40</v>
      </c>
      <c r="C50" s="1311">
        <v>8</v>
      </c>
      <c r="D50" s="1311">
        <v>3304628.034</v>
      </c>
      <c r="E50" s="1311">
        <v>10</v>
      </c>
      <c r="F50" s="1311">
        <v>1895180.594</v>
      </c>
    </row>
    <row r="51" spans="1:6">
      <c r="A51" s="1310" t="s">
        <v>41</v>
      </c>
      <c r="B51" s="1310" t="s">
        <v>42</v>
      </c>
      <c r="C51" s="1311">
        <v>0</v>
      </c>
      <c r="D51" s="1311">
        <v>0</v>
      </c>
      <c r="E51" s="1311">
        <v>42</v>
      </c>
      <c r="F51" s="1311">
        <v>700890.91099999996</v>
      </c>
    </row>
    <row r="52" spans="1:6">
      <c r="A52" s="1310" t="s">
        <v>41</v>
      </c>
      <c r="B52" s="1310" t="s">
        <v>28</v>
      </c>
      <c r="C52" s="1311">
        <v>2</v>
      </c>
      <c r="D52" s="1311">
        <v>23870.550999999999</v>
      </c>
      <c r="E52" s="1311">
        <v>0</v>
      </c>
      <c r="F52" s="1311">
        <v>0</v>
      </c>
    </row>
    <row r="53" spans="1:6">
      <c r="A53" s="1310" t="s">
        <v>43</v>
      </c>
      <c r="B53" s="1310" t="s">
        <v>44</v>
      </c>
      <c r="C53" s="1311">
        <v>43</v>
      </c>
      <c r="D53" s="1311">
        <v>944799.70799999998</v>
      </c>
      <c r="E53" s="1311">
        <v>149</v>
      </c>
      <c r="F53" s="1311">
        <v>797962.28300000005</v>
      </c>
    </row>
    <row r="54" spans="1:6">
      <c r="A54" s="1310" t="s">
        <v>45</v>
      </c>
      <c r="B54" s="1310" t="s">
        <v>46</v>
      </c>
      <c r="C54" s="1311">
        <v>0</v>
      </c>
      <c r="D54" s="1311">
        <v>0</v>
      </c>
      <c r="E54" s="1311">
        <v>3</v>
      </c>
      <c r="F54" s="1311">
        <v>799444.71100000001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3627762.389</v>
      </c>
      <c r="E57" s="1311">
        <v>115</v>
      </c>
      <c r="F57" s="1311">
        <v>2115543.574</v>
      </c>
    </row>
    <row r="58" spans="1:6">
      <c r="A58" s="1310" t="s">
        <v>48</v>
      </c>
      <c r="B58" s="1310" t="s">
        <v>50</v>
      </c>
      <c r="C58" s="1311">
        <v>34</v>
      </c>
      <c r="D58" s="1311">
        <v>1904383.5090000001</v>
      </c>
      <c r="E58" s="1311">
        <v>54</v>
      </c>
      <c r="F58" s="1311">
        <v>1164708.1470000001</v>
      </c>
    </row>
    <row r="59" spans="1:6">
      <c r="A59" s="1310" t="s">
        <v>48</v>
      </c>
      <c r="B59" s="1310" t="s">
        <v>51</v>
      </c>
      <c r="C59" s="1311">
        <v>102</v>
      </c>
      <c r="D59" s="1311">
        <v>3379356.3089999999</v>
      </c>
      <c r="E59" s="1311">
        <v>209</v>
      </c>
      <c r="F59" s="1311">
        <v>5653799.335</v>
      </c>
    </row>
    <row r="60" spans="1:6">
      <c r="A60" s="1310" t="s">
        <v>48</v>
      </c>
      <c r="B60" s="1310" t="s">
        <v>52</v>
      </c>
      <c r="C60" s="1311">
        <v>55</v>
      </c>
      <c r="D60" s="1311">
        <v>3730606.3820000002</v>
      </c>
      <c r="E60" s="1311">
        <v>88</v>
      </c>
      <c r="F60" s="1311">
        <v>2101700.0819999999</v>
      </c>
    </row>
    <row r="61" spans="1:6">
      <c r="A61" s="1310" t="s">
        <v>48</v>
      </c>
      <c r="B61" s="1310" t="s">
        <v>53</v>
      </c>
      <c r="C61" s="1311">
        <v>162</v>
      </c>
      <c r="D61" s="1311">
        <v>6132431.7319999998</v>
      </c>
      <c r="E61" s="1311">
        <v>321</v>
      </c>
      <c r="F61" s="1311">
        <v>5534988.625</v>
      </c>
    </row>
    <row r="62" spans="1:6">
      <c r="A62" s="1310" t="s">
        <v>48</v>
      </c>
      <c r="B62" s="1310" t="s">
        <v>54</v>
      </c>
      <c r="C62" s="1311">
        <v>28</v>
      </c>
      <c r="D62" s="1311">
        <v>14338153.651000001</v>
      </c>
      <c r="E62" s="1311">
        <v>50</v>
      </c>
      <c r="F62" s="1311">
        <v>5969666.2450000001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9784.2970000000005</v>
      </c>
    </row>
    <row r="66" spans="1:6">
      <c r="A66" s="1310" t="s">
        <v>55</v>
      </c>
      <c r="B66" s="1310" t="s">
        <v>57</v>
      </c>
      <c r="C66" s="1311">
        <v>0</v>
      </c>
      <c r="D66" s="1311">
        <v>0</v>
      </c>
      <c r="E66" s="1311">
        <v>19</v>
      </c>
      <c r="F66" s="1311">
        <v>647313.66899999999</v>
      </c>
    </row>
    <row r="67" spans="1:6">
      <c r="A67" s="1310" t="s">
        <v>55</v>
      </c>
      <c r="B67" s="1310" t="s">
        <v>58</v>
      </c>
      <c r="C67" s="1311">
        <v>0</v>
      </c>
      <c r="D67" s="1311">
        <v>0</v>
      </c>
      <c r="E67" s="1311">
        <v>0</v>
      </c>
      <c r="F67" s="1311">
        <v>0</v>
      </c>
    </row>
    <row r="68" spans="1:6">
      <c r="A68" s="1305" t="s">
        <v>55</v>
      </c>
      <c r="B68" s="1305" t="s">
        <v>59</v>
      </c>
      <c r="C68" s="1313">
        <v>6</v>
      </c>
      <c r="D68" s="1313">
        <v>107837.007</v>
      </c>
      <c r="E68" s="1313">
        <v>13</v>
      </c>
      <c r="F68" s="1313">
        <v>224547.34299999999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114236398</v>
      </c>
      <c r="E73" s="445"/>
      <c r="F73" s="326"/>
    </row>
    <row r="74" spans="1:6">
      <c r="A74" s="1310" t="s">
        <v>63</v>
      </c>
      <c r="B74" s="1310" t="s">
        <v>632</v>
      </c>
      <c r="C74" s="1323" t="s">
        <v>634</v>
      </c>
      <c r="D74" s="1311">
        <v>10252689.524186563</v>
      </c>
      <c r="E74" s="445"/>
      <c r="F74" s="326"/>
    </row>
    <row r="75" spans="1:6">
      <c r="A75" s="1310" t="s">
        <v>64</v>
      </c>
      <c r="B75" s="1310" t="s">
        <v>631</v>
      </c>
      <c r="C75" s="1323" t="s">
        <v>635</v>
      </c>
      <c r="D75" s="1311">
        <v>33005540</v>
      </c>
      <c r="E75" s="445"/>
      <c r="F75" s="326"/>
    </row>
    <row r="76" spans="1:6">
      <c r="A76" s="1310" t="s">
        <v>64</v>
      </c>
      <c r="B76" s="1310" t="s">
        <v>632</v>
      </c>
      <c r="C76" s="1323" t="s">
        <v>636</v>
      </c>
      <c r="D76" s="1311">
        <v>23798.5</v>
      </c>
      <c r="E76" s="445"/>
      <c r="F76" s="326"/>
    </row>
    <row r="77" spans="1:6">
      <c r="A77" s="1310" t="s">
        <v>65</v>
      </c>
      <c r="B77" s="1310" t="s">
        <v>631</v>
      </c>
      <c r="C77" s="1323" t="s">
        <v>637</v>
      </c>
      <c r="D77" s="1311">
        <v>75191396</v>
      </c>
      <c r="E77" s="445"/>
      <c r="F77" s="326"/>
    </row>
    <row r="78" spans="1:6">
      <c r="A78" s="1305" t="s">
        <v>65</v>
      </c>
      <c r="B78" s="1305" t="s">
        <v>632</v>
      </c>
      <c r="C78" s="1305" t="s">
        <v>638</v>
      </c>
      <c r="D78" s="1313">
        <v>9799408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992026.95162687497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9368.1298789719967</v>
      </c>
      <c r="C91" s="326"/>
      <c r="D91" s="326"/>
      <c r="E91" s="326"/>
      <c r="F91" s="326"/>
    </row>
    <row r="92" spans="1:6">
      <c r="A92" s="1305" t="s">
        <v>68</v>
      </c>
      <c r="B92" s="1306">
        <v>2743.9559096870994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1118</v>
      </c>
      <c r="C97" s="326"/>
      <c r="D97" s="326"/>
      <c r="E97" s="326"/>
      <c r="F97" s="326"/>
    </row>
    <row r="98" spans="1:6">
      <c r="A98" s="1310" t="s">
        <v>71</v>
      </c>
      <c r="B98" s="1311">
        <v>3</v>
      </c>
      <c r="C98" s="326"/>
      <c r="D98" s="326"/>
      <c r="E98" s="326"/>
      <c r="F98" s="326"/>
    </row>
    <row r="99" spans="1:6">
      <c r="A99" s="1310" t="s">
        <v>72</v>
      </c>
      <c r="B99" s="1311">
        <v>35</v>
      </c>
      <c r="C99" s="326"/>
      <c r="D99" s="326"/>
      <c r="E99" s="326"/>
      <c r="F99" s="326"/>
    </row>
    <row r="100" spans="1:6">
      <c r="A100" s="1310" t="s">
        <v>73</v>
      </c>
      <c r="B100" s="1311">
        <v>338</v>
      </c>
      <c r="C100" s="326"/>
      <c r="D100" s="326"/>
      <c r="E100" s="326"/>
      <c r="F100" s="326"/>
    </row>
    <row r="101" spans="1:6">
      <c r="A101" s="1310" t="s">
        <v>74</v>
      </c>
      <c r="B101" s="1311">
        <v>82</v>
      </c>
      <c r="C101" s="326"/>
      <c r="D101" s="326"/>
      <c r="E101" s="326"/>
      <c r="F101" s="326"/>
    </row>
    <row r="102" spans="1:6">
      <c r="A102" s="1310" t="s">
        <v>75</v>
      </c>
      <c r="B102" s="1311">
        <v>67</v>
      </c>
      <c r="C102" s="326"/>
      <c r="D102" s="326"/>
      <c r="E102" s="326"/>
      <c r="F102" s="326"/>
    </row>
    <row r="103" spans="1:6">
      <c r="A103" s="1310" t="s">
        <v>76</v>
      </c>
      <c r="B103" s="1311">
        <v>126</v>
      </c>
      <c r="C103" s="326"/>
      <c r="D103" s="326"/>
      <c r="E103" s="326"/>
      <c r="F103" s="326"/>
    </row>
    <row r="104" spans="1:6">
      <c r="A104" s="1310" t="s">
        <v>77</v>
      </c>
      <c r="B104" s="1311">
        <v>4617</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1</v>
      </c>
      <c r="C122" s="1311">
        <v>0</v>
      </c>
      <c r="D122" s="326"/>
      <c r="E122" s="326"/>
      <c r="F122" s="326"/>
    </row>
    <row r="123" spans="1:6">
      <c r="A123" s="1310" t="s">
        <v>87</v>
      </c>
      <c r="B123" s="1311">
        <v>107</v>
      </c>
      <c r="C123" s="1311">
        <v>84</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234</v>
      </c>
      <c r="C129" s="326"/>
      <c r="D129" s="326"/>
      <c r="E129" s="326"/>
      <c r="F129" s="326"/>
    </row>
    <row r="130" spans="1:6">
      <c r="A130" s="1310" t="s">
        <v>284</v>
      </c>
      <c r="B130" s="1311">
        <v>6</v>
      </c>
      <c r="C130" s="326"/>
      <c r="D130" s="326"/>
      <c r="E130" s="326"/>
      <c r="F130" s="326"/>
    </row>
    <row r="131" spans="1:6">
      <c r="A131" s="1310" t="s">
        <v>285</v>
      </c>
      <c r="B131" s="1311">
        <v>3</v>
      </c>
      <c r="C131" s="326"/>
      <c r="D131" s="326"/>
      <c r="E131" s="326"/>
      <c r="F131" s="326"/>
    </row>
    <row r="132" spans="1:6">
      <c r="A132" s="1305" t="s">
        <v>286</v>
      </c>
      <c r="B132" s="1306">
        <v>66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72622.25729648945</v>
      </c>
      <c r="C3" s="43" t="s">
        <v>163</v>
      </c>
      <c r="D3" s="43"/>
      <c r="E3" s="154"/>
      <c r="F3" s="43"/>
      <c r="G3" s="43"/>
      <c r="H3" s="43"/>
      <c r="I3" s="43"/>
      <c r="J3" s="43"/>
      <c r="K3" s="96"/>
    </row>
    <row r="4" spans="1:11">
      <c r="A4" s="352" t="s">
        <v>164</v>
      </c>
      <c r="B4" s="49">
        <f>IF(ISERROR('SEAP template'!B78+'SEAP template'!C78),0,'SEAP template'!B78+'SEAP template'!C78)</f>
        <v>12337.085788659097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53.470588235294116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0.18419275287539733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76.386554621848759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321.42857142857144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799.44471099999998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799.44471099999998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0.18419275287539733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147.25192209076644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24337.912480999999</v>
      </c>
      <c r="C5" s="17">
        <f>IF(ISERROR('Eigen informatie GS &amp; warmtenet'!B59),0,'Eigen informatie GS &amp; warmtenet'!B59)</f>
        <v>0</v>
      </c>
      <c r="D5" s="30">
        <f>(SUM(HH_hh_gas_kWh,HH_rest_gas_kWh)/1000)*0.903</f>
        <v>57358.728497994001</v>
      </c>
      <c r="E5" s="17">
        <f>B32*B41</f>
        <v>2252.0061950626327</v>
      </c>
      <c r="F5" s="17">
        <f>B36*B45</f>
        <v>49333.810793235622</v>
      </c>
      <c r="G5" s="18"/>
      <c r="H5" s="17"/>
      <c r="I5" s="17"/>
      <c r="J5" s="17">
        <f>B35*B44+C35*C44</f>
        <v>281.15878353494492</v>
      </c>
      <c r="K5" s="17"/>
      <c r="L5" s="17"/>
      <c r="M5" s="17"/>
      <c r="N5" s="17">
        <f>B34*B43+C34*C43</f>
        <v>10825.779825411821</v>
      </c>
      <c r="O5" s="17">
        <f>B52*B53*B54</f>
        <v>632.88267198446317</v>
      </c>
      <c r="P5" s="17">
        <f>B60*B61*B62/1000-B60*B61*B62/1000/B63</f>
        <v>1832.9089195371939</v>
      </c>
    </row>
    <row r="6" spans="1:16">
      <c r="A6" s="16" t="s">
        <v>597</v>
      </c>
      <c r="B6" s="778">
        <f>kWh_PV_kleiner_dan_10kW</f>
        <v>9368.1298789719967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33706.042359971994</v>
      </c>
      <c r="C8" s="21">
        <f>C5</f>
        <v>0</v>
      </c>
      <c r="D8" s="21">
        <f>D5</f>
        <v>57358.728497994001</v>
      </c>
      <c r="E8" s="21">
        <f>E5</f>
        <v>2252.0061950626327</v>
      </c>
      <c r="F8" s="21">
        <f>F5</f>
        <v>49333.810793235622</v>
      </c>
      <c r="G8" s="21"/>
      <c r="H8" s="21"/>
      <c r="I8" s="21"/>
      <c r="J8" s="21">
        <f>J5</f>
        <v>281.15878353494492</v>
      </c>
      <c r="K8" s="21"/>
      <c r="L8" s="21">
        <f>L5</f>
        <v>0</v>
      </c>
      <c r="M8" s="21">
        <f>M5</f>
        <v>0</v>
      </c>
      <c r="N8" s="21">
        <f>N5</f>
        <v>10825.779825411821</v>
      </c>
      <c r="O8" s="21">
        <f>O5</f>
        <v>632.88267198446317</v>
      </c>
      <c r="P8" s="21">
        <f>P5</f>
        <v>1832.9089195371939</v>
      </c>
    </row>
    <row r="9" spans="1:16">
      <c r="B9" s="19"/>
      <c r="C9" s="19"/>
      <c r="D9" s="254"/>
      <c r="E9" s="19"/>
      <c r="F9" s="19"/>
      <c r="G9" s="19"/>
      <c r="H9" s="19"/>
      <c r="I9" s="19"/>
      <c r="J9" s="19"/>
      <c r="K9" s="19"/>
      <c r="L9" s="19"/>
      <c r="M9" s="19"/>
      <c r="N9" s="19"/>
      <c r="O9" s="19"/>
      <c r="P9" s="19"/>
    </row>
    <row r="10" spans="1:16">
      <c r="A10" s="24" t="s">
        <v>207</v>
      </c>
      <c r="B10" s="25">
        <f ca="1">'EF ele_warmte'!B12</f>
        <v>0.18419275287539733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6208.408730817996</v>
      </c>
      <c r="C12" s="23">
        <f ca="1">C10*C8</f>
        <v>0</v>
      </c>
      <c r="D12" s="23">
        <f>D8*D10</f>
        <v>11586.463156594789</v>
      </c>
      <c r="E12" s="23">
        <f>E10*E8</f>
        <v>511.20540627921764</v>
      </c>
      <c r="F12" s="23">
        <f>F10*F8</f>
        <v>13172.127481793912</v>
      </c>
      <c r="G12" s="23"/>
      <c r="H12" s="23"/>
      <c r="I12" s="23"/>
      <c r="J12" s="23">
        <f>J10*J8</f>
        <v>99.530209371370489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7992</v>
      </c>
      <c r="C26" s="36"/>
      <c r="D26" s="225"/>
    </row>
    <row r="27" spans="1:5" s="15" customFormat="1">
      <c r="A27" s="227" t="s">
        <v>860</v>
      </c>
      <c r="B27" s="37">
        <f>SUM(HH_hh_gas_aantal,HH_rest_gas_aantal)</f>
        <v>4495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4270.25</v>
      </c>
      <c r="C31" s="34" t="s">
        <v>104</v>
      </c>
      <c r="D31" s="171"/>
    </row>
    <row r="32" spans="1:5">
      <c r="A32" s="168" t="s">
        <v>72</v>
      </c>
      <c r="B32" s="33">
        <f>IF((B21*($B$26-($B$27-0.05*$B$27)-$B$60))&lt;0,0,(B21*($B$26-($B$27-0.05*$B$27)-$B$60)))</f>
        <v>56.321236166406827</v>
      </c>
      <c r="C32" s="34" t="s">
        <v>104</v>
      </c>
      <c r="D32" s="171"/>
    </row>
    <row r="33" spans="1:6">
      <c r="A33" s="168" t="s">
        <v>73</v>
      </c>
      <c r="B33" s="33">
        <f>IF((B22*($B$26-($B$27-0.05*$B$27)-$B$60))&lt;0,0,B22*($B$26-($B$27-0.05*$B$27)-$B$60))</f>
        <v>914.54532990990901</v>
      </c>
      <c r="C33" s="34" t="s">
        <v>104</v>
      </c>
      <c r="D33" s="171"/>
    </row>
    <row r="34" spans="1:6">
      <c r="A34" s="168" t="s">
        <v>74</v>
      </c>
      <c r="B34" s="33">
        <f>IF((B24*($B$26-($B$27-0.05*$B$27)-$B$60))&lt;0,0,B24*($B$26-($B$27-0.05*$B$27)-$B$60))</f>
        <v>175.33057861377117</v>
      </c>
      <c r="C34" s="33">
        <f>B26*C24</f>
        <v>1637.6082709339009</v>
      </c>
      <c r="D34" s="230"/>
    </row>
    <row r="35" spans="1:6">
      <c r="A35" s="168" t="s">
        <v>76</v>
      </c>
      <c r="B35" s="33">
        <f>IF((B19*($B$26-($B$27-0.05*$B$27)-$B$60))&lt;0,0,B19*($B$26-($B$27-0.05*$B$27)-$B$60))</f>
        <v>24.482707088034772</v>
      </c>
      <c r="C35" s="33">
        <f>B35/2</f>
        <v>12.241353544017386</v>
      </c>
      <c r="D35" s="230"/>
    </row>
    <row r="36" spans="1:6">
      <c r="A36" s="168" t="s">
        <v>77</v>
      </c>
      <c r="B36" s="33">
        <f>IF((B18*($B$26-($B$27-0.05*$B$27)-$B$60))&lt;0,0,B18*($B$26-($B$27-0.05*$B$27)-$B$60))</f>
        <v>2377.0701482218774</v>
      </c>
      <c r="C36" s="34" t="s">
        <v>104</v>
      </c>
      <c r="D36" s="171"/>
    </row>
    <row r="37" spans="1:6">
      <c r="A37" s="168" t="s">
        <v>78</v>
      </c>
      <c r="B37" s="33">
        <f>B60</f>
        <v>174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319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174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22540.406007999998</v>
      </c>
      <c r="C5" s="17">
        <f>IF(ISERROR('Eigen informatie GS &amp; warmtenet'!B60),0,'Eigen informatie GS &amp; warmtenet'!B60)</f>
        <v>0</v>
      </c>
      <c r="D5" s="30">
        <f>SUM(D6:D12)</f>
        <v>29900.762656716</v>
      </c>
      <c r="E5" s="17">
        <f>SUM(E6:E12)</f>
        <v>73.940093023481339</v>
      </c>
      <c r="F5" s="17">
        <f>SUM(F6:F12)</f>
        <v>3494.0283867949679</v>
      </c>
      <c r="G5" s="18"/>
      <c r="H5" s="17"/>
      <c r="I5" s="17"/>
      <c r="J5" s="17">
        <f>SUM(J6:J12)</f>
        <v>2.1396971829796184E-2</v>
      </c>
      <c r="K5" s="17"/>
      <c r="L5" s="17"/>
      <c r="M5" s="17"/>
      <c r="N5" s="17">
        <f>SUM(N6:N12)</f>
        <v>846.48346597323336</v>
      </c>
      <c r="O5" s="17">
        <f>B38*B39*B40</f>
        <v>29.383564595046927</v>
      </c>
      <c r="P5" s="17">
        <f>B46*B47*B48/1000-B46*B47*B48/1000/B49</f>
        <v>315.23482983897009</v>
      </c>
      <c r="R5" s="32"/>
    </row>
    <row r="6" spans="1:18">
      <c r="A6" s="32" t="s">
        <v>53</v>
      </c>
      <c r="B6" s="37">
        <f>B26</f>
        <v>5534.988625</v>
      </c>
      <c r="C6" s="33"/>
      <c r="D6" s="37">
        <f>IF(ISERROR(TER_kantoor_gas_kWh/1000),0,TER_kantoor_gas_kWh/1000)*0.903</f>
        <v>5537.585853996</v>
      </c>
      <c r="E6" s="33">
        <f>$C$26*'E Balans VL '!I12/100/3.6*1000000</f>
        <v>1.3188246473316172</v>
      </c>
      <c r="F6" s="33">
        <f>$C$26*('E Balans VL '!L12+'E Balans VL '!N12)/100/3.6*1000000</f>
        <v>480.76798365425464</v>
      </c>
      <c r="G6" s="34"/>
      <c r="H6" s="33"/>
      <c r="I6" s="33"/>
      <c r="J6" s="33">
        <f>$C$26*('E Balans VL '!D12+'E Balans VL '!E12)/100/3.6*1000000</f>
        <v>0</v>
      </c>
      <c r="K6" s="33"/>
      <c r="L6" s="33"/>
      <c r="M6" s="33"/>
      <c r="N6" s="33">
        <f>$C$26*'E Balans VL '!Y12/100/3.6*1000000</f>
        <v>7.3982866433228835</v>
      </c>
      <c r="O6" s="33"/>
      <c r="P6" s="33"/>
      <c r="R6" s="32"/>
    </row>
    <row r="7" spans="1:18">
      <c r="A7" s="32" t="s">
        <v>52</v>
      </c>
      <c r="B7" s="37">
        <f t="shared" ref="B7:B12" si="0">B27</f>
        <v>2101.7000819999998</v>
      </c>
      <c r="C7" s="33"/>
      <c r="D7" s="37">
        <f>IF(ISERROR(TER_horeca_gas_kWh/1000),0,TER_horeca_gas_kWh/1000)*0.903</f>
        <v>3368.7375629460003</v>
      </c>
      <c r="E7" s="33">
        <f>$C$27*'E Balans VL '!I9/100/3.6*1000000</f>
        <v>0</v>
      </c>
      <c r="F7" s="33">
        <f>$C$27*('E Balans VL '!L9+'E Balans VL '!N9)/100/3.6*1000000</f>
        <v>171.25052134474052</v>
      </c>
      <c r="G7" s="34"/>
      <c r="H7" s="33"/>
      <c r="I7" s="33"/>
      <c r="J7" s="33">
        <f>$C$27*('E Balans VL '!D9+'E Balans VL '!E9)/100/3.6*1000000</f>
        <v>0</v>
      </c>
      <c r="K7" s="33"/>
      <c r="L7" s="33"/>
      <c r="M7" s="33"/>
      <c r="N7" s="33">
        <f>$C$27*'E Balans VL '!Y9/100/3.6*1000000</f>
        <v>0.58213179462635445</v>
      </c>
      <c r="O7" s="33"/>
      <c r="P7" s="33"/>
      <c r="R7" s="32"/>
    </row>
    <row r="8" spans="1:18">
      <c r="A8" s="6" t="s">
        <v>51</v>
      </c>
      <c r="B8" s="37">
        <f t="shared" si="0"/>
        <v>5653.7993349999997</v>
      </c>
      <c r="C8" s="33"/>
      <c r="D8" s="37">
        <f>IF(ISERROR(TER_handel_gas_kWh/1000),0,TER_handel_gas_kWh/1000)*0.903</f>
        <v>3051.5587470269998</v>
      </c>
      <c r="E8" s="33">
        <f>$C$28*'E Balans VL '!I13/100/3.6*1000000</f>
        <v>45.194292901921308</v>
      </c>
      <c r="F8" s="33">
        <f>$C$28*('E Balans VL '!L13+'E Balans VL '!N13)/100/3.6*1000000</f>
        <v>561.66981786499275</v>
      </c>
      <c r="G8" s="34"/>
      <c r="H8" s="33"/>
      <c r="I8" s="33"/>
      <c r="J8" s="33">
        <f>$C$28*('E Balans VL '!D13+'E Balans VL '!E13)/100/3.6*1000000</f>
        <v>0</v>
      </c>
      <c r="K8" s="33"/>
      <c r="L8" s="33"/>
      <c r="M8" s="33"/>
      <c r="N8" s="33">
        <f>$C$28*'E Balans VL '!Y13/100/3.6*1000000</f>
        <v>2.1120305881599677</v>
      </c>
      <c r="O8" s="33"/>
      <c r="P8" s="33"/>
      <c r="R8" s="32"/>
    </row>
    <row r="9" spans="1:18">
      <c r="A9" s="32" t="s">
        <v>50</v>
      </c>
      <c r="B9" s="37">
        <f t="shared" si="0"/>
        <v>1164.7081470000001</v>
      </c>
      <c r="C9" s="33"/>
      <c r="D9" s="37">
        <f>IF(ISERROR(TER_gezond_gas_kWh/1000),0,TER_gezond_gas_kWh/1000)*0.903</f>
        <v>1719.658308627</v>
      </c>
      <c r="E9" s="33">
        <f>$C$29*'E Balans VL '!I10/100/3.6*1000000</f>
        <v>0</v>
      </c>
      <c r="F9" s="33">
        <f>$C$29*('E Balans VL '!L10+'E Balans VL '!N10)/100/3.6*1000000</f>
        <v>106.18212732970356</v>
      </c>
      <c r="G9" s="34"/>
      <c r="H9" s="33"/>
      <c r="I9" s="33"/>
      <c r="J9" s="33">
        <f>$C$29*('E Balans VL '!D10+'E Balans VL '!E10)/100/3.6*1000000</f>
        <v>0</v>
      </c>
      <c r="K9" s="33"/>
      <c r="L9" s="33"/>
      <c r="M9" s="33"/>
      <c r="N9" s="33">
        <f>$C$29*'E Balans VL '!Y10/100/3.6*1000000</f>
        <v>8.5129727896660388</v>
      </c>
      <c r="O9" s="33"/>
      <c r="P9" s="33"/>
      <c r="R9" s="32"/>
    </row>
    <row r="10" spans="1:18">
      <c r="A10" s="32" t="s">
        <v>49</v>
      </c>
      <c r="B10" s="37">
        <f t="shared" si="0"/>
        <v>2115.5435739999998</v>
      </c>
      <c r="C10" s="33"/>
      <c r="D10" s="37">
        <f>IF(ISERROR(TER_ander_gas_kWh/1000),0,TER_ander_gas_kWh/1000)*0.903</f>
        <v>3275.8694372670002</v>
      </c>
      <c r="E10" s="33">
        <f>$C$30*'E Balans VL '!I14/100/3.6*1000000</f>
        <v>27.426975474228414</v>
      </c>
      <c r="F10" s="33">
        <f>$C$30*('E Balans VL '!L14+'E Balans VL '!N14)/100/3.6*1000000</f>
        <v>1940.2504853155212</v>
      </c>
      <c r="G10" s="34"/>
      <c r="H10" s="33"/>
      <c r="I10" s="33"/>
      <c r="J10" s="33">
        <f>$C$30*('E Balans VL '!D14+'E Balans VL '!E14)/100/3.6*1000000</f>
        <v>2.1396971829796184E-2</v>
      </c>
      <c r="K10" s="33"/>
      <c r="L10" s="33"/>
      <c r="M10" s="33"/>
      <c r="N10" s="33">
        <f>$C$30*'E Balans VL '!Y14/100/3.6*1000000</f>
        <v>809.07809020964135</v>
      </c>
      <c r="O10" s="33"/>
      <c r="P10" s="33"/>
      <c r="R10" s="32"/>
    </row>
    <row r="11" spans="1:18">
      <c r="A11" s="32" t="s">
        <v>54</v>
      </c>
      <c r="B11" s="37">
        <f t="shared" si="0"/>
        <v>5969.6662450000003</v>
      </c>
      <c r="C11" s="33"/>
      <c r="D11" s="37">
        <f>IF(ISERROR(TER_onderwijs_gas_kWh/1000),0,TER_onderwijs_gas_kWh/1000)*0.903</f>
        <v>12947.352746853001</v>
      </c>
      <c r="E11" s="33">
        <f>$C$31*'E Balans VL '!I11/100/3.6*1000000</f>
        <v>0</v>
      </c>
      <c r="F11" s="33">
        <f>$C$31*('E Balans VL '!L11+'E Balans VL '!N11)/100/3.6*1000000</f>
        <v>233.9074512857554</v>
      </c>
      <c r="G11" s="34"/>
      <c r="H11" s="33"/>
      <c r="I11" s="33"/>
      <c r="J11" s="33">
        <f>$C$31*('E Balans VL '!D11+'E Balans VL '!E11)/100/3.6*1000000</f>
        <v>0</v>
      </c>
      <c r="K11" s="33"/>
      <c r="L11" s="33"/>
      <c r="M11" s="33"/>
      <c r="N11" s="33">
        <f>$C$31*'E Balans VL '!Y11/100/3.6*1000000</f>
        <v>18.799953947816793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22765.406007999998</v>
      </c>
      <c r="C16" s="21">
        <f t="shared" ca="1" si="1"/>
        <v>321.42857142857144</v>
      </c>
      <c r="D16" s="21">
        <f t="shared" ca="1" si="1"/>
        <v>29257.905513858859</v>
      </c>
      <c r="E16" s="21">
        <f t="shared" si="1"/>
        <v>73.940093023481339</v>
      </c>
      <c r="F16" s="21">
        <f t="shared" ca="1" si="1"/>
        <v>3494.0283867949679</v>
      </c>
      <c r="G16" s="21">
        <f t="shared" si="1"/>
        <v>0</v>
      </c>
      <c r="H16" s="21">
        <f t="shared" si="1"/>
        <v>0</v>
      </c>
      <c r="I16" s="21">
        <f t="shared" si="1"/>
        <v>0</v>
      </c>
      <c r="J16" s="21">
        <f t="shared" si="1"/>
        <v>2.1396971829796184E-2</v>
      </c>
      <c r="K16" s="21">
        <f t="shared" si="1"/>
        <v>0</v>
      </c>
      <c r="L16" s="21">
        <f t="shared" ca="1" si="1"/>
        <v>0</v>
      </c>
      <c r="M16" s="21">
        <f t="shared" si="1"/>
        <v>0</v>
      </c>
      <c r="N16" s="21">
        <f t="shared" ca="1" si="1"/>
        <v>846.48346597323336</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0.18419275287539733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4193.2228029396292</v>
      </c>
      <c r="C20" s="23">
        <f t="shared" ref="C20:P20" ca="1" si="2">C16*C18</f>
        <v>76.386554621848759</v>
      </c>
      <c r="D20" s="23">
        <f t="shared" ca="1" si="2"/>
        <v>5910.0969137994898</v>
      </c>
      <c r="E20" s="23">
        <f t="shared" si="2"/>
        <v>16.784401116330265</v>
      </c>
      <c r="F20" s="23">
        <f t="shared" ca="1" si="2"/>
        <v>932.90557927425652</v>
      </c>
      <c r="G20" s="23">
        <f t="shared" si="2"/>
        <v>0</v>
      </c>
      <c r="H20" s="23">
        <f t="shared" si="2"/>
        <v>0</v>
      </c>
      <c r="I20" s="23">
        <f t="shared" si="2"/>
        <v>0</v>
      </c>
      <c r="J20" s="23">
        <f t="shared" si="2"/>
        <v>7.5745280277478488E-3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5534.988625</v>
      </c>
      <c r="C26" s="39">
        <f>IF(ISERROR(B26*3.6/1000000/'E Balans VL '!Z12*100),0,B26*3.6/1000000/'E Balans VL '!Z12*100)</f>
        <v>0.15879830278055684</v>
      </c>
      <c r="D26" s="233" t="s">
        <v>835</v>
      </c>
      <c r="F26" s="6"/>
    </row>
    <row r="27" spans="1:18" ht="30">
      <c r="A27" s="228" t="s">
        <v>52</v>
      </c>
      <c r="B27" s="33">
        <f>IF(ISERROR(TER_horeca_ele_kWh/1000),0,TER_horeca_ele_kWh/1000)</f>
        <v>2101.7000819999998</v>
      </c>
      <c r="C27" s="39">
        <f>IF(ISERROR(B27*3.6/1000000/'E Balans VL '!Z9*100),0,B27*3.6/1000000/'E Balans VL '!Z9*100)</f>
        <v>0.15397129208388557</v>
      </c>
      <c r="D27" s="233" t="s">
        <v>835</v>
      </c>
      <c r="F27" s="6"/>
    </row>
    <row r="28" spans="1:18" ht="30">
      <c r="A28" s="168" t="s">
        <v>51</v>
      </c>
      <c r="B28" s="33">
        <f>IF(ISERROR(TER_handel_ele_kWh/1000),0,TER_handel_ele_kWh/1000)</f>
        <v>5653.7993349999997</v>
      </c>
      <c r="C28" s="39">
        <f>IF(ISERROR(B28*3.6/1000000/'E Balans VL '!Z13*100),0,B28*3.6/1000000/'E Balans VL '!Z13*100)</f>
        <v>0.17470716815610651</v>
      </c>
      <c r="D28" s="233" t="s">
        <v>835</v>
      </c>
      <c r="F28" s="6"/>
    </row>
    <row r="29" spans="1:18" ht="30">
      <c r="A29" s="228" t="s">
        <v>50</v>
      </c>
      <c r="B29" s="33">
        <f>IF(ISERROR(TER_gezond_ele_kWh/1000),0,TER_gezond_ele_kWh/1000)</f>
        <v>1164.7081470000001</v>
      </c>
      <c r="C29" s="39">
        <f>IF(ISERROR(B29*3.6/1000000/'E Balans VL '!Z10*100),0,B29*3.6/1000000/'E Balans VL '!Z10*100)</f>
        <v>0.11414856014398259</v>
      </c>
      <c r="D29" s="233" t="s">
        <v>835</v>
      </c>
      <c r="F29" s="6"/>
    </row>
    <row r="30" spans="1:18" ht="30">
      <c r="A30" s="228" t="s">
        <v>49</v>
      </c>
      <c r="B30" s="33">
        <f>IF(ISERROR(TER_ander_ele_kWh/1000),0,TER_ander_ele_kWh/1000)</f>
        <v>2115.5435739999998</v>
      </c>
      <c r="C30" s="39">
        <f>IF(ISERROR(B30*3.6/1000000/'E Balans VL '!Z14*100),0,B30*3.6/1000000/'E Balans VL '!Z14*100)</f>
        <v>8.7632649132271048E-2</v>
      </c>
      <c r="D30" s="233" t="s">
        <v>835</v>
      </c>
      <c r="F30" s="6"/>
    </row>
    <row r="31" spans="1:18" ht="30">
      <c r="A31" s="228" t="s">
        <v>54</v>
      </c>
      <c r="B31" s="33">
        <f>IF(ISERROR(TER_onderwijs_ele_kWh/1000),0,TER_onderwijs_ele_kWh/1000)</f>
        <v>5969.6662450000003</v>
      </c>
      <c r="C31" s="39">
        <f>IF(ISERROR(B31*3.6/1000000/'E Balans VL '!Z11*100),0,B31*3.6/1000000/'E Balans VL '!Z11*100)</f>
        <v>1.8342969435936167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13322.157622999997</v>
      </c>
      <c r="C5" s="17">
        <f>IF(ISERROR('Eigen informatie GS &amp; warmtenet'!B61),0,'Eigen informatie GS &amp; warmtenet'!B61)</f>
        <v>0</v>
      </c>
      <c r="D5" s="30">
        <f>SUM(D6:D15)</f>
        <v>11143.027954526999</v>
      </c>
      <c r="E5" s="17">
        <f>SUM(E6:E15)</f>
        <v>52.272523927130713</v>
      </c>
      <c r="F5" s="17">
        <f>SUM(F6:F15)</f>
        <v>5795.9648805686165</v>
      </c>
      <c r="G5" s="18"/>
      <c r="H5" s="17"/>
      <c r="I5" s="17"/>
      <c r="J5" s="17">
        <f>SUM(J6:J15)</f>
        <v>2.7498914722393848</v>
      </c>
      <c r="K5" s="17"/>
      <c r="L5" s="17"/>
      <c r="M5" s="17"/>
      <c r="N5" s="17">
        <f>SUM(N6:N15)</f>
        <v>485.18724519598118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2717.3205099999996</v>
      </c>
      <c r="C8" s="33"/>
      <c r="D8" s="37">
        <f>IF( ISERROR(IND_metaal_Gas_kWH/1000),0,IND_metaal_Gas_kWH/1000)*0.903</f>
        <v>0</v>
      </c>
      <c r="E8" s="33">
        <f>C30*'E Balans VL '!I18/100/3.6*1000000</f>
        <v>14.812537886447412</v>
      </c>
      <c r="F8" s="33">
        <f>C30*'E Balans VL '!L18/100/3.6*1000000+C30*'E Balans VL '!N18/100/3.6*1000000</f>
        <v>174.99564840028145</v>
      </c>
      <c r="G8" s="34"/>
      <c r="H8" s="33"/>
      <c r="I8" s="33"/>
      <c r="J8" s="40">
        <f>C30*'E Balans VL '!D18/100/3.6*1000000+C30*'E Balans VL '!E18/100/3.6*1000000</f>
        <v>2.2258169521198687</v>
      </c>
      <c r="K8" s="33"/>
      <c r="L8" s="33"/>
      <c r="M8" s="33"/>
      <c r="N8" s="33">
        <f>C30*'E Balans VL '!Y18/100/3.6*1000000</f>
        <v>58.705914021587539</v>
      </c>
      <c r="O8" s="33"/>
      <c r="P8" s="33"/>
      <c r="R8" s="32"/>
    </row>
    <row r="9" spans="1:18">
      <c r="A9" s="6" t="s">
        <v>32</v>
      </c>
      <c r="B9" s="37">
        <f t="shared" si="0"/>
        <v>8613.1333029999987</v>
      </c>
      <c r="C9" s="33"/>
      <c r="D9" s="37">
        <f>IF( ISERROR(IND_andere_gas_kWh/1000),0,IND_andere_gas_kWh/1000)*0.903</f>
        <v>3487.6506295680001</v>
      </c>
      <c r="E9" s="33">
        <f>C31*'E Balans VL '!I19/100/3.6*1000000</f>
        <v>27.804661123471284</v>
      </c>
      <c r="F9" s="33">
        <f>C31*'E Balans VL '!L19/100/3.6*1000000+C31*'E Balans VL '!N19/100/3.6*1000000</f>
        <v>5569.3196073452364</v>
      </c>
      <c r="G9" s="34"/>
      <c r="H9" s="33"/>
      <c r="I9" s="33"/>
      <c r="J9" s="40">
        <f>C31*'E Balans VL '!D19/100/3.6*1000000+C31*'E Balans VL '!E19/100/3.6*1000000</f>
        <v>0</v>
      </c>
      <c r="K9" s="33"/>
      <c r="L9" s="33"/>
      <c r="M9" s="33"/>
      <c r="N9" s="33">
        <f>C31*'E Balans VL '!Y19/100/3.6*1000000</f>
        <v>348.04676773273496</v>
      </c>
      <c r="O9" s="33"/>
      <c r="P9" s="33"/>
      <c r="R9" s="32"/>
    </row>
    <row r="10" spans="1:18">
      <c r="A10" s="6" t="s">
        <v>40</v>
      </c>
      <c r="B10" s="37">
        <f t="shared" si="0"/>
        <v>1895.1805939999999</v>
      </c>
      <c r="C10" s="33"/>
      <c r="D10" s="37">
        <f>IF( ISERROR(IND_voed_gas_kWh/1000),0,IND_voed_gas_kWh/1000)*0.903</f>
        <v>2984.079114702</v>
      </c>
      <c r="E10" s="33">
        <f>C32*'E Balans VL '!I20/100/3.6*1000000</f>
        <v>3.9727629836777751</v>
      </c>
      <c r="F10" s="33">
        <f>C32*'E Balans VL '!L20/100/3.6*1000000+C32*'E Balans VL '!N20/100/3.6*1000000</f>
        <v>36.924667482441855</v>
      </c>
      <c r="G10" s="34"/>
      <c r="H10" s="33"/>
      <c r="I10" s="33"/>
      <c r="J10" s="40">
        <f>C32*'E Balans VL '!D20/100/3.6*1000000+C32*'E Balans VL '!E20/100/3.6*1000000</f>
        <v>0</v>
      </c>
      <c r="K10" s="33"/>
      <c r="L10" s="33"/>
      <c r="M10" s="33"/>
      <c r="N10" s="33">
        <f>C32*'E Balans VL '!Y20/100/3.6*1000000</f>
        <v>75.385029818667107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96.523215999999991</v>
      </c>
      <c r="C15" s="33"/>
      <c r="D15" s="37">
        <f>IF( ISERROR(IND_rest_gas_kWh/1000),0,IND_rest_gas_kWh/1000)*0.903</f>
        <v>4671.2982102569995</v>
      </c>
      <c r="E15" s="33">
        <f>C37*'E Balans VL '!I15/100/3.6*1000000</f>
        <v>5.6825619335342443</v>
      </c>
      <c r="F15" s="33">
        <f>C37*'E Balans VL '!L15/100/3.6*1000000+C37*'E Balans VL '!N15/100/3.6*1000000</f>
        <v>14.724957340656687</v>
      </c>
      <c r="G15" s="34"/>
      <c r="H15" s="33"/>
      <c r="I15" s="33"/>
      <c r="J15" s="40">
        <f>C37*'E Balans VL '!D15/100/3.6*1000000+C37*'E Balans VL '!E15/100/3.6*1000000</f>
        <v>0.52407452011951605</v>
      </c>
      <c r="K15" s="33"/>
      <c r="L15" s="33"/>
      <c r="M15" s="33"/>
      <c r="N15" s="33">
        <f>C37*'E Balans VL '!Y15/100/3.6*1000000</f>
        <v>3.0495336229916017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13322.157622999997</v>
      </c>
      <c r="C18" s="21">
        <f>C5+C16</f>
        <v>0</v>
      </c>
      <c r="D18" s="21">
        <f>MAX((D5+D16),0)</f>
        <v>11143.027954526999</v>
      </c>
      <c r="E18" s="21">
        <f>MAX((E5+E16),0)</f>
        <v>52.272523927130713</v>
      </c>
      <c r="F18" s="21">
        <f>MAX((F5+F16),0)</f>
        <v>5795.9648805686165</v>
      </c>
      <c r="G18" s="21"/>
      <c r="H18" s="21"/>
      <c r="I18" s="21"/>
      <c r="J18" s="21">
        <f>MAX((J5+J16),0)</f>
        <v>2.7498914722393848</v>
      </c>
      <c r="K18" s="21"/>
      <c r="L18" s="21">
        <f>MAX((L5+L16),0)</f>
        <v>0</v>
      </c>
      <c r="M18" s="21"/>
      <c r="N18" s="21">
        <f>MAX((N5+N16),0)</f>
        <v>485.18724519598118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0.18419275287539733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2453.8448868203291</v>
      </c>
      <c r="C22" s="23">
        <f ca="1">C18*C20</f>
        <v>0</v>
      </c>
      <c r="D22" s="23">
        <f>D18*D20</f>
        <v>2250.8916468144539</v>
      </c>
      <c r="E22" s="23">
        <f>E18*E20</f>
        <v>11.865862931458672</v>
      </c>
      <c r="F22" s="23">
        <f>F18*F20</f>
        <v>1547.5226231118206</v>
      </c>
      <c r="G22" s="23"/>
      <c r="H22" s="23"/>
      <c r="I22" s="23"/>
      <c r="J22" s="23">
        <f>J18*J20</f>
        <v>0.97346158117274217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2717.3205099999996</v>
      </c>
      <c r="C30" s="39">
        <f>IF(ISERROR(B30*3.6/1000000/'E Balans VL '!Z18*100),0,B30*3.6/1000000/'E Balans VL '!Z18*100)</f>
        <v>0.16362959010887385</v>
      </c>
      <c r="D30" s="233" t="s">
        <v>835</v>
      </c>
    </row>
    <row r="31" spans="1:18" ht="30">
      <c r="A31" s="6" t="s">
        <v>32</v>
      </c>
      <c r="B31" s="37">
        <f>IF( ISERROR(IND_ander_ele_kWh/1000),0,IND_ander_ele_kWh/1000)</f>
        <v>8613.1333029999987</v>
      </c>
      <c r="C31" s="39">
        <f>IF(ISERROR(B31*3.6/1000000/'E Balans VL '!Z19*100),0,B31*3.6/1000000/'E Balans VL '!Z19*100)</f>
        <v>0.35091688200219884</v>
      </c>
      <c r="D31" s="233" t="s">
        <v>835</v>
      </c>
    </row>
    <row r="32" spans="1:18" ht="30">
      <c r="A32" s="168" t="s">
        <v>40</v>
      </c>
      <c r="B32" s="37">
        <f>IF( ISERROR(IND_voed_ele_kWh/1000),0,IND_voed_ele_kWh/1000)</f>
        <v>1895.1805939999999</v>
      </c>
      <c r="C32" s="39">
        <f>IF(ISERROR(B32*3.6/1000000/'E Balans VL '!Z20*100),0,B32*3.6/1000000/'E Balans VL '!Z20*100)</f>
        <v>5.4797297749144158E-2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96.523215999999991</v>
      </c>
      <c r="C37" s="39">
        <f>IF(ISERROR(B37*3.6/1000000/'E Balans VL '!Z15*100),0,B37*3.6/1000000/'E Balans VL '!Z15*100)</f>
        <v>7.9252871212592173E-4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700.89091099999996</v>
      </c>
      <c r="C5" s="17">
        <f>'Eigen informatie GS &amp; warmtenet'!B62</f>
        <v>0</v>
      </c>
      <c r="D5" s="30">
        <f>IF(ISERROR(SUM(LB_lb_gas_kWh,LB_rest_gas_kWh)/1000),0,SUM(LB_lb_gas_kWh,LB_rest_gas_kWh)/1000)*0.903</f>
        <v>21.555107552999999</v>
      </c>
      <c r="E5" s="17">
        <f>B17*'E Balans VL '!I25/3.6*1000000/100</f>
        <v>20.07470181561645</v>
      </c>
      <c r="F5" s="17">
        <f>B17*('E Balans VL '!L25/3.6*1000000+'E Balans VL '!N25/3.6*1000000)/100</f>
        <v>2218.658570043629</v>
      </c>
      <c r="G5" s="18"/>
      <c r="H5" s="17"/>
      <c r="I5" s="17"/>
      <c r="J5" s="17">
        <f>('E Balans VL '!D25+'E Balans VL '!E25)/3.6*1000000*landbouw!B17/100</f>
        <v>178.21454901616571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700.89091099999996</v>
      </c>
      <c r="C8" s="21">
        <f>C5+C6</f>
        <v>0</v>
      </c>
      <c r="D8" s="21">
        <f>MAX((D5+D6),0)</f>
        <v>21.555107552999999</v>
      </c>
      <c r="E8" s="21">
        <f>MAX((E5+E6),0)</f>
        <v>20.07470181561645</v>
      </c>
      <c r="F8" s="21">
        <f>MAX((F5+F6),0)</f>
        <v>2218.658570043629</v>
      </c>
      <c r="G8" s="21"/>
      <c r="H8" s="21"/>
      <c r="I8" s="21"/>
      <c r="J8" s="21">
        <f>MAX((J5+J6),0)</f>
        <v>178.21454901616571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0.18419275287539733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129.0990263624351</v>
      </c>
      <c r="C12" s="23">
        <f ca="1">C8*C10</f>
        <v>0</v>
      </c>
      <c r="D12" s="23">
        <f>D8*D10</f>
        <v>4.3541317257059999</v>
      </c>
      <c r="E12" s="23">
        <f>E8*E10</f>
        <v>4.5569573121449345</v>
      </c>
      <c r="F12" s="23">
        <f>F8*F10</f>
        <v>592.38183820164897</v>
      </c>
      <c r="G12" s="23"/>
      <c r="H12" s="23"/>
      <c r="I12" s="23"/>
      <c r="J12" s="23">
        <f>J8*J10</f>
        <v>63.087950351722654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9.7057491112910205E-2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160.69616571161984</v>
      </c>
      <c r="C26" s="243">
        <f>B26*'GWP N2O_CH4'!B5</f>
        <v>3374.6194799440168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38.235568549355584</v>
      </c>
      <c r="C27" s="243">
        <f>B27*'GWP N2O_CH4'!B5</f>
        <v>802.94693953646731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1.9636153056457266</v>
      </c>
      <c r="C28" s="243">
        <f>B28*'GWP N2O_CH4'!B4</f>
        <v>608.7207447501753</v>
      </c>
      <c r="D28" s="50"/>
    </row>
    <row r="29" spans="1:4">
      <c r="A29" s="41" t="s">
        <v>266</v>
      </c>
      <c r="B29" s="243">
        <f>B34*'ha_N2O bodem landbouw'!B4</f>
        <v>9.6807499293802728</v>
      </c>
      <c r="C29" s="243">
        <f>B29*'GWP N2O_CH4'!B4</f>
        <v>3001.0324781078843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2.1992931248854433E-3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1.7178041456321971E-3</v>
      </c>
      <c r="C5" s="432" t="s">
        <v>204</v>
      </c>
      <c r="D5" s="417">
        <f>SUM(D6:D11)</f>
        <v>2.8783152420745802E-3</v>
      </c>
      <c r="E5" s="417">
        <f>SUM(E6:E11)</f>
        <v>1.206867995546799E-3</v>
      </c>
      <c r="F5" s="430" t="s">
        <v>204</v>
      </c>
      <c r="G5" s="417">
        <f>SUM(G6:G11)</f>
        <v>0.53258858587774982</v>
      </c>
      <c r="H5" s="417">
        <f>SUM(H6:H11)</f>
        <v>0.14301699861134032</v>
      </c>
      <c r="I5" s="432" t="s">
        <v>204</v>
      </c>
      <c r="J5" s="432" t="s">
        <v>204</v>
      </c>
      <c r="K5" s="432" t="s">
        <v>204</v>
      </c>
      <c r="L5" s="432" t="s">
        <v>204</v>
      </c>
      <c r="M5" s="417">
        <f>SUM(M6:M11)</f>
        <v>4.0718979266495613E-2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8.010490882653633E-4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1.3355781447211724E-3</v>
      </c>
      <c r="E6" s="884">
        <f>vkm_GW_PW*SUMIFS(TableVerdeelsleutelVkm[LPG],TableVerdeelsleutelVkm[Voertuigtype],"Lichte voertuigen")*SUMIFS(TableECFTransport[EnergieConsumptieFactor (PJ per km)],TableECFTransport[Index],CONCATENATE($A6,"_LPG_LPG"))</f>
        <v>5.2950241350679765E-4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0.15912877659252811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6.5499089807619287E-2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1.3780257156129468E-2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2.4944617500390346E-6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9.888203605755963E-2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7.2960629919310938E-7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5.6776392866436853E-3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2.887963107707169E-4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6.5945286586934393E-4</v>
      </c>
      <c r="E8" s="420">
        <f>vkm_NGW_PW*SUMIFS(TableVerdeelsleutelVkm[LPG],TableVerdeelsleutelVkm[Voertuigtype],"Lichte voertuigen")*SUMIFS(TableECFTransport[EnergieConsumptieFactor (PJ per km)],TableECFTransport[Index],CONCATENATE($A8,"_LPG_LPG"))</f>
        <v>2.5033170296339302E-4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6.8911331598993084E-2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3.2038750353406281E-2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6.2280632040395403E-3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5.7901341709666055E-9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2.9557370737875148E-4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2.0441690086431727E-9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1.6971332726206163E-5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6.2307431557809398E-4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8.8328423148406404E-4</v>
      </c>
      <c r="E10" s="420">
        <f>vkm_SW_PW*SUMIFS(TableVerdeelsleutelVkm[LPG],TableVerdeelsleutelVkm[Voertuigtype],"Lichte voertuigen")*SUMIFS(TableECFTransport[EnergieConsumptieFactor (PJ per km)],TableECFTransport[Index],CONCATENATE($A10,"_LPG_LPG"))</f>
        <v>4.2703387907660828E-4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0.1164295006401686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4.5477709036877915E-2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9.9091810301115187E-3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2.3841791338127832E-6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8.8941367281121633E-2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7.1776296861917617E-7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5.106867256845192E-3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477.16781823116588</v>
      </c>
      <c r="C14" s="21"/>
      <c r="D14" s="21">
        <f t="shared" ref="D14:M14" si="0">((D5)*10^9/3600)+D12</f>
        <v>799.53201168738349</v>
      </c>
      <c r="E14" s="21">
        <f t="shared" si="0"/>
        <v>335.2411098741108</v>
      </c>
      <c r="F14" s="21"/>
      <c r="G14" s="21">
        <f t="shared" si="0"/>
        <v>147941.27385493051</v>
      </c>
      <c r="H14" s="21">
        <f t="shared" si="0"/>
        <v>39726.944058705645</v>
      </c>
      <c r="I14" s="21"/>
      <c r="J14" s="21"/>
      <c r="K14" s="21"/>
      <c r="L14" s="21"/>
      <c r="M14" s="21">
        <f t="shared" si="0"/>
        <v>11310.82757402656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0.18419275287539733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87.890854023545643</v>
      </c>
      <c r="C18" s="23"/>
      <c r="D18" s="23">
        <f t="shared" ref="D18:M18" si="1">D14*D16</f>
        <v>161.50546636085147</v>
      </c>
      <c r="E18" s="23">
        <f t="shared" si="1"/>
        <v>76.099731941423158</v>
      </c>
      <c r="F18" s="23"/>
      <c r="G18" s="23">
        <f t="shared" si="1"/>
        <v>39500.320119266449</v>
      </c>
      <c r="H18" s="23">
        <f t="shared" si="1"/>
        <v>9892.0090706177052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1.9146809623071605E-4</v>
      </c>
      <c r="C50" s="315">
        <f t="shared" ref="C50:P50" si="2">SUM(C51:C52)</f>
        <v>0</v>
      </c>
      <c r="D50" s="315">
        <f t="shared" si="2"/>
        <v>0</v>
      </c>
      <c r="E50" s="315">
        <f t="shared" si="2"/>
        <v>0</v>
      </c>
      <c r="F50" s="315">
        <f t="shared" si="2"/>
        <v>0</v>
      </c>
      <c r="G50" s="315">
        <f t="shared" si="2"/>
        <v>1.1986481672638161E-2</v>
      </c>
      <c r="H50" s="315">
        <f t="shared" si="2"/>
        <v>0</v>
      </c>
      <c r="I50" s="315">
        <f t="shared" si="2"/>
        <v>0</v>
      </c>
      <c r="J50" s="315">
        <f t="shared" si="2"/>
        <v>0</v>
      </c>
      <c r="K50" s="315">
        <f t="shared" si="2"/>
        <v>0</v>
      </c>
      <c r="L50" s="315">
        <f t="shared" si="2"/>
        <v>0</v>
      </c>
      <c r="M50" s="315">
        <f t="shared" si="2"/>
        <v>6.8823723678148685E-4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1.9146809623071605E-4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1.1986481672638161E-2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6.8823723678148685E-4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53.185582286310016</v>
      </c>
      <c r="C54" s="21">
        <f t="shared" ref="C54:P54" si="3">(C50)*10^9/3600</f>
        <v>0</v>
      </c>
      <c r="D54" s="21">
        <f t="shared" si="3"/>
        <v>0</v>
      </c>
      <c r="E54" s="21">
        <f t="shared" si="3"/>
        <v>0</v>
      </c>
      <c r="F54" s="21">
        <f t="shared" si="3"/>
        <v>0</v>
      </c>
      <c r="G54" s="21">
        <f t="shared" si="3"/>
        <v>3329.5782423994892</v>
      </c>
      <c r="H54" s="21">
        <f t="shared" si="3"/>
        <v>0</v>
      </c>
      <c r="I54" s="21">
        <f t="shared" si="3"/>
        <v>0</v>
      </c>
      <c r="J54" s="21">
        <f t="shared" si="3"/>
        <v>0</v>
      </c>
      <c r="K54" s="21">
        <f t="shared" si="3"/>
        <v>0</v>
      </c>
      <c r="L54" s="21">
        <f t="shared" si="3"/>
        <v>0</v>
      </c>
      <c r="M54" s="21">
        <f t="shared" si="3"/>
        <v>191.1770102170797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0.18419275287539733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9.7963988145964098</v>
      </c>
      <c r="C58" s="23">
        <f t="shared" ref="C58:P58" ca="1" si="4">C54*C56</f>
        <v>0</v>
      </c>
      <c r="D58" s="23">
        <f t="shared" si="4"/>
        <v>0</v>
      </c>
      <c r="E58" s="23">
        <f t="shared" si="4"/>
        <v>0</v>
      </c>
      <c r="F58" s="23">
        <f t="shared" si="4"/>
        <v>0</v>
      </c>
      <c r="G58" s="23">
        <f t="shared" si="4"/>
        <v>888.9973907206637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12112.085788659097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225</v>
      </c>
      <c r="C8" s="543">
        <f>B48</f>
        <v>264.70588235294116</v>
      </c>
      <c r="D8" s="544"/>
      <c r="E8" s="544">
        <f>E48</f>
        <v>0</v>
      </c>
      <c r="F8" s="545"/>
      <c r="G8" s="546"/>
      <c r="H8" s="544">
        <f>I48</f>
        <v>0</v>
      </c>
      <c r="I8" s="544">
        <f>G48+F48</f>
        <v>0</v>
      </c>
      <c r="J8" s="544">
        <f>H48+D48+C48</f>
        <v>0</v>
      </c>
      <c r="K8" s="544"/>
      <c r="L8" s="544"/>
      <c r="M8" s="544"/>
      <c r="N8" s="547"/>
      <c r="O8" s="548">
        <f>C8*$C$12+D8*$D$12+E8*$E$12+F8*$F$12+G8*$G$12+H8*$H$12+I8*$I$12+J8*$J$12</f>
        <v>53.470588235294116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12337.085788659097</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53.470588235294116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321.42857142857144</v>
      </c>
      <c r="C17" s="574">
        <f>B49</f>
        <v>378.15126050420173</v>
      </c>
      <c r="D17" s="575"/>
      <c r="E17" s="575">
        <f>E49</f>
        <v>0</v>
      </c>
      <c r="F17" s="576"/>
      <c r="G17" s="577"/>
      <c r="H17" s="574">
        <f>I49</f>
        <v>0</v>
      </c>
      <c r="I17" s="575">
        <f>G49+F49</f>
        <v>0</v>
      </c>
      <c r="J17" s="575">
        <f>H49+D49+C49</f>
        <v>0</v>
      </c>
      <c r="K17" s="575"/>
      <c r="L17" s="575"/>
      <c r="M17" s="575"/>
      <c r="N17" s="960"/>
      <c r="O17" s="578">
        <f>C17*$C$22+E17*$E$22+H17*$H$22+I17*$I$22+J17*$J$22+D17*$D$22+F17*$F$22+G17*$G$22+K17*$K$22+L17*$L$22</f>
        <v>76.386554621848759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76.386554621848759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71011</v>
      </c>
      <c r="C28" s="785">
        <v>3590</v>
      </c>
      <c r="D28" s="635"/>
      <c r="E28" s="634"/>
      <c r="F28" s="634"/>
      <c r="G28" s="634" t="s">
        <v>868</v>
      </c>
      <c r="H28" s="634" t="s">
        <v>869</v>
      </c>
      <c r="I28" s="634"/>
      <c r="J28" s="784"/>
      <c r="K28" s="784"/>
      <c r="L28" s="634" t="s">
        <v>870</v>
      </c>
      <c r="M28" s="634">
        <v>50</v>
      </c>
      <c r="N28" s="634">
        <v>225</v>
      </c>
      <c r="O28" s="634">
        <v>321.42857142857144</v>
      </c>
      <c r="P28" s="634">
        <v>642.85714285714289</v>
      </c>
      <c r="Q28" s="634">
        <v>0</v>
      </c>
      <c r="R28" s="634">
        <v>0</v>
      </c>
      <c r="S28" s="634">
        <v>0</v>
      </c>
      <c r="T28" s="634">
        <v>0</v>
      </c>
      <c r="U28" s="634">
        <v>0</v>
      </c>
      <c r="V28" s="634">
        <v>0</v>
      </c>
      <c r="W28" s="634">
        <v>0</v>
      </c>
      <c r="X28" s="634">
        <v>1400</v>
      </c>
      <c r="Y28" s="634" t="s">
        <v>54</v>
      </c>
      <c r="Z28" s="636" t="s">
        <v>149</v>
      </c>
    </row>
    <row r="29" spans="1:26" s="568" customFormat="1" hidden="1">
      <c r="A29" s="590" t="s">
        <v>269</v>
      </c>
      <c r="B29" s="591"/>
      <c r="C29" s="591"/>
      <c r="D29" s="591"/>
      <c r="E29" s="591"/>
      <c r="F29" s="591"/>
      <c r="G29" s="591"/>
      <c r="H29" s="591"/>
      <c r="I29" s="591"/>
      <c r="J29" s="591"/>
      <c r="K29" s="591"/>
      <c r="L29" s="592"/>
      <c r="M29" s="592">
        <f>SUM(M28:M28)</f>
        <v>50</v>
      </c>
      <c r="N29" s="592">
        <f>SUM(N28:N28)</f>
        <v>225</v>
      </c>
      <c r="O29" s="592">
        <f>SUM(O28:O28)</f>
        <v>321.42857142857144</v>
      </c>
      <c r="P29" s="592">
        <f>SUM(P28:P28)</f>
        <v>642.85714285714289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50</v>
      </c>
      <c r="N31" s="592">
        <f ca="1">SUMIF($Z$28:AD28,"tertiair",N28:N28)</f>
        <v>225</v>
      </c>
      <c r="O31" s="592">
        <f ca="1">SUMIF($Z$28:AE28,"tertiair",O28:O28)</f>
        <v>321.42857142857144</v>
      </c>
      <c r="P31" s="592">
        <f ca="1">SUMIF($Z$28:AF28,"tertiair",P28:P28)</f>
        <v>642.85714285714289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264.70588235294116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378.15126050420173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2021-11-11T12:20:46Z</dcterms:modified>
</cp:coreProperties>
</file>