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6A15BA5-B7D4-4928-BFCF-0957C34DD6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F5" i="13" s="1"/>
  <c r="F8" i="13" s="1"/>
  <c r="G11" i="14" s="1"/>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17" i="19"/>
  <c r="C19" i="19" s="1"/>
  <c r="D39" i="14" s="1"/>
  <c r="C22" i="59"/>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<sst xmlns="http://schemas.openxmlformats.org/spreadsheetml/2006/main" count="2437" uniqueCount="873">
  <si>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</si>
  <si>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</si>
  <si>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</si>
  <si>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</si>
  <si>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</si>
  <si>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</si>
  <si>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</si>
  <si>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</si>
  <si>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</si>
  <si>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</si>
  <si>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</si>
  <si>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</si>
  <si>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</si>
  <si>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</si>
  <si>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</si>
  <si>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</si>
  <si>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</si>
  <si>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</si>
  <si>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</si>
  <si>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</si>
  <si>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</si>
  <si>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</si>
  <si>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</si>
  <si>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</si>
  <si>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</si>
  <si>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</si>
  <si>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</si>
  <si>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</si>
  <si>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</si>
  <si>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</si>
  <si>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</si>
  <si>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</si>
  <si>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</si>
  <si>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</si>
  <si>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</si>
  <si>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</si>
  <si>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</si>
  <si>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</si>
  <si>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</si>
  <si>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</si>
  <si>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</si>
  <si>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</si>
  <si>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</si>
  <si>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</si>
  <si>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</si>
  <si>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</si>
  <si>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</si>
  <si>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</si>
  <si>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</si>
  <si>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</si>
  <si>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</si>
  <si>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</si>
  <si>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</si>
  <si>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</si>
  <si>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</si>
  <si>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</si>
  <si>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</si>
  <si>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</si>
  <si>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</si>
  <si>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</si>
  <si>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</si>
  <si>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</si>
  <si>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</si>
  <si>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</si>
  <si>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</si>
  <si>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</si>
  <si>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</si>
  <si>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</si>
  <si>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</si>
  <si>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</si>
  <si>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</si>
  <si>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</si>
  <si>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</si>
  <si>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</si>
  <si>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</si>
  <si>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</si>
  <si>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</si>
  <si>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</si>
  <si>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</si>
  <si>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</si>
  <si>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</si>
  <si>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</si>
  <si>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</si>
  <si>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</si>
  <si>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</si>
  <si>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</si>
  <si>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</si>
  <si>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</si>
  <si>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</si>
  <si>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</si>
  <si>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</si>
  <si>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</si>
  <si>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</si>
  <si>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</si>
  <si>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</si>
  <si>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</si>
  <si>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</si>
  <si>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</si>
  <si>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</si>
  <si>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</si>
  <si>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</si>
  <si>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</si>
  <si>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</si>
  <si>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</si>
  <si>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</si>
  <si>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</si>
  <si>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</si>
  <si>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</si>
  <si>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</si>
  <si>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</si>
  <si>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</si>
  <si>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</si>
  <si>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</si>
  <si>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</si>
  <si>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</si>
  <si>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</si>
  <si>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</si>
  <si>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</si>
  <si>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</si>
  <si>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</si>
  <si>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</si>
  <si>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</si>
  <si>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</si>
  <si>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</si>
  <si>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</si>
  <si>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</si>
  <si>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</si>
  <si>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</si>
  <si>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</si>
  <si>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</si>
  <si>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</si>
  <si>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</si>
  <si>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</si>
  <si>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</si>
  <si>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</si>
  <si>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</si>
  <si>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</si>
  <si>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</si>
  <si>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</si>
  <si>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</si>
  <si>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</si>
  <si>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</si>
  <si>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</si>
  <si>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</si>
  <si>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</si>
  <si>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</si>
  <si>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</si>
  <si>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</si>
  <si>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</si>
  <si>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</si>
  <si>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</si>
  <si>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</si>
  <si>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</si>
  <si>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</si>
  <si>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</si>
  <si>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</si>
  <si>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</si>
  <si>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</si>
  <si>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</si>
  <si>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</si>
  <si>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</si>
  <si>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</si>
  <si>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</si>
  <si>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</si>
  <si>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</si>
  <si>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</si>
  <si>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</si>
  <si>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</si>
  <si>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</si>
  <si>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</si>
  <si>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</si>
  <si>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</si>
  <si>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</si>
  <si>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</si>
  <si>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</si>
  <si>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</si>
  <si>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</si>
  <si>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</si>
  <si>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</si>
  <si>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</si>
  <si>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</si>
  <si>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</si>
  <si>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</si>
  <si>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</si>
  <si>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</si>
  <si>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</si>
  <si>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</si>
  <si>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</si>
  <si>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</si>
  <si>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</si>
  <si>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</si>
  <si>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</si>
  <si>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</si>
  <si>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</si>
  <si>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</si>
  <si>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</si>
  <si>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</si>
  <si>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</si>
  <si>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</si>
  <si>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</si>
  <si>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</si>
  <si>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</si>
  <si>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</si>
  <si>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</si>
  <si>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</si>
  <si>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</si>
  <si>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</si>
  <si>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</si>
  <si>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</si>
  <si>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</si>
  <si>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</si>
  <si>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</si>
  <si>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</si>
  <si>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</si>
  <si>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</si>
  <si>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</si>
  <si>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</si>
  <si>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</si>
  <si>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</si>
  <si>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</si>
  <si>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</si>
  <si>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</si>
  <si>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</si>
  <si>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</si>
  <si>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</si>
  <si>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</si>
  <si>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</si>
  <si>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</si>
  <si>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</si>
  <si>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</si>
  <si>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</si>
  <si>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</si>
  <si>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</si>
  <si>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</si>
  <si>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</si>
  <si>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</si>
  <si>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</si>
  <si>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</si>
  <si>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</si>
  <si>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</si>
  <si>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</si>
  <si>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</si>
  <si>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</si>
  <si>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</si>
  <si>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</si>
  <si>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</si>
  <si>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</si>
  <si>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</si>
  <si>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</si>
  <si>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</si>
  <si>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</si>
  <si>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</si>
  <si>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</si>
  <si>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</si>
  <si>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</si>
  <si>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</si>
  <si>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</si>
  <si>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</si>
  <si>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</si>
  <si>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</si>
  <si>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</si>
  <si>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</si>
  <si>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</si>
  <si>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</si>
  <si>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</si>
  <si>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</si>
  <si>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</si>
  <si>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</si>
  <si>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</si>
  <si>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</si>
  <si>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</si>
  <si>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</si>
  <si>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</si>
  <si>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</si>
  <si>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</si>
  <si>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</si>
  <si>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</si>
  <si>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</si>
  <si>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</si>
  <si>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</si>
  <si>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</si>
  <si>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</si>
  <si>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</si>
  <si>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</si>
  <si>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</si>
  <si>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</si>
  <si>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</si>
  <si>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</si>
  <si>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</si>
  <si>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</si>
  <si>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</si>
  <si>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</si>
  <si>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</si>
  <si>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</si>
  <si>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</si>
  <si>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</si>
  <si>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</si>
  <si>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</si>
  <si>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</si>
  <si>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</si>
  <si>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</si>
  <si>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</si>
  <si>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</si>
  <si>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</si>
  <si>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</si>
  <si>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</si>
  <si>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</si>
  <si>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</si>
  <si>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</si>
  <si>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</si>
  <si>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</si>
  <si>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</si>
  <si>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</si>
  <si>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</si>
  <si>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</si>
  <si>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</si>
  <si>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</si>
  <si>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</si>
  <si>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</si>
  <si>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</si>
  <si>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</si>
  <si>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</si>
  <si>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</si>
  <si>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</si>
  <si>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</si>
  <si>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</si>
  <si>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</si>
  <si>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</si>
  <si>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</si>
  <si>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</si>
  <si>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</si>
  <si>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</si>
  <si>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</si>
  <si>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</si>
  <si>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</si>
  <si>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</si>
  <si>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</si>
  <si>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</si>
  <si>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</si>
  <si>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</si>
  <si>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</si>
  <si>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</si>
  <si>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</si>
  <si>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</si>
  <si>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</si>
  <si>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</si>
  <si>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</si>
  <si>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</si>
  <si>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</si>
  <si>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</si>
  <si>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</si>
  <si>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</si>
  <si>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</si>
  <si>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</si>
  <si>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</si>
  <si>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</si>
  <si>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</si>
  <si>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</si>
  <si>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</si>
  <si>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</si>
  <si>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</si>
  <si>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</si>
  <si>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</si>
  <si>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</si>
  <si>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</si>
  <si>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</si>
  <si>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</si>
  <si>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</si>
  <si>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</si>
  <si>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</si>
  <si>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</si>
  <si>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</si>
  <si>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</si>
  <si>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</si>
  <si>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</si>
  <si>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</si>
  <si>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</si>
  <si>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</si>
  <si>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</si>
  <si>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</si>
  <si>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</si>
  <si>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</si>
  <si>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</si>
  <si>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</si>
  <si>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</si>
  <si>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</si>
  <si>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</si>
  <si>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</si>
  <si>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</si>
  <si>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</si>
  <si>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</si>
  <si>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</si>
  <si>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</si>
  <si>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</si>
  <si>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</si>
  <si>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</si>
  <si>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</si>
  <si>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</si>
  <si>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</si>
  <si>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</si>
  <si>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</si>
  <si>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</si>
  <si>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</si>
  <si>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</si>
  <si>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</si>
  <si>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</si>
  <si>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</si>
  <si>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</si>
  <si>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</si>
  <si>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</si>
  <si>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</si>
  <si>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</si>
  <si>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</si>
  <si>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</si>
  <si>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</si>
  <si>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</si>
  <si>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</si>
  <si>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</si>
  <si>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</si>
  <si>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</si>
  <si>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</si>
  <si>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</si>
  <si>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</si>
  <si>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</si>
  <si>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</si>
  <si>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</si>
  <si>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</si>
  <si>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</si>
  <si>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</si>
  <si>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</si>
  <si>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</si>
  <si>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</si>
  <si>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</si>
  <si>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</si>
  <si>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</si>
  <si>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</si>
  <si>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</si>
  <si>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</si>
  <si>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</si>
  <si>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</si>
  <si>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</si>
  <si>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</si>
  <si>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</si>
  <si>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</si>
  <si>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</si>
  <si>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</si>
  <si>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</si>
  <si>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</si>
  <si>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</si>
  <si>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</si>
  <si>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</si>
  <si>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</si>
  <si>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</si>
  <si>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</si>
  <si>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</si>
  <si>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</si>
  <si>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</si>
  <si>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</si>
  <si>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</si>
  <si>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</si>
  <si>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</si>
  <si>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</si>
  <si>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</si>
  <si>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</si>
  <si>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</si>
  <si>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</si>
  <si>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</si>
  <si>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</si>
  <si>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</si>
  <si>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</si>
  <si>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</si>
  <si>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</si>
  <si>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</si>
  <si>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</si>
  <si>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</si>
  <si>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</si>
  <si>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</si>
  <si>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</si>
  <si>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</si>
  <si>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</si>
  <si>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</si>
  <si>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</si>
  <si>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</si>
  <si>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</si>
  <si>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</si>
  <si>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</si>
  <si>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</si>
  <si>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</si>
  <si>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</si>
  <si>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</si>
  <si>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</si>
  <si>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</si>
  <si>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</si>
  <si>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</si>
  <si>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</si>
  <si>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</si>
  <si>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</si>
  <si>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</si>
  <si>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</si>
  <si>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</si>
  <si>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</si>
  <si>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</si>
  <si>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</si>
  <si>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</si>
  <si>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</si>
  <si>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</si>
  <si>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</si>
  <si>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</si>
  <si>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</si>
  <si>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</si>
  <si>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</si>
  <si>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</si>
  <si>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</si>
  <si>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</si>
  <si>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</si>
  <si>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</si>
  <si>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</si>
  <si>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</si>
  <si>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</si>
  <si>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</si>
  <si>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</si>
  <si>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</si>
  <si>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</si>
  <si>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</si>
  <si>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</si>
  <si>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</si>
  <si>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</si>
  <si>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</si>
  <si>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</si>
  <si>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</si>
  <si>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</si>
  <si>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</si>
  <si>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</si>
  <si>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</si>
  <si>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</si>
  <si>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</si>
  <si>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</si>
  <si>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</si>
  <si>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</si>
  <si>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</si>
  <si>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</si>
  <si>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</si>
  <si>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</si>
  <si>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</si>
  <si>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</si>
  <si>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</si>
  <si>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</si>
  <si>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</si>
  <si>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</si>
  <si>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</si>
  <si>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</si>
  <si>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</si>
  <si>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</si>
  <si>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</si>
  <si>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</si>
  <si>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</si>
  <si>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</si>
  <si>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</si>
  <si>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</si>
  <si>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</si>
  <si>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</si>
  <si>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</si>
  <si>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</si>
  <si>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</si>
  <si>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</si>
  <si>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</si>
  <si>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</si>
  <si>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</si>
  <si>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</si>
  <si>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</si>
  <si>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</si>
  <si>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</si>
  <si>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</si>
  <si>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</si>
  <si>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</si>
  <si>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</si>
  <si>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</si>
  <si>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</si>
  <si>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</si>
  <si>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</si>
  <si>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</si>
  <si>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</si>
  <si>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</si>
  <si>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</si>
  <si>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</si>
  <si>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</si>
  <si>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</si>
  <si>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</si>
  <si>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</si>
  <si>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</si>
  <si>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</si>
  <si>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</si>
  <si>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</si>
  <si>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</si>
  <si>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</si>
  <si>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</si>
  <si>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</si>
  <si>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</si>
  <si>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</si>
  <si>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</si>
  <si>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</si>
  <si>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</si>
  <si>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</si>
  <si>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</si>
  <si>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</si>
  <si>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</si>
  <si>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</si>
  <si>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</si>
  <si>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</si>
  <si>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</si>
  <si>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</si>
  <si>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</si>
  <si>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</si>
  <si>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</si>
  <si>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</si>
  <si>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</si>
  <si>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</si>
  <si>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</si>
  <si>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</si>
  <si>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</si>
  <si>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</si>
  <si>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</si>
  <si>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</si>
  <si>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</si>
  <si>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</si>
  <si>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</si>
  <si>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</si>
  <si>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</si>
  <si>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</si>
  <si>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</si>
  <si>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</si>
  <si>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</si>
  <si>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</si>
  <si>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</si>
  <si>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</si>
  <si>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</si>
  <si>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</si>
  <si>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</si>
  <si>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</si>
  <si>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</si>
  <si>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</si>
  <si>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</si>
  <si>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</si>
  <si>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</si>
  <si>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</si>
  <si>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</si>
  <si>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</si>
  <si>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</si>
  <si>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</si>
  <si>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</si>
  <si>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</si>
  <si>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</si>
  <si>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</si>
  <si>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</si>
  <si>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</si>
  <si>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</si>
  <si>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</si>
  <si>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</si>
  <si>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</si>
  <si>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</si>
  <si>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</si>
  <si>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</si>
  <si>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</si>
  <si>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</si>
  <si>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</si>
  <si>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</si>
  <si>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</si>
  <si>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</si>
  <si>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</si>
  <si>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</si>
  <si>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</si>
  <si>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</si>
  <si>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</si>
  <si>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</si>
  <si>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</si>
  <si>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</si>
  <si>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</si>
  <si>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</si>
  <si>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</si>
  <si>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</si>
  <si>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</si>
  <si>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</si>
  <si>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</si>
  <si>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</si>
  <si>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</si>
  <si>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</si>
  <si>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</si>
  <si>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</si>
  <si>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</si>
  <si>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</si>
  <si>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</si>
  <si>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</si>
  <si>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</si>
  <si>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</si>
  <si>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</si>
  <si>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</si>
  <si>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</si>
  <si>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</si>
  <si>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</si>
  <si>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</si>
  <si>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</si>
  <si>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</si>
  <si>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</si>
  <si>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</si>
  <si>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</si>
  <si>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</si>
  <si>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</si>
  <si>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</si>
  <si>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</si>
  <si>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</si>
  <si>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</si>
  <si>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</si>
  <si>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</si>
  <si>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</si>
  <si>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</si>
  <si>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</si>
  <si>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</si>
  <si>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</si>
  <si>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</si>
  <si>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</si>
  <si>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</si>
  <si>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</si>
  <si>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</si>
  <si>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</si>
  <si>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</si>
  <si>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</si>
  <si>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</si>
  <si>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</si>
  <si>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</si>
  <si>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</si>
  <si>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</si>
  <si>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</si>
  <si>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</si>
  <si>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</si>
  <si>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</si>
  <si>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</si>
  <si>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</si>
  <si>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</si>
  <si>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</si>
  <si>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</si>
  <si>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</si>
  <si>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</si>
  <si>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</si>
  <si>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</si>
  <si>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</si>
  <si>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</si>
  <si>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</si>
  <si>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</si>
  <si>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</si>
  <si>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</si>
  <si>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</si>
  <si>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</si>
  <si>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</si>
  <si>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</si>
  <si>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</si>
  <si>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</si>
  <si>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</si>
  <si>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</si>
  <si>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</si>
  <si>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</si>
  <si>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</si>
  <si>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</si>
  <si>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</si>
  <si>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</si>
  <si>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</si>
  <si>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</si>
  <si>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</si>
  <si>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</si>
  <si>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</si>
  <si>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</si>
  <si>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</si>
  <si>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</si>
  <si>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</si>
  <si>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</si>
  <si>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</si>
  <si>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</si>
  <si>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</si>
  <si>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</si>
  <si>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</si>
  <si>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</si>
  <si>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</si>
  <si>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</si>
  <si>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</si>
  <si>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</si>
  <si>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</si>
  <si>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</si>
  <si>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</si>
  <si>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</si>
  <si>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</si>
  <si>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</si>
  <si>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</si>
  <si>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</si>
  <si>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</si>
  <si>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</si>
  <si>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</si>
  <si>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</si>
  <si>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</si>
  <si>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</si>
  <si>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</si>
  <si>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</si>
  <si>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</si>
  <si>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</si>
  <si>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</si>
  <si>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</si>
  <si>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</si>
  <si>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</si>
  <si>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</si>
  <si>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</si>
  <si>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</si>
  <si>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</si>
  <si>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</si>
  <si>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</si>
  <si>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</si>
  <si>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</si>
  <si>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</si>
  <si>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</si>
  <si>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</si>
  <si>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</si>
  <si>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</si>
  <si>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</si>
  <si>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</si>
  <si>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</si>
  <si>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</si>
  <si>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</si>
  <si>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</si>
  <si>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</si>
  <si>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</si>
  <si>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</si>
  <si>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</si>
  <si>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</si>
  <si>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</si>
  <si>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</si>
  <si>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</si>
  <si>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</si>
  <si>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</si>
  <si>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</si>
  <si>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</si>
  <si>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</si>
  <si>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</si>
  <si>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</si>
  <si>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</si>
  <si>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</si>
  <si>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</si>
  <si>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</si>
  <si>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</si>
  <si>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</si>
  <si>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</si>
  <si>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</si>
  <si>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</si>
  <si>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</si>
  <si>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</si>
  <si>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</si>
  <si>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</si>
  <si>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</si>
  <si>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</si>
  <si>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</si>
  <si>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</si>
  <si>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</si>
  <si>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</si>
  <si>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</si>
  <si>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</si>
  <si>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</si>
  <si>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</si>
  <si>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</si>
  <si>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46021</t>
  </si>
  <si>
    <t>SINT-NIKLAAS</t>
  </si>
  <si>
    <t>referentietaak LNE (2017); Jaarverslag De Lijn</t>
  </si>
  <si>
    <t>waterkracht</t>
  </si>
  <si>
    <t>interne verbrandingsmotor</t>
  </si>
  <si>
    <t>WKK interne verbrandinsgmotor (gas)</t>
  </si>
  <si>
    <t>INTERGEM</t>
  </si>
  <si>
    <t>Interne verbrandingsmotor</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</si>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</sst>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A1B7433-72A6-4B95-94F3-5E91AB3571B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577695.22678970045</c:v>
                </c:pt>
                <c:pt idx="1">
                  <c:v>309147.62491364835</c:v>
                </c:pt>
                <c:pt idx="2">
                  <c:v>3124.2530000000002</c:v>
                </c:pt>
                <c:pt idx="3">
                  <c:v>18380.86222704071</c:v>
                </c:pt>
                <c:pt idx="4">
                  <c:v>167363.78767242905</c:v>
                </c:pt>
                <c:pt idx="5">
                  <c:v>537072.98876369023</c:v>
                </c:pt>
                <c:pt idx="6">
                  <c:v>8845.0319302345324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577695.22678970045</c:v>
                </c:pt>
                <c:pt idx="1">
                  <c:v>309147.62491364835</c:v>
                </c:pt>
                <c:pt idx="2">
                  <c:v>3124.2530000000002</c:v>
                </c:pt>
                <c:pt idx="3">
                  <c:v>18380.86222704071</c:v>
                </c:pt>
                <c:pt idx="4">
                  <c:v>167363.78767242905</c:v>
                </c:pt>
                <c:pt idx="5">
                  <c:v>537072.98876369023</c:v>
                </c:pt>
                <c:pt idx="6">
                  <c:v>8845.0319302345324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114424.97040306995</c:v>
                </c:pt>
                <c:pt idx="1">
                  <c:v>62416.841448944986</c:v>
                </c:pt>
                <c:pt idx="2">
                  <c:v>624.17775291393946</c:v>
                </c:pt>
                <c:pt idx="3">
                  <c:v>4664.0301579054549</c:v>
                </c:pt>
                <c:pt idx="4">
                  <c:v>31929.638443804441</c:v>
                </c:pt>
                <c:pt idx="5">
                  <c:v>133361.96431632031</c:v>
                </c:pt>
                <c:pt idx="6">
                  <c:v>2226.4483371437182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114424.97040306995</c:v>
                </c:pt>
                <c:pt idx="1">
                  <c:v>62416.841448944986</c:v>
                </c:pt>
                <c:pt idx="2">
                  <c:v>624.17775291393946</c:v>
                </c:pt>
                <c:pt idx="3">
                  <c:v>4664.0301579054549</c:v>
                </c:pt>
                <c:pt idx="4">
                  <c:v>31929.638443804441</c:v>
                </c:pt>
                <c:pt idx="5">
                  <c:v>133361.96431632031</c:v>
                </c:pt>
                <c:pt idx="6">
                  <c:v>2226.4483371437182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46021</v>
      </c>
      <c r="B6" s="384"/>
      <c r="C6" s="385"/>
    </row>
    <row r="7" spans="1:7" s="382" customFormat="1" ht="15.75" customHeight="1">
      <c r="A7" s="386" t="str">
        <f>txtMunicipality</f>
        <v>SINT-NIKLAAS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123080.02653835986</v>
      </c>
      <c r="D10" s="681">
        <f ca="1">tertiair!C16</f>
        <v>1816.0714285714287</v>
      </c>
      <c r="E10" s="681">
        <f ca="1">tertiair!D16</f>
        <v>163156.09541506256</v>
      </c>
      <c r="F10" s="681">
        <f>tertiair!E16</f>
        <v>500.68410347527197</v>
      </c>
      <c r="G10" s="681">
        <f ca="1">tertiair!F16</f>
        <v>18534.518562252531</v>
      </c>
      <c r="H10" s="681">
        <f>tertiair!G16</f>
        <v>0</v>
      </c>
      <c r="I10" s="681">
        <f>tertiair!H16</f>
        <v>0</v>
      </c>
      <c r="J10" s="681">
        <f>tertiair!I16</f>
        <v>0</v>
      </c>
      <c r="K10" s="681">
        <f>tertiair!J16</f>
        <v>9.5105139813829717E-2</v>
      </c>
      <c r="L10" s="681">
        <f>tertiair!K16</f>
        <v>0</v>
      </c>
      <c r="M10" s="681">
        <f ca="1">tertiair!L16</f>
        <v>0</v>
      </c>
      <c r="N10" s="681">
        <f>tertiair!M16</f>
        <v>0</v>
      </c>
      <c r="O10" s="681">
        <f ca="1">tertiair!N16</f>
        <v>3812.1411739343871</v>
      </c>
      <c r="P10" s="681">
        <f>tertiair!O16</f>
        <v>58.767129190093854</v>
      </c>
      <c r="Q10" s="682">
        <f>tertiair!P16</f>
        <v>1313.4784576623756</v>
      </c>
      <c r="R10" s="684">
        <f ca="1">SUM(C10:Q10)</f>
        <v>312271.87791364832</v>
      </c>
      <c r="S10" s="67"/>
    </row>
    <row r="11" spans="1:19" s="443" customFormat="1">
      <c r="A11" s="802" t="s">
        <v>214</v>
      </c>
      <c r="B11" s="807"/>
      <c r="C11" s="681">
        <f>huishoudens!B8</f>
        <v>114827.79524680748</v>
      </c>
      <c r="D11" s="681">
        <f>huishoudens!C8</f>
        <v>0</v>
      </c>
      <c r="E11" s="681">
        <f>huishoudens!D8</f>
        <v>296942.41886209918</v>
      </c>
      <c r="F11" s="681">
        <f>huishoudens!E8</f>
        <v>5147.1298805143033</v>
      </c>
      <c r="G11" s="681">
        <f>huishoudens!F8</f>
        <v>112756.14259419918</v>
      </c>
      <c r="H11" s="681">
        <f>huishoudens!G8</f>
        <v>0</v>
      </c>
      <c r="I11" s="681">
        <f>huishoudens!H8</f>
        <v>0</v>
      </c>
      <c r="J11" s="681">
        <f>huishoudens!I8</f>
        <v>0</v>
      </c>
      <c r="K11" s="681">
        <f>huishoudens!J8</f>
        <v>642.60958920742212</v>
      </c>
      <c r="L11" s="681">
        <f>huishoudens!K8</f>
        <v>0</v>
      </c>
      <c r="M11" s="681">
        <f>huishoudens!L8</f>
        <v>0</v>
      </c>
      <c r="N11" s="681">
        <f>huishoudens!M8</f>
        <v>0</v>
      </c>
      <c r="O11" s="681">
        <f>huishoudens!N8</f>
        <v>41461.37152920798</v>
      </c>
      <c r="P11" s="681">
        <f>huishoudens!O8</f>
        <v>1398.6905446678575</v>
      </c>
      <c r="Q11" s="682">
        <f>huishoudens!P8</f>
        <v>4519.0685429968753</v>
      </c>
      <c r="R11" s="684">
        <f>SUM(C11:Q11)</f>
        <v>577695.22678970045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76020.010360206652</v>
      </c>
      <c r="D13" s="681">
        <f>industrie!C18</f>
        <v>919.28571428571433</v>
      </c>
      <c r="E13" s="681">
        <f>industrie!D18</f>
        <v>65738.06897308302</v>
      </c>
      <c r="F13" s="681">
        <f>industrie!E18</f>
        <v>986.22706122400587</v>
      </c>
      <c r="G13" s="681">
        <f>industrie!F18</f>
        <v>10322.526733786923</v>
      </c>
      <c r="H13" s="681">
        <f>industrie!G18</f>
        <v>0</v>
      </c>
      <c r="I13" s="681">
        <f>industrie!H18</f>
        <v>0</v>
      </c>
      <c r="J13" s="681">
        <f>industrie!I18</f>
        <v>0</v>
      </c>
      <c r="K13" s="681">
        <f>industrie!J18</f>
        <v>747.07507140695736</v>
      </c>
      <c r="L13" s="681">
        <f>industrie!K18</f>
        <v>0</v>
      </c>
      <c r="M13" s="681">
        <f>industrie!L18</f>
        <v>0</v>
      </c>
      <c r="N13" s="681">
        <f>industrie!M18</f>
        <v>0</v>
      </c>
      <c r="O13" s="681">
        <f>industrie!N18</f>
        <v>12630.5937584358</v>
      </c>
      <c r="P13" s="681">
        <f>industrie!O18</f>
        <v>0</v>
      </c>
      <c r="Q13" s="682">
        <f>industrie!P18</f>
        <v>0</v>
      </c>
      <c r="R13" s="684">
        <f>SUM(C13:Q13)</f>
        <v>167363.78767242905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313927.83214537398</v>
      </c>
      <c r="D16" s="717">
        <f t="shared" ref="D16:R16" ca="1" si="0">SUM(D9:D15)</f>
        <v>2735.3571428571431</v>
      </c>
      <c r="E16" s="717">
        <f t="shared" ca="1" si="0"/>
        <v>525836.58325024473</v>
      </c>
      <c r="F16" s="717">
        <f t="shared" si="0"/>
        <v>6634.041045213582</v>
      </c>
      <c r="G16" s="717">
        <f t="shared" ca="1" si="0"/>
        <v>141613.18789023862</v>
      </c>
      <c r="H16" s="717">
        <f t="shared" si="0"/>
        <v>0</v>
      </c>
      <c r="I16" s="717">
        <f t="shared" si="0"/>
        <v>0</v>
      </c>
      <c r="J16" s="717">
        <f t="shared" si="0"/>
        <v>0</v>
      </c>
      <c r="K16" s="717">
        <f t="shared" si="0"/>
        <v>1389.7797657541932</v>
      </c>
      <c r="L16" s="717">
        <f t="shared" si="0"/>
        <v>0</v>
      </c>
      <c r="M16" s="717">
        <f t="shared" ca="1" si="0"/>
        <v>0</v>
      </c>
      <c r="N16" s="717">
        <f t="shared" si="0"/>
        <v>0</v>
      </c>
      <c r="O16" s="717">
        <f t="shared" ca="1" si="0"/>
        <v>57904.106461578165</v>
      </c>
      <c r="P16" s="717">
        <f t="shared" si="0"/>
        <v>1457.4576738579512</v>
      </c>
      <c r="Q16" s="717">
        <f t="shared" si="0"/>
        <v>5832.5470006592514</v>
      </c>
      <c r="R16" s="717">
        <f t="shared" ca="1" si="0"/>
        <v>1057330.8923757779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131.62729750765783</v>
      </c>
      <c r="D19" s="681">
        <f>transport!C54</f>
        <v>0</v>
      </c>
      <c r="E19" s="681">
        <f>transport!D54</f>
        <v>0</v>
      </c>
      <c r="F19" s="681">
        <f>transport!E54</f>
        <v>0</v>
      </c>
      <c r="G19" s="681">
        <f>transport!F54</f>
        <v>0</v>
      </c>
      <c r="H19" s="681">
        <f>transport!G54</f>
        <v>8240.2667611698052</v>
      </c>
      <c r="I19" s="681">
        <f>transport!H54</f>
        <v>0</v>
      </c>
      <c r="J19" s="681">
        <f>transport!I54</f>
        <v>0</v>
      </c>
      <c r="K19" s="681">
        <f>transport!J54</f>
        <v>0</v>
      </c>
      <c r="L19" s="681">
        <f>transport!K54</f>
        <v>0</v>
      </c>
      <c r="M19" s="681">
        <f>transport!L54</f>
        <v>0</v>
      </c>
      <c r="N19" s="681">
        <f>transport!M54</f>
        <v>473.13787155706933</v>
      </c>
      <c r="O19" s="681">
        <f>transport!N54</f>
        <v>0</v>
      </c>
      <c r="P19" s="681">
        <f>transport!O54</f>
        <v>0</v>
      </c>
      <c r="Q19" s="682">
        <f>transport!P54</f>
        <v>0</v>
      </c>
      <c r="R19" s="684">
        <f>SUM(C19:Q19)</f>
        <v>8845.0319302345324</v>
      </c>
      <c r="S19" s="67"/>
    </row>
    <row r="20" spans="1:19" s="443" customFormat="1">
      <c r="A20" s="802" t="s">
        <v>296</v>
      </c>
      <c r="B20" s="807"/>
      <c r="C20" s="681">
        <f>transport!B14</f>
        <v>1077.2623126071594</v>
      </c>
      <c r="D20" s="681">
        <f>transport!C14</f>
        <v>0</v>
      </c>
      <c r="E20" s="681">
        <f>transport!D14</f>
        <v>1962.0782927233522</v>
      </c>
      <c r="F20" s="681">
        <f>transport!E14</f>
        <v>800.99340134218869</v>
      </c>
      <c r="G20" s="681">
        <f>transport!F14</f>
        <v>0</v>
      </c>
      <c r="H20" s="681">
        <f>transport!G14</f>
        <v>406154.00738757418</v>
      </c>
      <c r="I20" s="681">
        <f>transport!H14</f>
        <v>96889.391831478191</v>
      </c>
      <c r="J20" s="681">
        <f>transport!I14</f>
        <v>0</v>
      </c>
      <c r="K20" s="681">
        <f>transport!J14</f>
        <v>0</v>
      </c>
      <c r="L20" s="681">
        <f>transport!K14</f>
        <v>0</v>
      </c>
      <c r="M20" s="681">
        <f>transport!L14</f>
        <v>0</v>
      </c>
      <c r="N20" s="681">
        <f>transport!M14</f>
        <v>30189.255537965066</v>
      </c>
      <c r="O20" s="681">
        <f>transport!N14</f>
        <v>0</v>
      </c>
      <c r="P20" s="681">
        <f>transport!O14</f>
        <v>0</v>
      </c>
      <c r="Q20" s="682">
        <f>transport!P14</f>
        <v>0</v>
      </c>
      <c r="R20" s="684">
        <f>SUM(C20:Q20)</f>
        <v>537072.98876369023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1208.8896101148173</v>
      </c>
      <c r="D22" s="805">
        <f t="shared" ref="D22:R22" si="1">SUM(D18:D21)</f>
        <v>0</v>
      </c>
      <c r="E22" s="805">
        <f t="shared" si="1"/>
        <v>1962.0782927233522</v>
      </c>
      <c r="F22" s="805">
        <f t="shared" si="1"/>
        <v>800.99340134218869</v>
      </c>
      <c r="G22" s="805">
        <f t="shared" si="1"/>
        <v>0</v>
      </c>
      <c r="H22" s="805">
        <f t="shared" si="1"/>
        <v>414394.27414874401</v>
      </c>
      <c r="I22" s="805">
        <f t="shared" si="1"/>
        <v>96889.391831478191</v>
      </c>
      <c r="J22" s="805">
        <f t="shared" si="1"/>
        <v>0</v>
      </c>
      <c r="K22" s="805">
        <f t="shared" si="1"/>
        <v>0</v>
      </c>
      <c r="L22" s="805">
        <f t="shared" si="1"/>
        <v>0</v>
      </c>
      <c r="M22" s="805">
        <f t="shared" si="1"/>
        <v>0</v>
      </c>
      <c r="N22" s="805">
        <f t="shared" si="1"/>
        <v>30662.393409522134</v>
      </c>
      <c r="O22" s="805">
        <f t="shared" si="1"/>
        <v>0</v>
      </c>
      <c r="P22" s="805">
        <f t="shared" si="1"/>
        <v>0</v>
      </c>
      <c r="Q22" s="805">
        <f t="shared" si="1"/>
        <v>0</v>
      </c>
      <c r="R22" s="805">
        <f t="shared" si="1"/>
        <v>545918.02069392474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3915.4910215282198</v>
      </c>
      <c r="D24" s="681">
        <f>+landbouw!C8</f>
        <v>0</v>
      </c>
      <c r="E24" s="681">
        <f>+landbouw!D8</f>
        <v>963.21652834922827</v>
      </c>
      <c r="F24" s="681">
        <f>+landbouw!E8</f>
        <v>112.1462890805021</v>
      </c>
      <c r="G24" s="681">
        <f>+landbouw!F8</f>
        <v>12394.421977092052</v>
      </c>
      <c r="H24" s="681">
        <f>+landbouw!G8</f>
        <v>0</v>
      </c>
      <c r="I24" s="681">
        <f>+landbouw!H8</f>
        <v>0</v>
      </c>
      <c r="J24" s="681">
        <f>+landbouw!I8</f>
        <v>0</v>
      </c>
      <c r="K24" s="681">
        <f>+landbouw!J8</f>
        <v>995.58641099070792</v>
      </c>
      <c r="L24" s="681">
        <f>+landbouw!K8</f>
        <v>0</v>
      </c>
      <c r="M24" s="681">
        <f>+landbouw!L8</f>
        <v>0</v>
      </c>
      <c r="N24" s="681">
        <f>+landbouw!M8</f>
        <v>0</v>
      </c>
      <c r="O24" s="681">
        <f>+landbouw!N8</f>
        <v>0</v>
      </c>
      <c r="P24" s="681">
        <f>+landbouw!O8</f>
        <v>0</v>
      </c>
      <c r="Q24" s="682">
        <f>+landbouw!P8</f>
        <v>0</v>
      </c>
      <c r="R24" s="684">
        <f>SUM(C24:Q24)</f>
        <v>18380.86222704071</v>
      </c>
      <c r="S24" s="67"/>
    </row>
    <row r="25" spans="1:19" s="443" customFormat="1" ht="15" thickBot="1">
      <c r="A25" s="824" t="s">
        <v>690</v>
      </c>
      <c r="B25" s="937"/>
      <c r="C25" s="938">
        <f>IF(Onbekend_ele_kWh="---",0,Onbekend_ele_kWh)/1000+IF(REST_rest_ele_kWh="---",0,REST_rest_ele_kWh)/1000</f>
        <v>12743.532837958301</v>
      </c>
      <c r="D25" s="938"/>
      <c r="E25" s="938">
        <f>IF(onbekend_gas_kWh="---",0,onbekend_gas_kWh)/1000+IF(REST_rest_gas_kWh="---",0,REST_rest_gas_kWh)/1000</f>
        <v>26234.568797609099</v>
      </c>
      <c r="F25" s="938"/>
      <c r="G25" s="938"/>
      <c r="H25" s="938"/>
      <c r="I25" s="938"/>
      <c r="J25" s="938"/>
      <c r="K25" s="938"/>
      <c r="L25" s="938"/>
      <c r="M25" s="938"/>
      <c r="N25" s="938"/>
      <c r="O25" s="938"/>
      <c r="P25" s="938"/>
      <c r="Q25" s="939"/>
      <c r="R25" s="684">
        <f>SUM(C25:Q25)</f>
        <v>38978.1016355674</v>
      </c>
      <c r="S25" s="67"/>
    </row>
    <row r="26" spans="1:19" s="443" customFormat="1" ht="15.75" thickBot="1">
      <c r="A26" s="689" t="s">
        <v>691</v>
      </c>
      <c r="B26" s="810"/>
      <c r="C26" s="805">
        <f>SUM(C24:C25)</f>
        <v>16659.023859486522</v>
      </c>
      <c r="D26" s="805">
        <f t="shared" ref="D26:R26" si="2">SUM(D24:D25)</f>
        <v>0</v>
      </c>
      <c r="E26" s="805">
        <f t="shared" si="2"/>
        <v>27197.785325958328</v>
      </c>
      <c r="F26" s="805">
        <f t="shared" si="2"/>
        <v>112.1462890805021</v>
      </c>
      <c r="G26" s="805">
        <f t="shared" si="2"/>
        <v>12394.421977092052</v>
      </c>
      <c r="H26" s="805">
        <f t="shared" si="2"/>
        <v>0</v>
      </c>
      <c r="I26" s="805">
        <f t="shared" si="2"/>
        <v>0</v>
      </c>
      <c r="J26" s="805">
        <f t="shared" si="2"/>
        <v>0</v>
      </c>
      <c r="K26" s="805">
        <f t="shared" si="2"/>
        <v>995.58641099070792</v>
      </c>
      <c r="L26" s="805">
        <f t="shared" si="2"/>
        <v>0</v>
      </c>
      <c r="M26" s="805">
        <f t="shared" si="2"/>
        <v>0</v>
      </c>
      <c r="N26" s="805">
        <f t="shared" si="2"/>
        <v>0</v>
      </c>
      <c r="O26" s="805">
        <f t="shared" si="2"/>
        <v>0</v>
      </c>
      <c r="P26" s="805">
        <f t="shared" si="2"/>
        <v>0</v>
      </c>
      <c r="Q26" s="805">
        <f t="shared" si="2"/>
        <v>0</v>
      </c>
      <c r="R26" s="805">
        <f t="shared" si="2"/>
        <v>57358.963862608114</v>
      </c>
      <c r="S26" s="67"/>
    </row>
    <row r="27" spans="1:19" s="443" customFormat="1" ht="17.25" thickTop="1" thickBot="1">
      <c r="A27" s="690" t="s">
        <v>109</v>
      </c>
      <c r="B27" s="797"/>
      <c r="C27" s="691">
        <f ca="1">C22+C16+C26</f>
        <v>331795.74561497528</v>
      </c>
      <c r="D27" s="691">
        <f t="shared" ref="D27:R27" ca="1" si="3">D22+D16+D26</f>
        <v>2735.3571428571431</v>
      </c>
      <c r="E27" s="691">
        <f t="shared" ca="1" si="3"/>
        <v>554996.4468689264</v>
      </c>
      <c r="F27" s="691">
        <f t="shared" si="3"/>
        <v>7547.1807356362733</v>
      </c>
      <c r="G27" s="691">
        <f t="shared" ca="1" si="3"/>
        <v>154007.60986733067</v>
      </c>
      <c r="H27" s="691">
        <f t="shared" si="3"/>
        <v>414394.27414874401</v>
      </c>
      <c r="I27" s="691">
        <f t="shared" si="3"/>
        <v>96889.391831478191</v>
      </c>
      <c r="J27" s="691">
        <f t="shared" si="3"/>
        <v>0</v>
      </c>
      <c r="K27" s="691">
        <f t="shared" si="3"/>
        <v>2385.3661767449012</v>
      </c>
      <c r="L27" s="691">
        <f t="shared" si="3"/>
        <v>0</v>
      </c>
      <c r="M27" s="691">
        <f t="shared" ca="1" si="3"/>
        <v>0</v>
      </c>
      <c r="N27" s="691">
        <f t="shared" si="3"/>
        <v>30662.393409522134</v>
      </c>
      <c r="O27" s="691">
        <f t="shared" ca="1" si="3"/>
        <v>57904.106461578165</v>
      </c>
      <c r="P27" s="691">
        <f t="shared" si="3"/>
        <v>1457.4576738579512</v>
      </c>
      <c r="Q27" s="691">
        <f t="shared" si="3"/>
        <v>5832.5470006592514</v>
      </c>
      <c r="R27" s="691">
        <f t="shared" ca="1" si="3"/>
        <v>1660607.8769323109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24589.498479573034</v>
      </c>
      <c r="D40" s="681">
        <f ca="1">tertiair!C20</f>
        <v>431.58403361344546</v>
      </c>
      <c r="E40" s="681">
        <f ca="1">tertiair!D20</f>
        <v>32957.531273842636</v>
      </c>
      <c r="F40" s="681">
        <f>tertiair!E20</f>
        <v>113.65529148888675</v>
      </c>
      <c r="G40" s="681">
        <f ca="1">tertiair!F20</f>
        <v>4948.7164561214258</v>
      </c>
      <c r="H40" s="681">
        <f>tertiair!G20</f>
        <v>0</v>
      </c>
      <c r="I40" s="681">
        <f>tertiair!H20</f>
        <v>0</v>
      </c>
      <c r="J40" s="681">
        <f>tertiair!I20</f>
        <v>0</v>
      </c>
      <c r="K40" s="681">
        <f>tertiair!J20</f>
        <v>3.3667219494095721E-2</v>
      </c>
      <c r="L40" s="681">
        <f>tertiair!K20</f>
        <v>0</v>
      </c>
      <c r="M40" s="681">
        <f ca="1">tertiair!L20</f>
        <v>0</v>
      </c>
      <c r="N40" s="681">
        <f>tertiair!M20</f>
        <v>0</v>
      </c>
      <c r="O40" s="681">
        <f ca="1">tertiair!N20</f>
        <v>0</v>
      </c>
      <c r="P40" s="681">
        <f>tertiair!O20</f>
        <v>0</v>
      </c>
      <c r="Q40" s="764">
        <f>tertiair!P20</f>
        <v>0</v>
      </c>
      <c r="R40" s="843">
        <f t="shared" ca="1" si="4"/>
        <v>63041.019201858922</v>
      </c>
    </row>
    <row r="41" spans="1:18">
      <c r="A41" s="815" t="s">
        <v>214</v>
      </c>
      <c r="B41" s="822"/>
      <c r="C41" s="681">
        <f ca="1">huishoudens!B12</f>
        <v>22940.829442818562</v>
      </c>
      <c r="D41" s="681">
        <f ca="1">huishoudens!C12</f>
        <v>0</v>
      </c>
      <c r="E41" s="681">
        <f>huishoudens!D12</f>
        <v>59982.36861014404</v>
      </c>
      <c r="F41" s="681">
        <f>huishoudens!E12</f>
        <v>1168.3984828767468</v>
      </c>
      <c r="G41" s="681">
        <f>huishoudens!F12</f>
        <v>30105.890072651182</v>
      </c>
      <c r="H41" s="681">
        <f>huishoudens!G12</f>
        <v>0</v>
      </c>
      <c r="I41" s="681">
        <f>huishoudens!H12</f>
        <v>0</v>
      </c>
      <c r="J41" s="681">
        <f>huishoudens!I12</f>
        <v>0</v>
      </c>
      <c r="K41" s="681">
        <f>huishoudens!J12</f>
        <v>227.48379457942741</v>
      </c>
      <c r="L41" s="681">
        <f>huishoudens!K12</f>
        <v>0</v>
      </c>
      <c r="M41" s="681">
        <f>huishoudens!L12</f>
        <v>0</v>
      </c>
      <c r="N41" s="681">
        <f>huishoudens!M12</f>
        <v>0</v>
      </c>
      <c r="O41" s="681">
        <f>huishoudens!N12</f>
        <v>0</v>
      </c>
      <c r="P41" s="681">
        <f>huishoudens!O12</f>
        <v>0</v>
      </c>
      <c r="Q41" s="764">
        <f>huishoudens!P12</f>
        <v>0</v>
      </c>
      <c r="R41" s="843">
        <f t="shared" ca="1" si="4"/>
        <v>114424.97040306995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15187.630208926159</v>
      </c>
      <c r="D43" s="681">
        <f ca="1">industrie!C22</f>
        <v>218.46554621848742</v>
      </c>
      <c r="E43" s="681">
        <f>industrie!D22</f>
        <v>13279.089932562771</v>
      </c>
      <c r="F43" s="681">
        <f>industrie!E22</f>
        <v>223.87354289784935</v>
      </c>
      <c r="G43" s="681">
        <f>industrie!F22</f>
        <v>2756.1146379211086</v>
      </c>
      <c r="H43" s="681">
        <f>industrie!G22</f>
        <v>0</v>
      </c>
      <c r="I43" s="681">
        <f>industrie!H22</f>
        <v>0</v>
      </c>
      <c r="J43" s="681">
        <f>industrie!I22</f>
        <v>0</v>
      </c>
      <c r="K43" s="681">
        <f>industrie!J22</f>
        <v>264.46457527806291</v>
      </c>
      <c r="L43" s="681">
        <f>industrie!K22</f>
        <v>0</v>
      </c>
      <c r="M43" s="681">
        <f>industrie!L22</f>
        <v>0</v>
      </c>
      <c r="N43" s="681">
        <f>industrie!M22</f>
        <v>0</v>
      </c>
      <c r="O43" s="681">
        <f>industrie!N22</f>
        <v>0</v>
      </c>
      <c r="P43" s="681">
        <f>industrie!O22</f>
        <v>0</v>
      </c>
      <c r="Q43" s="764">
        <f>industrie!P22</f>
        <v>0</v>
      </c>
      <c r="R43" s="842">
        <f t="shared" ca="1" si="4"/>
        <v>31929.638443804441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62717.958131317755</v>
      </c>
      <c r="D46" s="717">
        <f t="shared" ref="D46:Q46" ca="1" si="5">SUM(D39:D45)</f>
        <v>650.04957983193287</v>
      </c>
      <c r="E46" s="717">
        <f t="shared" ca="1" si="5"/>
        <v>106218.98981654945</v>
      </c>
      <c r="F46" s="717">
        <f t="shared" si="5"/>
        <v>1505.927317263483</v>
      </c>
      <c r="G46" s="717">
        <f t="shared" ca="1" si="5"/>
        <v>37810.721166693715</v>
      </c>
      <c r="H46" s="717">
        <f t="shared" si="5"/>
        <v>0</v>
      </c>
      <c r="I46" s="717">
        <f t="shared" si="5"/>
        <v>0</v>
      </c>
      <c r="J46" s="717">
        <f t="shared" si="5"/>
        <v>0</v>
      </c>
      <c r="K46" s="717">
        <f t="shared" si="5"/>
        <v>491.9820370769844</v>
      </c>
      <c r="L46" s="717">
        <f t="shared" si="5"/>
        <v>0</v>
      </c>
      <c r="M46" s="717">
        <f t="shared" ca="1" si="5"/>
        <v>0</v>
      </c>
      <c r="N46" s="717">
        <f t="shared" si="5"/>
        <v>0</v>
      </c>
      <c r="O46" s="717">
        <f t="shared" ca="1" si="5"/>
        <v>0</v>
      </c>
      <c r="P46" s="717">
        <f t="shared" si="5"/>
        <v>0</v>
      </c>
      <c r="Q46" s="717">
        <f t="shared" si="5"/>
        <v>0</v>
      </c>
      <c r="R46" s="717">
        <f ca="1">SUM(R39:R45)</f>
        <v>209395.62804873331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26.297111911379918</v>
      </c>
      <c r="D49" s="681">
        <f ca="1">transport!C58</f>
        <v>0</v>
      </c>
      <c r="E49" s="681">
        <f>transport!D58</f>
        <v>0</v>
      </c>
      <c r="F49" s="681">
        <f>transport!E58</f>
        <v>0</v>
      </c>
      <c r="G49" s="681">
        <f>transport!F58</f>
        <v>0</v>
      </c>
      <c r="H49" s="681">
        <f>transport!G58</f>
        <v>2200.1512252323382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2226.4483371437182</v>
      </c>
    </row>
    <row r="50" spans="1:18">
      <c r="A50" s="818" t="s">
        <v>296</v>
      </c>
      <c r="B50" s="828"/>
      <c r="C50" s="687">
        <f ca="1">transport!B18</f>
        <v>215.22046056513685</v>
      </c>
      <c r="D50" s="687">
        <f>transport!C18</f>
        <v>0</v>
      </c>
      <c r="E50" s="687">
        <f>transport!D18</f>
        <v>396.33981513011719</v>
      </c>
      <c r="F50" s="687">
        <f>transport!E18</f>
        <v>181.82550210467684</v>
      </c>
      <c r="G50" s="687">
        <f>transport!F18</f>
        <v>0</v>
      </c>
      <c r="H50" s="687">
        <f>transport!G18</f>
        <v>108443.11997248231</v>
      </c>
      <c r="I50" s="687">
        <f>transport!H18</f>
        <v>24125.458566038069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133361.96431632031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241.51757247651676</v>
      </c>
      <c r="D52" s="717">
        <f t="shared" ref="D52:Q52" ca="1" si="6">SUM(D48:D51)</f>
        <v>0</v>
      </c>
      <c r="E52" s="717">
        <f t="shared" si="6"/>
        <v>396.33981513011719</v>
      </c>
      <c r="F52" s="717">
        <f t="shared" si="6"/>
        <v>181.82550210467684</v>
      </c>
      <c r="G52" s="717">
        <f t="shared" si="6"/>
        <v>0</v>
      </c>
      <c r="H52" s="717">
        <f t="shared" si="6"/>
        <v>110643.27119771465</v>
      </c>
      <c r="I52" s="717">
        <f t="shared" si="6"/>
        <v>24125.458566038069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135588.41265346404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782.25495418334856</v>
      </c>
      <c r="D54" s="687">
        <f ca="1">+landbouw!C12</f>
        <v>0</v>
      </c>
      <c r="E54" s="687">
        <f>+landbouw!D12</f>
        <v>194.56973872654413</v>
      </c>
      <c r="F54" s="687">
        <f>+landbouw!E12</f>
        <v>25.457207621273977</v>
      </c>
      <c r="G54" s="687">
        <f>+landbouw!F12</f>
        <v>3309.3106678835779</v>
      </c>
      <c r="H54" s="687">
        <f>+landbouw!G12</f>
        <v>0</v>
      </c>
      <c r="I54" s="687">
        <f>+landbouw!H12</f>
        <v>0</v>
      </c>
      <c r="J54" s="687">
        <f>+landbouw!I12</f>
        <v>0</v>
      </c>
      <c r="K54" s="687">
        <f>+landbouw!J12</f>
        <v>352.43758949071059</v>
      </c>
      <c r="L54" s="687">
        <f>+landbouw!K12</f>
        <v>0</v>
      </c>
      <c r="M54" s="687">
        <f>+landbouw!L12</f>
        <v>0</v>
      </c>
      <c r="N54" s="687">
        <f>+landbouw!M12</f>
        <v>0</v>
      </c>
      <c r="O54" s="687">
        <f>+landbouw!N12</f>
        <v>0</v>
      </c>
      <c r="P54" s="687">
        <f>+landbouw!O12</f>
        <v>0</v>
      </c>
      <c r="Q54" s="688">
        <f>+landbouw!P12</f>
        <v>0</v>
      </c>
      <c r="R54" s="716">
        <f ca="1">SUM(C54:Q54)</f>
        <v>4664.0301579054549</v>
      </c>
    </row>
    <row r="55" spans="1:18" ht="15" thickBot="1">
      <c r="A55" s="818" t="s">
        <v>690</v>
      </c>
      <c r="B55" s="828"/>
      <c r="C55" s="687">
        <f ca="1">C25*'EF ele_warmte'!B12</f>
        <v>2545.9620878916685</v>
      </c>
      <c r="D55" s="687"/>
      <c r="E55" s="687">
        <f>E25*EF_CO2_aardgas</f>
        <v>5299.3828971170387</v>
      </c>
      <c r="F55" s="687"/>
      <c r="G55" s="687"/>
      <c r="H55" s="687"/>
      <c r="I55" s="687"/>
      <c r="J55" s="687"/>
      <c r="K55" s="687"/>
      <c r="L55" s="687"/>
      <c r="M55" s="687"/>
      <c r="N55" s="687"/>
      <c r="O55" s="687"/>
      <c r="P55" s="687"/>
      <c r="Q55" s="688"/>
      <c r="R55" s="716">
        <f ca="1">SUM(C55:Q55)</f>
        <v>7845.3449850087072</v>
      </c>
    </row>
    <row r="56" spans="1:18" ht="15.75" thickBot="1">
      <c r="A56" s="816" t="s">
        <v>691</v>
      </c>
      <c r="B56" s="829"/>
      <c r="C56" s="717">
        <f ca="1">SUM(C54:C55)</f>
        <v>3328.2170420750172</v>
      </c>
      <c r="D56" s="717">
        <f t="shared" ref="D56:Q56" ca="1" si="7">SUM(D54:D55)</f>
        <v>0</v>
      </c>
      <c r="E56" s="717">
        <f t="shared" si="7"/>
        <v>5493.9526358435833</v>
      </c>
      <c r="F56" s="717">
        <f t="shared" si="7"/>
        <v>25.457207621273977</v>
      </c>
      <c r="G56" s="717">
        <f t="shared" si="7"/>
        <v>3309.3106678835779</v>
      </c>
      <c r="H56" s="717">
        <f t="shared" si="7"/>
        <v>0</v>
      </c>
      <c r="I56" s="717">
        <f t="shared" si="7"/>
        <v>0</v>
      </c>
      <c r="J56" s="717">
        <f t="shared" si="7"/>
        <v>0</v>
      </c>
      <c r="K56" s="717">
        <f t="shared" si="7"/>
        <v>352.43758949071059</v>
      </c>
      <c r="L56" s="717">
        <f t="shared" si="7"/>
        <v>0</v>
      </c>
      <c r="M56" s="717">
        <f t="shared" si="7"/>
        <v>0</v>
      </c>
      <c r="N56" s="717">
        <f t="shared" si="7"/>
        <v>0</v>
      </c>
      <c r="O56" s="717">
        <f t="shared" si="7"/>
        <v>0</v>
      </c>
      <c r="P56" s="717">
        <f t="shared" si="7"/>
        <v>0</v>
      </c>
      <c r="Q56" s="718">
        <f t="shared" si="7"/>
        <v>0</v>
      </c>
      <c r="R56" s="719">
        <f ca="1">SUM(R54:R55)</f>
        <v>12509.375142914163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66287.692745869281</v>
      </c>
      <c r="D61" s="725">
        <f t="shared" ref="D61:Q61" ca="1" si="8">D46+D52+D56</f>
        <v>650.04957983193287</v>
      </c>
      <c r="E61" s="725">
        <f t="shared" ca="1" si="8"/>
        <v>112109.28226752316</v>
      </c>
      <c r="F61" s="725">
        <f t="shared" si="8"/>
        <v>1713.2100269894338</v>
      </c>
      <c r="G61" s="725">
        <f t="shared" ca="1" si="8"/>
        <v>41120.03183457729</v>
      </c>
      <c r="H61" s="725">
        <f t="shared" si="8"/>
        <v>110643.27119771465</v>
      </c>
      <c r="I61" s="725">
        <f t="shared" si="8"/>
        <v>24125.458566038069</v>
      </c>
      <c r="J61" s="725">
        <f t="shared" si="8"/>
        <v>0</v>
      </c>
      <c r="K61" s="725">
        <f t="shared" si="8"/>
        <v>844.41962656769499</v>
      </c>
      <c r="L61" s="725">
        <f t="shared" si="8"/>
        <v>0</v>
      </c>
      <c r="M61" s="725">
        <f t="shared" ca="1" si="8"/>
        <v>0</v>
      </c>
      <c r="N61" s="725">
        <f t="shared" si="8"/>
        <v>0</v>
      </c>
      <c r="O61" s="725">
        <f t="shared" ca="1" si="8"/>
        <v>0</v>
      </c>
      <c r="P61" s="725">
        <f t="shared" si="8"/>
        <v>0</v>
      </c>
      <c r="Q61" s="725">
        <f t="shared" si="8"/>
        <v>0</v>
      </c>
      <c r="R61" s="725">
        <f ca="1">R46+R52+R56</f>
        <v>357493.41584511154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0.19978463745219718</v>
      </c>
      <c r="D63" s="771">
        <f t="shared" ca="1" si="9"/>
        <v>0.23764705882352943</v>
      </c>
      <c r="E63" s="963">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31995.66511729687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1914.75</v>
      </c>
      <c r="D76" s="946">
        <f>'lokale energieproductie'!C8</f>
        <v>2252.6470588235297</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455.03470588235302</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31995.66511729687</v>
      </c>
      <c r="C78" s="743">
        <f>SUM(C72:C77)</f>
        <v>1914.75</v>
      </c>
      <c r="D78" s="744">
        <f t="shared" ref="D78:H78" si="10">SUM(D76:D77)</f>
        <v>2252.6470588235297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455.03470588235302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2735.3571428571431</v>
      </c>
      <c r="D87" s="767">
        <f>'lokale energieproductie'!C17</f>
        <v>3218.0672268907565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650.04957983193287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2735.3571428571431</v>
      </c>
      <c r="D90" s="743">
        <f t="shared" ref="D90:H90" si="12">SUM(D87:D89)</f>
        <v>3218.0672268907565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650.04957983193287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114827.79524680748</v>
      </c>
      <c r="C4" s="447">
        <f>huishoudens!C8</f>
        <v>0</v>
      </c>
      <c r="D4" s="447">
        <f>huishoudens!D8</f>
        <v>296942.41886209918</v>
      </c>
      <c r="E4" s="447">
        <f>huishoudens!E8</f>
        <v>5147.1298805143033</v>
      </c>
      <c r="F4" s="447">
        <f>huishoudens!F8</f>
        <v>112756.14259419918</v>
      </c>
      <c r="G4" s="447">
        <f>huishoudens!G8</f>
        <v>0</v>
      </c>
      <c r="H4" s="447">
        <f>huishoudens!H8</f>
        <v>0</v>
      </c>
      <c r="I4" s="447">
        <f>huishoudens!I8</f>
        <v>0</v>
      </c>
      <c r="J4" s="447">
        <f>huishoudens!J8</f>
        <v>642.60958920742212</v>
      </c>
      <c r="K4" s="447">
        <f>huishoudens!K8</f>
        <v>0</v>
      </c>
      <c r="L4" s="447">
        <f>huishoudens!L8</f>
        <v>0</v>
      </c>
      <c r="M4" s="447">
        <f>huishoudens!M8</f>
        <v>0</v>
      </c>
      <c r="N4" s="447">
        <f>huishoudens!N8</f>
        <v>41461.37152920798</v>
      </c>
      <c r="O4" s="447">
        <f>huishoudens!O8</f>
        <v>1398.6905446678575</v>
      </c>
      <c r="P4" s="448">
        <f>huishoudens!P8</f>
        <v>4519.0685429968753</v>
      </c>
      <c r="Q4" s="449">
        <f>SUM(B4:P4)</f>
        <v>577695.22678970045</v>
      </c>
    </row>
    <row r="5" spans="1:17">
      <c r="A5" s="446" t="s">
        <v>149</v>
      </c>
      <c r="B5" s="447">
        <f ca="1">tertiair!B16</f>
        <v>119955.77353835986</v>
      </c>
      <c r="C5" s="447">
        <f ca="1">tertiair!C16</f>
        <v>1816.0714285714287</v>
      </c>
      <c r="D5" s="447">
        <f ca="1">tertiair!D16</f>
        <v>163156.09541506256</v>
      </c>
      <c r="E5" s="447">
        <f>tertiair!E16</f>
        <v>500.68410347527197</v>
      </c>
      <c r="F5" s="447">
        <f ca="1">tertiair!F16</f>
        <v>18534.518562252531</v>
      </c>
      <c r="G5" s="447">
        <f>tertiair!G16</f>
        <v>0</v>
      </c>
      <c r="H5" s="447">
        <f>tertiair!H16</f>
        <v>0</v>
      </c>
      <c r="I5" s="447">
        <f>tertiair!I16</f>
        <v>0</v>
      </c>
      <c r="J5" s="447">
        <f>tertiair!J16</f>
        <v>9.5105139813829717E-2</v>
      </c>
      <c r="K5" s="447">
        <f>tertiair!K16</f>
        <v>0</v>
      </c>
      <c r="L5" s="447">
        <f ca="1">tertiair!L16</f>
        <v>0</v>
      </c>
      <c r="M5" s="447">
        <f>tertiair!M16</f>
        <v>0</v>
      </c>
      <c r="N5" s="447">
        <f ca="1">tertiair!N16</f>
        <v>3812.1411739343871</v>
      </c>
      <c r="O5" s="447">
        <f>tertiair!O16</f>
        <v>58.767129190093854</v>
      </c>
      <c r="P5" s="448">
        <f>tertiair!P16</f>
        <v>1313.4784576623756</v>
      </c>
      <c r="Q5" s="446">
        <f t="shared" ref="Q5:Q14" ca="1" si="0">SUM(B5:P5)</f>
        <v>309147.62491364835</v>
      </c>
    </row>
    <row r="6" spans="1:17">
      <c r="A6" s="446" t="s">
        <v>187</v>
      </c>
      <c r="B6" s="447">
        <f>'openbare verlichting'!B8</f>
        <v>3124.2530000000002</v>
      </c>
      <c r="C6" s="447"/>
      <c r="D6" s="447"/>
      <c r="E6" s="447"/>
      <c r="F6" s="447"/>
      <c r="G6" s="447"/>
      <c r="H6" s="447"/>
      <c r="I6" s="447"/>
      <c r="J6" s="447"/>
      <c r="K6" s="447"/>
      <c r="L6" s="447"/>
      <c r="M6" s="447"/>
      <c r="N6" s="447"/>
      <c r="O6" s="447"/>
      <c r="P6" s="448"/>
      <c r="Q6" s="446">
        <f t="shared" si="0"/>
        <v>3124.2530000000002</v>
      </c>
    </row>
    <row r="7" spans="1:17">
      <c r="A7" s="446" t="s">
        <v>105</v>
      </c>
      <c r="B7" s="447">
        <f>landbouw!B8</f>
        <v>3915.4910215282198</v>
      </c>
      <c r="C7" s="447">
        <f>landbouw!C8</f>
        <v>0</v>
      </c>
      <c r="D7" s="447">
        <f>landbouw!D8</f>
        <v>963.21652834922827</v>
      </c>
      <c r="E7" s="447">
        <f>landbouw!E8</f>
        <v>112.1462890805021</v>
      </c>
      <c r="F7" s="447">
        <f>landbouw!F8</f>
        <v>12394.421977092052</v>
      </c>
      <c r="G7" s="447">
        <f>landbouw!G8</f>
        <v>0</v>
      </c>
      <c r="H7" s="447">
        <f>landbouw!H8</f>
        <v>0</v>
      </c>
      <c r="I7" s="447">
        <f>landbouw!I8</f>
        <v>0</v>
      </c>
      <c r="J7" s="447">
        <f>landbouw!J8</f>
        <v>995.58641099070792</v>
      </c>
      <c r="K7" s="447">
        <f>landbouw!K8</f>
        <v>0</v>
      </c>
      <c r="L7" s="447">
        <f>landbouw!L8</f>
        <v>0</v>
      </c>
      <c r="M7" s="447">
        <f>landbouw!M8</f>
        <v>0</v>
      </c>
      <c r="N7" s="447">
        <f>landbouw!N8</f>
        <v>0</v>
      </c>
      <c r="O7" s="447">
        <f>landbouw!O8</f>
        <v>0</v>
      </c>
      <c r="P7" s="448">
        <f>landbouw!P8</f>
        <v>0</v>
      </c>
      <c r="Q7" s="446">
        <f t="shared" si="0"/>
        <v>18380.86222704071</v>
      </c>
    </row>
    <row r="8" spans="1:17">
      <c r="A8" s="446" t="s">
        <v>611</v>
      </c>
      <c r="B8" s="447">
        <f>industrie!B18</f>
        <v>76020.010360206652</v>
      </c>
      <c r="C8" s="447">
        <f>industrie!C18</f>
        <v>919.28571428571433</v>
      </c>
      <c r="D8" s="447">
        <f>industrie!D18</f>
        <v>65738.06897308302</v>
      </c>
      <c r="E8" s="447">
        <f>industrie!E18</f>
        <v>986.22706122400587</v>
      </c>
      <c r="F8" s="447">
        <f>industrie!F18</f>
        <v>10322.526733786923</v>
      </c>
      <c r="G8" s="447">
        <f>industrie!G18</f>
        <v>0</v>
      </c>
      <c r="H8" s="447">
        <f>industrie!H18</f>
        <v>0</v>
      </c>
      <c r="I8" s="447">
        <f>industrie!I18</f>
        <v>0</v>
      </c>
      <c r="J8" s="447">
        <f>industrie!J18</f>
        <v>747.07507140695736</v>
      </c>
      <c r="K8" s="447">
        <f>industrie!K18</f>
        <v>0</v>
      </c>
      <c r="L8" s="447">
        <f>industrie!L18</f>
        <v>0</v>
      </c>
      <c r="M8" s="447">
        <f>industrie!M18</f>
        <v>0</v>
      </c>
      <c r="N8" s="447">
        <f>industrie!N18</f>
        <v>12630.5937584358</v>
      </c>
      <c r="O8" s="447">
        <f>industrie!O18</f>
        <v>0</v>
      </c>
      <c r="P8" s="448">
        <f>industrie!P18</f>
        <v>0</v>
      </c>
      <c r="Q8" s="446">
        <f t="shared" si="0"/>
        <v>167363.78767242905</v>
      </c>
    </row>
    <row r="9" spans="1:17" s="452" customFormat="1">
      <c r="A9" s="450" t="s">
        <v>537</v>
      </c>
      <c r="B9" s="451">
        <f>transport!B14</f>
        <v>1077.2623126071594</v>
      </c>
      <c r="C9" s="451">
        <f>transport!C14</f>
        <v>0</v>
      </c>
      <c r="D9" s="451">
        <f>transport!D14</f>
        <v>1962.0782927233522</v>
      </c>
      <c r="E9" s="451">
        <f>transport!E14</f>
        <v>800.99340134218869</v>
      </c>
      <c r="F9" s="451">
        <f>transport!F14</f>
        <v>0</v>
      </c>
      <c r="G9" s="451">
        <f>transport!G14</f>
        <v>406154.00738757418</v>
      </c>
      <c r="H9" s="451">
        <f>transport!H14</f>
        <v>96889.391831478191</v>
      </c>
      <c r="I9" s="451">
        <f>transport!I14</f>
        <v>0</v>
      </c>
      <c r="J9" s="451">
        <f>transport!J14</f>
        <v>0</v>
      </c>
      <c r="K9" s="451">
        <f>transport!K14</f>
        <v>0</v>
      </c>
      <c r="L9" s="451">
        <f>transport!L14</f>
        <v>0</v>
      </c>
      <c r="M9" s="451">
        <f>transport!M14</f>
        <v>30189.255537965066</v>
      </c>
      <c r="N9" s="451">
        <f>transport!N14</f>
        <v>0</v>
      </c>
      <c r="O9" s="451">
        <f>transport!O14</f>
        <v>0</v>
      </c>
      <c r="P9" s="451">
        <f>transport!P14</f>
        <v>0</v>
      </c>
      <c r="Q9" s="450">
        <f>SUM(B9:P9)</f>
        <v>537072.98876369023</v>
      </c>
    </row>
    <row r="10" spans="1:17">
      <c r="A10" s="446" t="s">
        <v>527</v>
      </c>
      <c r="B10" s="447">
        <f>transport!B54</f>
        <v>131.62729750765783</v>
      </c>
      <c r="C10" s="447">
        <f>transport!C54</f>
        <v>0</v>
      </c>
      <c r="D10" s="447">
        <f>transport!D54</f>
        <v>0</v>
      </c>
      <c r="E10" s="447">
        <f>transport!E54</f>
        <v>0</v>
      </c>
      <c r="F10" s="447">
        <f>transport!F54</f>
        <v>0</v>
      </c>
      <c r="G10" s="447">
        <f>transport!G54</f>
        <v>8240.2667611698052</v>
      </c>
      <c r="H10" s="447">
        <f>transport!H54</f>
        <v>0</v>
      </c>
      <c r="I10" s="447">
        <f>transport!I54</f>
        <v>0</v>
      </c>
      <c r="J10" s="447">
        <f>transport!J54</f>
        <v>0</v>
      </c>
      <c r="K10" s="447">
        <f>transport!K54</f>
        <v>0</v>
      </c>
      <c r="L10" s="447">
        <f>transport!L54</f>
        <v>0</v>
      </c>
      <c r="M10" s="447">
        <f>transport!M54</f>
        <v>473.13787155706933</v>
      </c>
      <c r="N10" s="447">
        <f>transport!N54</f>
        <v>0</v>
      </c>
      <c r="O10" s="447">
        <f>transport!O54</f>
        <v>0</v>
      </c>
      <c r="P10" s="448">
        <f>transport!P54</f>
        <v>0</v>
      </c>
      <c r="Q10" s="446">
        <f t="shared" si="0"/>
        <v>8845.0319302345324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12743.532837958301</v>
      </c>
      <c r="C14" s="454"/>
      <c r="D14" s="454">
        <f>'SEAP template'!E25</f>
        <v>26234.568797609099</v>
      </c>
      <c r="E14" s="454"/>
      <c r="F14" s="454"/>
      <c r="G14" s="454"/>
      <c r="H14" s="454"/>
      <c r="I14" s="454"/>
      <c r="J14" s="454"/>
      <c r="K14" s="454"/>
      <c r="L14" s="454"/>
      <c r="M14" s="454"/>
      <c r="N14" s="454"/>
      <c r="O14" s="454"/>
      <c r="P14" s="455"/>
      <c r="Q14" s="446">
        <f t="shared" si="0"/>
        <v>38978.1016355674</v>
      </c>
    </row>
    <row r="15" spans="1:17" s="458" customFormat="1">
      <c r="A15" s="456" t="s">
        <v>531</v>
      </c>
      <c r="B15" s="457">
        <f ca="1">SUM(B4:B14)</f>
        <v>331795.74561497534</v>
      </c>
      <c r="C15" s="457">
        <f t="shared" ref="C15:Q15" ca="1" si="1">SUM(C4:C14)</f>
        <v>2735.3571428571431</v>
      </c>
      <c r="D15" s="457">
        <f t="shared" ca="1" si="1"/>
        <v>554996.4468689264</v>
      </c>
      <c r="E15" s="457">
        <f t="shared" si="1"/>
        <v>7547.1807356362724</v>
      </c>
      <c r="F15" s="457">
        <f t="shared" ca="1" si="1"/>
        <v>154007.60986733067</v>
      </c>
      <c r="G15" s="457">
        <f t="shared" si="1"/>
        <v>414394.27414874401</v>
      </c>
      <c r="H15" s="457">
        <f t="shared" si="1"/>
        <v>96889.391831478191</v>
      </c>
      <c r="I15" s="457">
        <f t="shared" si="1"/>
        <v>0</v>
      </c>
      <c r="J15" s="457">
        <f t="shared" si="1"/>
        <v>2385.3661767449012</v>
      </c>
      <c r="K15" s="457">
        <f t="shared" si="1"/>
        <v>0</v>
      </c>
      <c r="L15" s="457">
        <f t="shared" ca="1" si="1"/>
        <v>0</v>
      </c>
      <c r="M15" s="457">
        <f t="shared" si="1"/>
        <v>30662.393409522134</v>
      </c>
      <c r="N15" s="457">
        <f t="shared" ca="1" si="1"/>
        <v>57904.106461578165</v>
      </c>
      <c r="O15" s="457">
        <f t="shared" si="1"/>
        <v>1457.4576738579512</v>
      </c>
      <c r="P15" s="457">
        <f t="shared" si="1"/>
        <v>5832.5470006592514</v>
      </c>
      <c r="Q15" s="457">
        <f t="shared" ca="1" si="1"/>
        <v>1660607.8769323106</v>
      </c>
    </row>
    <row r="17" spans="1:17">
      <c r="A17" s="459" t="s">
        <v>532</v>
      </c>
      <c r="B17" s="776">
        <f ca="1">huishoudens!B10</f>
        <v>0.19978463745219718</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22940.829442818562</v>
      </c>
      <c r="C22" s="447">
        <f t="shared" ref="C22:C32" ca="1" si="3">C4*$C$17</f>
        <v>0</v>
      </c>
      <c r="D22" s="447">
        <f t="shared" ref="D22:D32" si="4">D4*$D$17</f>
        <v>59982.36861014404</v>
      </c>
      <c r="E22" s="447">
        <f t="shared" ref="E22:E32" si="5">E4*$E$17</f>
        <v>1168.3984828767468</v>
      </c>
      <c r="F22" s="447">
        <f t="shared" ref="F22:F32" si="6">F4*$F$17</f>
        <v>30105.890072651182</v>
      </c>
      <c r="G22" s="447">
        <f t="shared" ref="G22:G32" si="7">G4*$G$17</f>
        <v>0</v>
      </c>
      <c r="H22" s="447">
        <f t="shared" ref="H22:H32" si="8">H4*$H$17</f>
        <v>0</v>
      </c>
      <c r="I22" s="447">
        <f t="shared" ref="I22:I32" si="9">I4*$I$17</f>
        <v>0</v>
      </c>
      <c r="J22" s="447">
        <f t="shared" ref="J22:J32" si="10">J4*$J$17</f>
        <v>227.48379457942741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114424.97040306995</v>
      </c>
    </row>
    <row r="23" spans="1:17">
      <c r="A23" s="446" t="s">
        <v>149</v>
      </c>
      <c r="B23" s="447">
        <f t="shared" ca="1" si="2"/>
        <v>23965.320726659094</v>
      </c>
      <c r="C23" s="447">
        <f t="shared" ca="1" si="3"/>
        <v>431.58403361344546</v>
      </c>
      <c r="D23" s="447">
        <f t="shared" ca="1" si="4"/>
        <v>32957.531273842636</v>
      </c>
      <c r="E23" s="447">
        <f t="shared" si="5"/>
        <v>113.65529148888675</v>
      </c>
      <c r="F23" s="447">
        <f t="shared" ca="1" si="6"/>
        <v>4948.7164561214258</v>
      </c>
      <c r="G23" s="447">
        <f t="shared" si="7"/>
        <v>0</v>
      </c>
      <c r="H23" s="447">
        <f t="shared" si="8"/>
        <v>0</v>
      </c>
      <c r="I23" s="447">
        <f t="shared" si="9"/>
        <v>0</v>
      </c>
      <c r="J23" s="447">
        <f t="shared" si="10"/>
        <v>3.3667219494095721E-2</v>
      </c>
      <c r="K23" s="447">
        <f t="shared" si="11"/>
        <v>0</v>
      </c>
      <c r="L23" s="447">
        <f t="shared" ca="1" si="12"/>
        <v>0</v>
      </c>
      <c r="M23" s="447">
        <f t="shared" si="13"/>
        <v>0</v>
      </c>
      <c r="N23" s="447">
        <f t="shared" ca="1" si="14"/>
        <v>0</v>
      </c>
      <c r="O23" s="447">
        <f t="shared" si="15"/>
        <v>0</v>
      </c>
      <c r="P23" s="448">
        <f t="shared" si="16"/>
        <v>0</v>
      </c>
      <c r="Q23" s="446">
        <f t="shared" ref="Q23:Q31" ca="1" si="17">SUM(B23:P23)</f>
        <v>62416.841448944986</v>
      </c>
    </row>
    <row r="24" spans="1:17">
      <c r="A24" s="446" t="s">
        <v>187</v>
      </c>
      <c r="B24" s="447">
        <f t="shared" ca="1" si="2"/>
        <v>624.17775291393946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624.17775291393946</v>
      </c>
    </row>
    <row r="25" spans="1:17">
      <c r="A25" s="446" t="s">
        <v>105</v>
      </c>
      <c r="B25" s="447">
        <f t="shared" ca="1" si="2"/>
        <v>782.25495418334856</v>
      </c>
      <c r="C25" s="447">
        <f t="shared" ca="1" si="3"/>
        <v>0</v>
      </c>
      <c r="D25" s="447">
        <f t="shared" si="4"/>
        <v>194.56973872654413</v>
      </c>
      <c r="E25" s="447">
        <f t="shared" si="5"/>
        <v>25.457207621273977</v>
      </c>
      <c r="F25" s="447">
        <f t="shared" si="6"/>
        <v>3309.3106678835779</v>
      </c>
      <c r="G25" s="447">
        <f t="shared" si="7"/>
        <v>0</v>
      </c>
      <c r="H25" s="447">
        <f t="shared" si="8"/>
        <v>0</v>
      </c>
      <c r="I25" s="447">
        <f t="shared" si="9"/>
        <v>0</v>
      </c>
      <c r="J25" s="447">
        <f t="shared" si="10"/>
        <v>352.43758949071059</v>
      </c>
      <c r="K25" s="447">
        <f t="shared" si="11"/>
        <v>0</v>
      </c>
      <c r="L25" s="447">
        <f t="shared" si="12"/>
        <v>0</v>
      </c>
      <c r="M25" s="447">
        <f t="shared" si="13"/>
        <v>0</v>
      </c>
      <c r="N25" s="447">
        <f t="shared" si="14"/>
        <v>0</v>
      </c>
      <c r="O25" s="447">
        <f t="shared" si="15"/>
        <v>0</v>
      </c>
      <c r="P25" s="448">
        <f t="shared" si="16"/>
        <v>0</v>
      </c>
      <c r="Q25" s="446">
        <f t="shared" ca="1" si="17"/>
        <v>4664.0301579054549</v>
      </c>
    </row>
    <row r="26" spans="1:17">
      <c r="A26" s="446" t="s">
        <v>611</v>
      </c>
      <c r="B26" s="447">
        <f t="shared" ca="1" si="2"/>
        <v>15187.630208926159</v>
      </c>
      <c r="C26" s="447">
        <f t="shared" ca="1" si="3"/>
        <v>218.46554621848742</v>
      </c>
      <c r="D26" s="447">
        <f t="shared" si="4"/>
        <v>13279.089932562771</v>
      </c>
      <c r="E26" s="447">
        <f t="shared" si="5"/>
        <v>223.87354289784935</v>
      </c>
      <c r="F26" s="447">
        <f t="shared" si="6"/>
        <v>2756.1146379211086</v>
      </c>
      <c r="G26" s="447">
        <f t="shared" si="7"/>
        <v>0</v>
      </c>
      <c r="H26" s="447">
        <f t="shared" si="8"/>
        <v>0</v>
      </c>
      <c r="I26" s="447">
        <f t="shared" si="9"/>
        <v>0</v>
      </c>
      <c r="J26" s="447">
        <f t="shared" si="10"/>
        <v>264.46457527806291</v>
      </c>
      <c r="K26" s="447">
        <f t="shared" si="11"/>
        <v>0</v>
      </c>
      <c r="L26" s="447">
        <f t="shared" si="12"/>
        <v>0</v>
      </c>
      <c r="M26" s="447">
        <f t="shared" si="13"/>
        <v>0</v>
      </c>
      <c r="N26" s="447">
        <f t="shared" si="14"/>
        <v>0</v>
      </c>
      <c r="O26" s="447">
        <f t="shared" si="15"/>
        <v>0</v>
      </c>
      <c r="P26" s="448">
        <f t="shared" si="16"/>
        <v>0</v>
      </c>
      <c r="Q26" s="446">
        <f t="shared" ca="1" si="17"/>
        <v>31929.638443804441</v>
      </c>
    </row>
    <row r="27" spans="1:17" s="452" customFormat="1">
      <c r="A27" s="450" t="s">
        <v>537</v>
      </c>
      <c r="B27" s="770">
        <f t="shared" ca="1" si="2"/>
        <v>215.22046056513685</v>
      </c>
      <c r="C27" s="451">
        <f t="shared" ca="1" si="3"/>
        <v>0</v>
      </c>
      <c r="D27" s="451">
        <f t="shared" si="4"/>
        <v>396.33981513011719</v>
      </c>
      <c r="E27" s="451">
        <f t="shared" si="5"/>
        <v>181.82550210467684</v>
      </c>
      <c r="F27" s="451">
        <f t="shared" si="6"/>
        <v>0</v>
      </c>
      <c r="G27" s="451">
        <f t="shared" si="7"/>
        <v>108443.11997248231</v>
      </c>
      <c r="H27" s="451">
        <f t="shared" si="8"/>
        <v>24125.458566038069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133361.96431632031</v>
      </c>
    </row>
    <row r="28" spans="1:17" ht="16.5" customHeight="1">
      <c r="A28" s="446" t="s">
        <v>527</v>
      </c>
      <c r="B28" s="447">
        <f t="shared" ca="1" si="2"/>
        <v>26.297111911379918</v>
      </c>
      <c r="C28" s="447">
        <f t="shared" ca="1" si="3"/>
        <v>0</v>
      </c>
      <c r="D28" s="447">
        <f t="shared" si="4"/>
        <v>0</v>
      </c>
      <c r="E28" s="447">
        <f t="shared" si="5"/>
        <v>0</v>
      </c>
      <c r="F28" s="447">
        <f t="shared" si="6"/>
        <v>0</v>
      </c>
      <c r="G28" s="447">
        <f t="shared" si="7"/>
        <v>2200.1512252323382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2226.4483371437182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2545.9620878916685</v>
      </c>
      <c r="C32" s="447">
        <f t="shared" ca="1" si="3"/>
        <v>0</v>
      </c>
      <c r="D32" s="447">
        <f t="shared" si="4"/>
        <v>5299.3828971170387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7845.3449850087072</v>
      </c>
    </row>
    <row r="33" spans="1:17" s="458" customFormat="1">
      <c r="A33" s="456" t="s">
        <v>531</v>
      </c>
      <c r="B33" s="457">
        <f ca="1">SUM(B22:B32)</f>
        <v>66287.692745869281</v>
      </c>
      <c r="C33" s="457">
        <f t="shared" ref="C33:Q33" ca="1" si="19">SUM(C22:C32)</f>
        <v>650.04957983193287</v>
      </c>
      <c r="D33" s="457">
        <f t="shared" ca="1" si="19"/>
        <v>112109.28226752316</v>
      </c>
      <c r="E33" s="457">
        <f t="shared" si="19"/>
        <v>1713.2100269894338</v>
      </c>
      <c r="F33" s="457">
        <f t="shared" ca="1" si="19"/>
        <v>41120.03183457729</v>
      </c>
      <c r="G33" s="457">
        <f t="shared" si="19"/>
        <v>110643.27119771465</v>
      </c>
      <c r="H33" s="457">
        <f t="shared" si="19"/>
        <v>24125.458566038069</v>
      </c>
      <c r="I33" s="457">
        <f t="shared" si="19"/>
        <v>0</v>
      </c>
      <c r="J33" s="457">
        <f t="shared" si="19"/>
        <v>844.4196265676951</v>
      </c>
      <c r="K33" s="457">
        <f t="shared" si="19"/>
        <v>0</v>
      </c>
      <c r="L33" s="457">
        <f t="shared" ca="1" si="19"/>
        <v>0</v>
      </c>
      <c r="M33" s="457">
        <f t="shared" si="19"/>
        <v>0</v>
      </c>
      <c r="N33" s="457">
        <f t="shared" ca="1" si="19"/>
        <v>0</v>
      </c>
      <c r="O33" s="457">
        <f t="shared" si="19"/>
        <v>0</v>
      </c>
      <c r="P33" s="457">
        <f t="shared" si="19"/>
        <v>0</v>
      </c>
      <c r="Q33" s="457">
        <f t="shared" ca="1" si="19"/>
        <v>357493.41584511148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31995.66511729687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1914.75</v>
      </c>
      <c r="D8" s="1014">
        <f>'SEAP template'!D76</f>
        <v>2252.6470588235297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455.03470588235302</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31995.66511729687</v>
      </c>
      <c r="C10" s="1016">
        <f>SUM(C4:C9)</f>
        <v>1914.75</v>
      </c>
      <c r="D10" s="1016">
        <f t="shared" ref="D10:H10" si="0">SUM(D8:D9)</f>
        <v>2252.6470588235297</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455.03470588235302</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0.19978463745219718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2735.3571428571431</v>
      </c>
      <c r="D17" s="1015">
        <f>'SEAP template'!D87</f>
        <v>3218.0672268907565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650.04957983193287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2735.3571428571431</v>
      </c>
      <c r="D20" s="1016">
        <f t="shared" ref="D20:H20" si="2">SUM(D17:D19)</f>
        <v>3218.0672268907565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650.04957983193287</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0.19978463745219718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0.19978463745219718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0.19978463745219718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32832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3793.49</v>
      </c>
      <c r="C14" s="326"/>
      <c r="D14" s="326"/>
      <c r="E14" s="326"/>
      <c r="F14" s="326"/>
    </row>
    <row r="15" spans="1:6">
      <c r="A15" s="1310" t="s">
        <v>177</v>
      </c>
      <c r="B15" s="1311">
        <v>56</v>
      </c>
      <c r="C15" s="326"/>
      <c r="D15" s="326"/>
      <c r="E15" s="326"/>
      <c r="F15" s="326"/>
    </row>
    <row r="16" spans="1:6">
      <c r="A16" s="1310" t="s">
        <v>6</v>
      </c>
      <c r="B16" s="1311">
        <v>2069</v>
      </c>
      <c r="C16" s="326"/>
      <c r="D16" s="326"/>
      <c r="E16" s="326"/>
      <c r="F16" s="326"/>
    </row>
    <row r="17" spans="1:6">
      <c r="A17" s="1310" t="s">
        <v>7</v>
      </c>
      <c r="B17" s="1311">
        <v>990</v>
      </c>
      <c r="C17" s="326"/>
      <c r="D17" s="326"/>
      <c r="E17" s="326"/>
      <c r="F17" s="326"/>
    </row>
    <row r="18" spans="1:6">
      <c r="A18" s="1310" t="s">
        <v>8</v>
      </c>
      <c r="B18" s="1311">
        <v>1790</v>
      </c>
      <c r="C18" s="326"/>
      <c r="D18" s="326"/>
      <c r="E18" s="326"/>
      <c r="F18" s="326"/>
    </row>
    <row r="19" spans="1:6">
      <c r="A19" s="1310" t="s">
        <v>9</v>
      </c>
      <c r="B19" s="1311">
        <v>1772</v>
      </c>
      <c r="C19" s="326"/>
      <c r="D19" s="326"/>
      <c r="E19" s="326"/>
      <c r="F19" s="326"/>
    </row>
    <row r="20" spans="1:6">
      <c r="A20" s="1310" t="s">
        <v>10</v>
      </c>
      <c r="B20" s="1311">
        <v>762</v>
      </c>
      <c r="C20" s="326"/>
      <c r="D20" s="326"/>
      <c r="E20" s="326"/>
      <c r="F20" s="326"/>
    </row>
    <row r="21" spans="1:6">
      <c r="A21" s="1310" t="s">
        <v>11</v>
      </c>
      <c r="B21" s="1311">
        <v>12775</v>
      </c>
      <c r="C21" s="326"/>
      <c r="D21" s="326"/>
      <c r="E21" s="326"/>
      <c r="F21" s="326"/>
    </row>
    <row r="22" spans="1:6">
      <c r="A22" s="1310" t="s">
        <v>12</v>
      </c>
      <c r="B22" s="1311">
        <v>27652</v>
      </c>
      <c r="C22" s="326"/>
      <c r="D22" s="326"/>
      <c r="E22" s="326"/>
      <c r="F22" s="326"/>
    </row>
    <row r="23" spans="1:6">
      <c r="A23" s="1310" t="s">
        <v>13</v>
      </c>
      <c r="B23" s="1311">
        <v>849</v>
      </c>
      <c r="C23" s="326"/>
      <c r="D23" s="326"/>
      <c r="E23" s="326"/>
      <c r="F23" s="326"/>
    </row>
    <row r="24" spans="1:6">
      <c r="A24" s="1310" t="s">
        <v>14</v>
      </c>
      <c r="B24" s="1311">
        <v>32</v>
      </c>
      <c r="C24" s="326"/>
      <c r="D24" s="326"/>
      <c r="E24" s="326"/>
      <c r="F24" s="326"/>
    </row>
    <row r="25" spans="1:6">
      <c r="A25" s="1310" t="s">
        <v>15</v>
      </c>
      <c r="B25" s="1311">
        <v>3157</v>
      </c>
      <c r="C25" s="326"/>
      <c r="D25" s="326"/>
      <c r="E25" s="326"/>
      <c r="F25" s="326"/>
    </row>
    <row r="26" spans="1:6">
      <c r="A26" s="1310" t="s">
        <v>16</v>
      </c>
      <c r="B26" s="1311">
        <v>251</v>
      </c>
      <c r="C26" s="326"/>
      <c r="D26" s="326"/>
      <c r="E26" s="326"/>
      <c r="F26" s="326"/>
    </row>
    <row r="27" spans="1:6">
      <c r="A27" s="1310" t="s">
        <v>17</v>
      </c>
      <c r="B27" s="1311">
        <v>824</v>
      </c>
      <c r="C27" s="326"/>
      <c r="D27" s="326"/>
      <c r="E27" s="326"/>
      <c r="F27" s="326"/>
    </row>
    <row r="28" spans="1:6">
      <c r="A28" s="1310" t="s">
        <v>18</v>
      </c>
      <c r="B28" s="1312">
        <v>229635</v>
      </c>
      <c r="C28" s="326"/>
      <c r="D28" s="326"/>
      <c r="E28" s="326"/>
      <c r="F28" s="326"/>
    </row>
    <row r="29" spans="1:6">
      <c r="A29" s="1310" t="s">
        <v>678</v>
      </c>
      <c r="B29" s="1312">
        <v>636</v>
      </c>
      <c r="C29" s="326"/>
      <c r="D29" s="326"/>
      <c r="E29" s="326"/>
      <c r="F29" s="326"/>
    </row>
    <row r="30" spans="1:6">
      <c r="A30" s="1305" t="s">
        <v>679</v>
      </c>
      <c r="B30" s="1313">
        <v>191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5</v>
      </c>
      <c r="D36" s="1311">
        <v>1295277.3653968</v>
      </c>
      <c r="E36" s="1311">
        <v>9</v>
      </c>
      <c r="F36" s="1311">
        <v>374775.77881048003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12185</v>
      </c>
    </row>
    <row r="39" spans="1:6">
      <c r="A39" s="1310" t="s">
        <v>29</v>
      </c>
      <c r="B39" s="1310" t="s">
        <v>30</v>
      </c>
      <c r="C39" s="1311">
        <v>25573</v>
      </c>
      <c r="D39" s="1311">
        <v>328839887.997895</v>
      </c>
      <c r="E39" s="1311">
        <v>32868</v>
      </c>
      <c r="F39" s="1311">
        <v>97089567.773268506</v>
      </c>
    </row>
    <row r="40" spans="1:6">
      <c r="A40" s="1310" t="s">
        <v>29</v>
      </c>
      <c r="B40" s="1310" t="s">
        <v>28</v>
      </c>
      <c r="C40" s="1311">
        <v>0</v>
      </c>
      <c r="D40" s="1311">
        <v>0</v>
      </c>
      <c r="E40" s="1311">
        <v>1</v>
      </c>
      <c r="F40" s="1311">
        <v>9651.7260545034005</v>
      </c>
    </row>
    <row r="41" spans="1:6">
      <c r="A41" s="1310" t="s">
        <v>31</v>
      </c>
      <c r="B41" s="1310" t="s">
        <v>32</v>
      </c>
      <c r="C41" s="1311">
        <v>394</v>
      </c>
      <c r="D41" s="1311">
        <v>9835956.8856770694</v>
      </c>
      <c r="E41" s="1311">
        <v>712</v>
      </c>
      <c r="F41" s="1311">
        <v>8268968.1595213301</v>
      </c>
    </row>
    <row r="42" spans="1:6">
      <c r="A42" s="1310" t="s">
        <v>31</v>
      </c>
      <c r="B42" s="1310" t="s">
        <v>33</v>
      </c>
      <c r="C42" s="1311">
        <v>5</v>
      </c>
      <c r="D42" s="1311">
        <v>3416508.68600534</v>
      </c>
      <c r="E42" s="1311">
        <v>8</v>
      </c>
      <c r="F42" s="1311">
        <v>2207608.37476775</v>
      </c>
    </row>
    <row r="43" spans="1:6">
      <c r="A43" s="1310" t="s">
        <v>31</v>
      </c>
      <c r="B43" s="1310" t="s">
        <v>34</v>
      </c>
      <c r="C43" s="1311">
        <v>0</v>
      </c>
      <c r="D43" s="1311">
        <v>0</v>
      </c>
      <c r="E43" s="1311">
        <v>0</v>
      </c>
      <c r="F43" s="1311">
        <v>0</v>
      </c>
    </row>
    <row r="44" spans="1:6">
      <c r="A44" s="1310" t="s">
        <v>31</v>
      </c>
      <c r="B44" s="1310" t="s">
        <v>35</v>
      </c>
      <c r="C44" s="1311">
        <v>53</v>
      </c>
      <c r="D44" s="1311">
        <v>10606145.6368974</v>
      </c>
      <c r="E44" s="1311">
        <v>87</v>
      </c>
      <c r="F44" s="1311">
        <v>22220492.862122599</v>
      </c>
    </row>
    <row r="45" spans="1:6">
      <c r="A45" s="1310" t="s">
        <v>31</v>
      </c>
      <c r="B45" s="1310" t="s">
        <v>36</v>
      </c>
      <c r="C45" s="1311">
        <v>6</v>
      </c>
      <c r="D45" s="1311">
        <v>21018192.084834501</v>
      </c>
      <c r="E45" s="1311">
        <v>17</v>
      </c>
      <c r="F45" s="1311">
        <v>20343167.909286499</v>
      </c>
    </row>
    <row r="46" spans="1:6">
      <c r="A46" s="1310" t="s">
        <v>31</v>
      </c>
      <c r="B46" s="1310" t="s">
        <v>37</v>
      </c>
      <c r="C46" s="1311">
        <v>0</v>
      </c>
      <c r="D46" s="1311">
        <v>0</v>
      </c>
      <c r="E46" s="1311">
        <v>0</v>
      </c>
      <c r="F46" s="1311">
        <v>0</v>
      </c>
    </row>
    <row r="47" spans="1:6">
      <c r="A47" s="1310" t="s">
        <v>31</v>
      </c>
      <c r="B47" s="1310" t="s">
        <v>38</v>
      </c>
      <c r="C47" s="1311">
        <v>17</v>
      </c>
      <c r="D47" s="1311">
        <v>1750299.0798343699</v>
      </c>
      <c r="E47" s="1311">
        <v>18</v>
      </c>
      <c r="F47" s="1311">
        <v>1538621.4961650199</v>
      </c>
    </row>
    <row r="48" spans="1:6">
      <c r="A48" s="1310" t="s">
        <v>31</v>
      </c>
      <c r="B48" s="1310" t="s">
        <v>28</v>
      </c>
      <c r="C48" s="1311">
        <v>1</v>
      </c>
      <c r="D48" s="1311">
        <v>147922.841553793</v>
      </c>
      <c r="E48" s="1311">
        <v>2</v>
      </c>
      <c r="F48" s="1311">
        <v>102645.282553596</v>
      </c>
    </row>
    <row r="49" spans="1:6">
      <c r="A49" s="1310" t="s">
        <v>31</v>
      </c>
      <c r="B49" s="1310" t="s">
        <v>39</v>
      </c>
      <c r="C49" s="1311">
        <v>19</v>
      </c>
      <c r="D49" s="1311">
        <v>8283458.6688169399</v>
      </c>
      <c r="E49" s="1311">
        <v>31</v>
      </c>
      <c r="F49" s="1311">
        <v>4004698.7374257599</v>
      </c>
    </row>
    <row r="50" spans="1:6">
      <c r="A50" s="1310" t="s">
        <v>31</v>
      </c>
      <c r="B50" s="1310" t="s">
        <v>40</v>
      </c>
      <c r="C50" s="1311">
        <v>48</v>
      </c>
      <c r="D50" s="1311">
        <v>19777219.772697799</v>
      </c>
      <c r="E50" s="1311">
        <v>66</v>
      </c>
      <c r="F50" s="1311">
        <v>16690307.538364099</v>
      </c>
    </row>
    <row r="51" spans="1:6">
      <c r="A51" s="1310" t="s">
        <v>41</v>
      </c>
      <c r="B51" s="1310" t="s">
        <v>42</v>
      </c>
      <c r="C51" s="1311">
        <v>48</v>
      </c>
      <c r="D51" s="1311">
        <v>1066684.97048641</v>
      </c>
      <c r="E51" s="1311">
        <v>198</v>
      </c>
      <c r="F51" s="1311">
        <v>3915491.0215282198</v>
      </c>
    </row>
    <row r="52" spans="1:6">
      <c r="A52" s="1310" t="s">
        <v>41</v>
      </c>
      <c r="B52" s="1310" t="s">
        <v>28</v>
      </c>
      <c r="C52" s="1311">
        <v>0</v>
      </c>
      <c r="D52" s="1311">
        <v>0</v>
      </c>
      <c r="E52" s="1311">
        <v>0</v>
      </c>
      <c r="F52" s="1311">
        <v>0</v>
      </c>
    </row>
    <row r="53" spans="1:6">
      <c r="A53" s="1310" t="s">
        <v>43</v>
      </c>
      <c r="B53" s="1310" t="s">
        <v>44</v>
      </c>
      <c r="C53" s="1311">
        <v>528</v>
      </c>
      <c r="D53" s="1311">
        <v>26234568.797609098</v>
      </c>
      <c r="E53" s="1311">
        <v>1502</v>
      </c>
      <c r="F53" s="1311">
        <v>12743532.8379583</v>
      </c>
    </row>
    <row r="54" spans="1:6">
      <c r="A54" s="1310" t="s">
        <v>45</v>
      </c>
      <c r="B54" s="1310" t="s">
        <v>46</v>
      </c>
      <c r="C54" s="1311">
        <v>0</v>
      </c>
      <c r="D54" s="1311">
        <v>0</v>
      </c>
      <c r="E54" s="1311">
        <v>1</v>
      </c>
      <c r="F54" s="1311">
        <v>3124253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345</v>
      </c>
      <c r="D57" s="1311">
        <v>30776709.402640499</v>
      </c>
      <c r="E57" s="1311">
        <v>396</v>
      </c>
      <c r="F57" s="1311">
        <v>9403156.1562996898</v>
      </c>
    </row>
    <row r="58" spans="1:6">
      <c r="A58" s="1310" t="s">
        <v>48</v>
      </c>
      <c r="B58" s="1310" t="s">
        <v>50</v>
      </c>
      <c r="C58" s="1311">
        <v>236</v>
      </c>
      <c r="D58" s="1311">
        <v>36635975.456810497</v>
      </c>
      <c r="E58" s="1311">
        <v>343</v>
      </c>
      <c r="F58" s="1311">
        <v>20093676.9544021</v>
      </c>
    </row>
    <row r="59" spans="1:6">
      <c r="A59" s="1310" t="s">
        <v>48</v>
      </c>
      <c r="B59" s="1310" t="s">
        <v>51</v>
      </c>
      <c r="C59" s="1311">
        <v>653</v>
      </c>
      <c r="D59" s="1311">
        <v>38789143.8314588</v>
      </c>
      <c r="E59" s="1311">
        <v>1150</v>
      </c>
      <c r="F59" s="1311">
        <v>46579679.823269799</v>
      </c>
    </row>
    <row r="60" spans="1:6">
      <c r="A60" s="1310" t="s">
        <v>48</v>
      </c>
      <c r="B60" s="1310" t="s">
        <v>52</v>
      </c>
      <c r="C60" s="1311">
        <v>290</v>
      </c>
      <c r="D60" s="1311">
        <v>21936925.684183098</v>
      </c>
      <c r="E60" s="1311">
        <v>337</v>
      </c>
      <c r="F60" s="1311">
        <v>11672862.5186875</v>
      </c>
    </row>
    <row r="61" spans="1:6">
      <c r="A61" s="1310" t="s">
        <v>48</v>
      </c>
      <c r="B61" s="1310" t="s">
        <v>53</v>
      </c>
      <c r="C61" s="1311">
        <v>913</v>
      </c>
      <c r="D61" s="1311">
        <v>41922036.019345097</v>
      </c>
      <c r="E61" s="1311">
        <v>1789</v>
      </c>
      <c r="F61" s="1311">
        <v>27014792.533214401</v>
      </c>
    </row>
    <row r="62" spans="1:6">
      <c r="A62" s="1310" t="s">
        <v>48</v>
      </c>
      <c r="B62" s="1310" t="s">
        <v>54</v>
      </c>
      <c r="C62" s="1311">
        <v>95</v>
      </c>
      <c r="D62" s="1311">
        <v>14643792.4097762</v>
      </c>
      <c r="E62" s="1311">
        <v>116</v>
      </c>
      <c r="F62" s="1311">
        <v>3920355.5524863601</v>
      </c>
    </row>
    <row r="63" spans="1:6">
      <c r="A63" s="1310" t="s">
        <v>48</v>
      </c>
      <c r="B63" s="1310" t="s">
        <v>28</v>
      </c>
      <c r="C63" s="1311">
        <v>0</v>
      </c>
      <c r="D63" s="1311">
        <v>0</v>
      </c>
      <c r="E63" s="1311">
        <v>0</v>
      </c>
      <c r="F63" s="1311">
        <v>0</v>
      </c>
    </row>
    <row r="64" spans="1:6">
      <c r="A64" s="1310" t="s">
        <v>55</v>
      </c>
      <c r="B64" s="1310" t="s">
        <v>56</v>
      </c>
      <c r="C64" s="1311">
        <v>0</v>
      </c>
      <c r="D64" s="1311">
        <v>0</v>
      </c>
      <c r="E64" s="1311">
        <v>3</v>
      </c>
      <c r="F64" s="1311">
        <v>26005.814740656901</v>
      </c>
    </row>
    <row r="65" spans="1:6">
      <c r="A65" s="1310" t="s">
        <v>55</v>
      </c>
      <c r="B65" s="1310" t="s">
        <v>28</v>
      </c>
      <c r="C65" s="1311">
        <v>4</v>
      </c>
      <c r="D65" s="1311">
        <v>330492.1279382942</v>
      </c>
      <c r="E65" s="1311">
        <v>1</v>
      </c>
      <c r="F65" s="1311">
        <v>1881</v>
      </c>
    </row>
    <row r="66" spans="1:6">
      <c r="A66" s="1310" t="s">
        <v>55</v>
      </c>
      <c r="B66" s="1310" t="s">
        <v>57</v>
      </c>
      <c r="C66" s="1311">
        <v>4</v>
      </c>
      <c r="D66" s="1311">
        <v>314005.56733465201</v>
      </c>
      <c r="E66" s="1311">
        <v>32</v>
      </c>
      <c r="F66" s="1311">
        <v>1137526.48078269</v>
      </c>
    </row>
    <row r="67" spans="1:6">
      <c r="A67" s="1310" t="s">
        <v>55</v>
      </c>
      <c r="B67" s="1310" t="s">
        <v>58</v>
      </c>
      <c r="C67" s="1311">
        <v>0</v>
      </c>
      <c r="D67" s="1311">
        <v>0</v>
      </c>
      <c r="E67" s="1311">
        <v>0</v>
      </c>
      <c r="F67" s="1311">
        <v>0</v>
      </c>
    </row>
    <row r="68" spans="1:6">
      <c r="A68" s="1305" t="s">
        <v>55</v>
      </c>
      <c r="B68" s="1305" t="s">
        <v>59</v>
      </c>
      <c r="C68" s="1313">
        <v>17</v>
      </c>
      <c r="D68" s="1313">
        <v>586309.89351766906</v>
      </c>
      <c r="E68" s="1313">
        <v>43</v>
      </c>
      <c r="F68" s="1313">
        <v>1051628.40492391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179028598</v>
      </c>
      <c r="E73" s="445"/>
      <c r="F73" s="326"/>
    </row>
    <row r="74" spans="1:6">
      <c r="A74" s="1310" t="s">
        <v>63</v>
      </c>
      <c r="B74" s="1310" t="s">
        <v>632</v>
      </c>
      <c r="C74" s="1323" t="s">
        <v>634</v>
      </c>
      <c r="D74" s="1311">
        <v>21929543.1039255</v>
      </c>
      <c r="E74" s="445"/>
      <c r="F74" s="326"/>
    </row>
    <row r="75" spans="1:6">
      <c r="A75" s="1310" t="s">
        <v>64</v>
      </c>
      <c r="B75" s="1310" t="s">
        <v>631</v>
      </c>
      <c r="C75" s="1323" t="s">
        <v>635</v>
      </c>
      <c r="D75" s="1311">
        <v>168304855</v>
      </c>
      <c r="E75" s="445"/>
      <c r="F75" s="326"/>
    </row>
    <row r="76" spans="1:6">
      <c r="A76" s="1310" t="s">
        <v>64</v>
      </c>
      <c r="B76" s="1310" t="s">
        <v>632</v>
      </c>
      <c r="C76" s="1323" t="s">
        <v>636</v>
      </c>
      <c r="D76" s="1311">
        <v>11398219.1039255</v>
      </c>
      <c r="E76" s="445"/>
      <c r="F76" s="326"/>
    </row>
    <row r="77" spans="1:6">
      <c r="A77" s="1310" t="s">
        <v>65</v>
      </c>
      <c r="B77" s="1310" t="s">
        <v>631</v>
      </c>
      <c r="C77" s="1323" t="s">
        <v>637</v>
      </c>
      <c r="D77" s="1311">
        <v>136854791</v>
      </c>
      <c r="E77" s="445"/>
      <c r="F77" s="326"/>
    </row>
    <row r="78" spans="1:6">
      <c r="A78" s="1305" t="s">
        <v>65</v>
      </c>
      <c r="B78" s="1305" t="s">
        <v>632</v>
      </c>
      <c r="C78" s="1305" t="s">
        <v>638</v>
      </c>
      <c r="D78" s="1313">
        <v>32656558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2455135.7921489999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17728.575747484472</v>
      </c>
      <c r="C91" s="326"/>
      <c r="D91" s="326"/>
      <c r="E91" s="326"/>
      <c r="F91" s="326"/>
    </row>
    <row r="92" spans="1:6">
      <c r="A92" s="1305" t="s">
        <v>68</v>
      </c>
      <c r="B92" s="1306">
        <v>14267.0893698124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16810</v>
      </c>
      <c r="C97" s="326"/>
      <c r="D97" s="326"/>
      <c r="E97" s="326"/>
      <c r="F97" s="326"/>
    </row>
    <row r="98" spans="1:6">
      <c r="A98" s="1310" t="s">
        <v>71</v>
      </c>
      <c r="B98" s="1311">
        <v>15</v>
      </c>
      <c r="C98" s="326"/>
      <c r="D98" s="326"/>
      <c r="E98" s="326"/>
      <c r="F98" s="326"/>
    </row>
    <row r="99" spans="1:6">
      <c r="A99" s="1310" t="s">
        <v>72</v>
      </c>
      <c r="B99" s="1311">
        <v>215</v>
      </c>
      <c r="C99" s="326"/>
      <c r="D99" s="326"/>
      <c r="E99" s="326"/>
      <c r="F99" s="326"/>
    </row>
    <row r="100" spans="1:6">
      <c r="A100" s="1310" t="s">
        <v>73</v>
      </c>
      <c r="B100" s="1311">
        <v>2077</v>
      </c>
      <c r="C100" s="326"/>
      <c r="D100" s="326"/>
      <c r="E100" s="326"/>
      <c r="F100" s="326"/>
    </row>
    <row r="101" spans="1:6">
      <c r="A101" s="1310" t="s">
        <v>74</v>
      </c>
      <c r="B101" s="1311">
        <v>290</v>
      </c>
      <c r="C101" s="326"/>
      <c r="D101" s="326"/>
      <c r="E101" s="326"/>
      <c r="F101" s="326"/>
    </row>
    <row r="102" spans="1:6">
      <c r="A102" s="1310" t="s">
        <v>75</v>
      </c>
      <c r="B102" s="1311">
        <v>856</v>
      </c>
      <c r="C102" s="326"/>
      <c r="D102" s="326"/>
      <c r="E102" s="326"/>
      <c r="F102" s="326"/>
    </row>
    <row r="103" spans="1:6">
      <c r="A103" s="1310" t="s">
        <v>76</v>
      </c>
      <c r="B103" s="1311">
        <v>965</v>
      </c>
      <c r="C103" s="326"/>
      <c r="D103" s="326"/>
      <c r="E103" s="326"/>
      <c r="F103" s="326"/>
    </row>
    <row r="104" spans="1:6">
      <c r="A104" s="1310" t="s">
        <v>77</v>
      </c>
      <c r="B104" s="1311">
        <v>6412</v>
      </c>
      <c r="C104" s="326"/>
      <c r="D104" s="326"/>
      <c r="E104" s="326"/>
      <c r="F104" s="326"/>
    </row>
    <row r="105" spans="1:6">
      <c r="A105" s="1305" t="s">
        <v>78</v>
      </c>
      <c r="B105" s="1313">
        <v>32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4</v>
      </c>
      <c r="C122" s="1311">
        <v>0</v>
      </c>
      <c r="D122" s="326"/>
      <c r="E122" s="326"/>
      <c r="F122" s="326"/>
    </row>
    <row r="123" spans="1:6">
      <c r="A123" s="1310" t="s">
        <v>87</v>
      </c>
      <c r="B123" s="1311">
        <v>309</v>
      </c>
      <c r="C123" s="1311">
        <v>151</v>
      </c>
      <c r="D123" s="326"/>
      <c r="E123" s="326"/>
      <c r="F123" s="326"/>
    </row>
    <row r="124" spans="1:6">
      <c r="A124" s="1310" t="s">
        <v>88</v>
      </c>
      <c r="B124" s="1311">
        <v>9</v>
      </c>
      <c r="C124" s="1311">
        <v>5</v>
      </c>
      <c r="D124" s="326"/>
      <c r="E124" s="326"/>
      <c r="F124" s="326"/>
    </row>
    <row r="125" spans="1:6">
      <c r="A125" s="1305" t="s">
        <v>780</v>
      </c>
      <c r="B125" s="1311">
        <v>5</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549</v>
      </c>
      <c r="C129" s="326"/>
      <c r="D129" s="326"/>
      <c r="E129" s="326"/>
      <c r="F129" s="326"/>
    </row>
    <row r="130" spans="1:6">
      <c r="A130" s="1310" t="s">
        <v>284</v>
      </c>
      <c r="B130" s="1311">
        <v>12</v>
      </c>
      <c r="C130" s="326"/>
      <c r="D130" s="326"/>
      <c r="E130" s="326"/>
      <c r="F130" s="326"/>
    </row>
    <row r="131" spans="1:6">
      <c r="A131" s="1310" t="s">
        <v>285</v>
      </c>
      <c r="B131" s="1311">
        <v>13</v>
      </c>
      <c r="C131" s="326"/>
      <c r="D131" s="326"/>
      <c r="E131" s="326"/>
      <c r="F131" s="326"/>
    </row>
    <row r="132" spans="1:6">
      <c r="A132" s="1305" t="s">
        <v>286</v>
      </c>
      <c r="B132" s="1306">
        <v>111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331795.74561497528</v>
      </c>
      <c r="C3" s="43" t="s">
        <v>163</v>
      </c>
      <c r="D3" s="43"/>
      <c r="E3" s="154"/>
      <c r="F3" s="43"/>
      <c r="G3" s="43"/>
      <c r="H3" s="43"/>
      <c r="I3" s="43"/>
      <c r="J3" s="43"/>
      <c r="K3" s="96"/>
    </row>
    <row r="4" spans="1:11">
      <c r="A4" s="352" t="s">
        <v>164</v>
      </c>
      <c r="B4" s="49">
        <f>IF(ISERROR('SEAP template'!B78+'SEAP template'!C78),0,'SEAP template'!B78+'SEAP template'!C78)</f>
        <v>33910.41511729687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455.03470588235302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0.19978463745219718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650.04957983193287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2735.3571428571431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3124.2530000000002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3124.2530000000002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0.19978463745219718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624.17775291393946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97099.219499323008</v>
      </c>
      <c r="C5" s="17">
        <f>IF(ISERROR('Eigen informatie GS &amp; warmtenet'!B59),0,'Eigen informatie GS &amp; warmtenet'!B59)</f>
        <v>0</v>
      </c>
      <c r="D5" s="30">
        <f>(SUM(HH_hh_gas_kWh,HH_rest_gas_kWh)/1000)*0.903</f>
        <v>296942.41886209918</v>
      </c>
      <c r="E5" s="17">
        <f>B32*B41</f>
        <v>5147.1298805143033</v>
      </c>
      <c r="F5" s="17">
        <f>B36*B45</f>
        <v>112756.14259419918</v>
      </c>
      <c r="G5" s="18"/>
      <c r="H5" s="17"/>
      <c r="I5" s="17"/>
      <c r="J5" s="17">
        <f>B35*B44+C35*C44</f>
        <v>642.60958920742212</v>
      </c>
      <c r="K5" s="17"/>
      <c r="L5" s="17"/>
      <c r="M5" s="17"/>
      <c r="N5" s="17">
        <f>B34*B43+C34*C43</f>
        <v>41461.37152920798</v>
      </c>
      <c r="O5" s="17">
        <f>B52*B53*B54</f>
        <v>1398.6905446678575</v>
      </c>
      <c r="P5" s="17">
        <f>B60*B61*B62/1000-B60*B61*B62/1000/B63</f>
        <v>4519.0685429968753</v>
      </c>
    </row>
    <row r="6" spans="1:16">
      <c r="A6" s="16" t="s">
        <v>597</v>
      </c>
      <c r="B6" s="778">
        <f>kWh_PV_kleiner_dan_10kW</f>
        <v>17728.575747484472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114827.79524680748</v>
      </c>
      <c r="C8" s="21">
        <f>C5</f>
        <v>0</v>
      </c>
      <c r="D8" s="21">
        <f>D5</f>
        <v>296942.41886209918</v>
      </c>
      <c r="E8" s="21">
        <f>E5</f>
        <v>5147.1298805143033</v>
      </c>
      <c r="F8" s="21">
        <f>F5</f>
        <v>112756.14259419918</v>
      </c>
      <c r="G8" s="21"/>
      <c r="H8" s="21"/>
      <c r="I8" s="21"/>
      <c r="J8" s="21">
        <f>J5</f>
        <v>642.60958920742212</v>
      </c>
      <c r="K8" s="21"/>
      <c r="L8" s="21">
        <f>L5</f>
        <v>0</v>
      </c>
      <c r="M8" s="21">
        <f>M5</f>
        <v>0</v>
      </c>
      <c r="N8" s="21">
        <f>N5</f>
        <v>41461.37152920798</v>
      </c>
      <c r="O8" s="21">
        <f>O5</f>
        <v>1398.6905446678575</v>
      </c>
      <c r="P8" s="21">
        <f>P5</f>
        <v>4519.0685429968753</v>
      </c>
    </row>
    <row r="9" spans="1:16">
      <c r="B9" s="19"/>
      <c r="C9" s="19"/>
      <c r="D9" s="254"/>
      <c r="E9" s="19"/>
      <c r="F9" s="19"/>
      <c r="G9" s="19"/>
      <c r="H9" s="19"/>
      <c r="I9" s="19"/>
      <c r="J9" s="19"/>
      <c r="K9" s="19"/>
      <c r="L9" s="19"/>
      <c r="M9" s="19"/>
      <c r="N9" s="19"/>
      <c r="O9" s="19"/>
      <c r="P9" s="19"/>
    </row>
    <row r="10" spans="1:16">
      <c r="A10" s="24" t="s">
        <v>207</v>
      </c>
      <c r="B10" s="25">
        <f ca="1">'EF ele_warmte'!B12</f>
        <v>0.19978463745219718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22940.829442818562</v>
      </c>
      <c r="C12" s="23">
        <f ca="1">C10*C8</f>
        <v>0</v>
      </c>
      <c r="D12" s="23">
        <f>D8*D10</f>
        <v>59982.36861014404</v>
      </c>
      <c r="E12" s="23">
        <f>E10*E8</f>
        <v>1168.3984828767468</v>
      </c>
      <c r="F12" s="23">
        <f>F10*F8</f>
        <v>30105.890072651182</v>
      </c>
      <c r="G12" s="23"/>
      <c r="H12" s="23"/>
      <c r="I12" s="23"/>
      <c r="J12" s="23">
        <f>J10*J8</f>
        <v>227.48379457942741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32832</v>
      </c>
      <c r="C26" s="36"/>
      <c r="D26" s="225"/>
    </row>
    <row r="27" spans="1:5" s="15" customFormat="1">
      <c r="A27" s="227" t="s">
        <v>860</v>
      </c>
      <c r="B27" s="37">
        <f>SUM(HH_hh_gas_aantal,HH_rest_gas_aantal)</f>
        <v>25573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24294.35</v>
      </c>
      <c r="C31" s="34" t="s">
        <v>104</v>
      </c>
      <c r="D31" s="171"/>
    </row>
    <row r="32" spans="1:5">
      <c r="A32" s="168" t="s">
        <v>72</v>
      </c>
      <c r="B32" s="33">
        <f>IF((B21*($B$26-($B$27-0.05*$B$27)-$B$60))&lt;0,0,(B21*($B$26-($B$27-0.05*$B$27)-$B$60)))</f>
        <v>128.72642988957361</v>
      </c>
      <c r="C32" s="34" t="s">
        <v>104</v>
      </c>
      <c r="D32" s="171"/>
    </row>
    <row r="33" spans="1:6">
      <c r="A33" s="168" t="s">
        <v>73</v>
      </c>
      <c r="B33" s="33">
        <f>IF((B22*($B$26-($B$27-0.05*$B$27)-$B$60))&lt;0,0,B22*($B$26-($B$27-0.05*$B$27)-$B$60))</f>
        <v>2090.2622759140258</v>
      </c>
      <c r="C33" s="34" t="s">
        <v>104</v>
      </c>
      <c r="D33" s="171"/>
    </row>
    <row r="34" spans="1:6">
      <c r="A34" s="168" t="s">
        <v>74</v>
      </c>
      <c r="B34" s="33">
        <f>IF((B24*($B$26-($B$27-0.05*$B$27)-$B$60))&lt;0,0,B24*($B$26-($B$27-0.05*$B$27)-$B$60))</f>
        <v>400.73125115257722</v>
      </c>
      <c r="C34" s="33">
        <f>B26*C24</f>
        <v>6727.4718157284588</v>
      </c>
      <c r="D34" s="230"/>
    </row>
    <row r="35" spans="1:6">
      <c r="A35" s="168" t="s">
        <v>76</v>
      </c>
      <c r="B35" s="33">
        <f>IF((B19*($B$26-($B$27-0.05*$B$27)-$B$60))&lt;0,0,B19*($B$26-($B$27-0.05*$B$27)-$B$60))</f>
        <v>55.957072180788728</v>
      </c>
      <c r="C35" s="33">
        <f>B35/2</f>
        <v>27.978536090394364</v>
      </c>
      <c r="D35" s="230"/>
    </row>
    <row r="36" spans="1:6">
      <c r="A36" s="168" t="s">
        <v>77</v>
      </c>
      <c r="B36" s="33">
        <f>IF((B18*($B$26-($B$27-0.05*$B$27)-$B$60))&lt;0,0,B18*($B$26-($B$27-0.05*$B$27)-$B$60))</f>
        <v>5432.9729708630348</v>
      </c>
      <c r="C36" s="34" t="s">
        <v>104</v>
      </c>
      <c r="D36" s="171"/>
    </row>
    <row r="37" spans="1:6">
      <c r="A37" s="168" t="s">
        <v>78</v>
      </c>
      <c r="B37" s="33">
        <f>B60</f>
        <v>429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705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429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118684.52353835986</v>
      </c>
      <c r="C5" s="17">
        <f>IF(ISERROR('Eigen informatie GS &amp; warmtenet'!B60),0,'Eigen informatie GS &amp; warmtenet'!B60)</f>
        <v>0</v>
      </c>
      <c r="D5" s="30">
        <f>SUM(D6:D12)</f>
        <v>166788.23827220543</v>
      </c>
      <c r="E5" s="17">
        <f>SUM(E6:E12)</f>
        <v>500.68410347527197</v>
      </c>
      <c r="F5" s="17">
        <f>SUM(F6:F12)</f>
        <v>18534.518562252531</v>
      </c>
      <c r="G5" s="18"/>
      <c r="H5" s="17"/>
      <c r="I5" s="17"/>
      <c r="J5" s="17">
        <f>SUM(J6:J12)</f>
        <v>9.5105139813829717E-2</v>
      </c>
      <c r="K5" s="17"/>
      <c r="L5" s="17"/>
      <c r="M5" s="17"/>
      <c r="N5" s="17">
        <f>SUM(N6:N12)</f>
        <v>3812.1411739343871</v>
      </c>
      <c r="O5" s="17">
        <f>B38*B39*B40</f>
        <v>58.767129190093854</v>
      </c>
      <c r="P5" s="17">
        <f>B46*B47*B48/1000-B46*B47*B48/1000/B49</f>
        <v>1313.4784576623756</v>
      </c>
      <c r="R5" s="32"/>
    </row>
    <row r="6" spans="1:18">
      <c r="A6" s="32" t="s">
        <v>53</v>
      </c>
      <c r="B6" s="37">
        <f>B26</f>
        <v>27014.7925332144</v>
      </c>
      <c r="C6" s="33"/>
      <c r="D6" s="37">
        <f>IF(ISERROR(TER_kantoor_gas_kWh/1000),0,TER_kantoor_gas_kWh/1000)*0.903</f>
        <v>37855.598525468624</v>
      </c>
      <c r="E6" s="33">
        <f>$C$26*'E Balans VL '!I12/100/3.6*1000000</f>
        <v>6.4368288083615131</v>
      </c>
      <c r="F6" s="33">
        <f>$C$26*('E Balans VL '!L12+'E Balans VL '!N12)/100/3.6*1000000</f>
        <v>2346.499372441167</v>
      </c>
      <c r="G6" s="34"/>
      <c r="H6" s="33"/>
      <c r="I6" s="33"/>
      <c r="J6" s="33">
        <f>$C$26*('E Balans VL '!D12+'E Balans VL '!E12)/100/3.6*1000000</f>
        <v>0</v>
      </c>
      <c r="K6" s="33"/>
      <c r="L6" s="33"/>
      <c r="M6" s="33"/>
      <c r="N6" s="33">
        <f>$C$26*'E Balans VL '!Y12/100/3.6*1000000</f>
        <v>36.109049595493765</v>
      </c>
      <c r="O6" s="33"/>
      <c r="P6" s="33"/>
      <c r="R6" s="32"/>
    </row>
    <row r="7" spans="1:18">
      <c r="A7" s="32" t="s">
        <v>52</v>
      </c>
      <c r="B7" s="37">
        <f t="shared" ref="B7:B12" si="0">B27</f>
        <v>11672.8625186875</v>
      </c>
      <c r="C7" s="33"/>
      <c r="D7" s="37">
        <f>IF(ISERROR(TER_horeca_gas_kWh/1000),0,TER_horeca_gas_kWh/1000)*0.903</f>
        <v>19809.043892817339</v>
      </c>
      <c r="E7" s="33">
        <f>$C$27*'E Balans VL '!I9/100/3.6*1000000</f>
        <v>0</v>
      </c>
      <c r="F7" s="33">
        <f>$C$27*('E Balans VL '!L9+'E Balans VL '!N9)/100/3.6*1000000</f>
        <v>951.12704663762531</v>
      </c>
      <c r="G7" s="34"/>
      <c r="H7" s="33"/>
      <c r="I7" s="33"/>
      <c r="J7" s="33">
        <f>$C$27*('E Balans VL '!D9+'E Balans VL '!E9)/100/3.6*1000000</f>
        <v>0</v>
      </c>
      <c r="K7" s="33"/>
      <c r="L7" s="33"/>
      <c r="M7" s="33"/>
      <c r="N7" s="33">
        <f>$C$27*'E Balans VL '!Y9/100/3.6*1000000</f>
        <v>3.2331655999004054</v>
      </c>
      <c r="O7" s="33"/>
      <c r="P7" s="33"/>
      <c r="R7" s="32"/>
    </row>
    <row r="8" spans="1:18">
      <c r="A8" s="6" t="s">
        <v>51</v>
      </c>
      <c r="B8" s="37">
        <f t="shared" si="0"/>
        <v>46579.679823269798</v>
      </c>
      <c r="C8" s="33"/>
      <c r="D8" s="37">
        <f>IF(ISERROR(TER_handel_gas_kWh/1000),0,TER_handel_gas_kWh/1000)*0.903</f>
        <v>35026.596879807301</v>
      </c>
      <c r="E8" s="33">
        <f>$C$28*'E Balans VL '!I13/100/3.6*1000000</f>
        <v>372.34000863431231</v>
      </c>
      <c r="F8" s="33">
        <f>$C$28*('E Balans VL '!L13+'E Balans VL '!N13)/100/3.6*1000000</f>
        <v>4627.4016342579707</v>
      </c>
      <c r="G8" s="34"/>
      <c r="H8" s="33"/>
      <c r="I8" s="33"/>
      <c r="J8" s="33">
        <f>$C$28*('E Balans VL '!D13+'E Balans VL '!E13)/100/3.6*1000000</f>
        <v>0</v>
      </c>
      <c r="K8" s="33"/>
      <c r="L8" s="33"/>
      <c r="M8" s="33"/>
      <c r="N8" s="33">
        <f>$C$28*'E Balans VL '!Y13/100/3.6*1000000</f>
        <v>17.400283021088772</v>
      </c>
      <c r="O8" s="33"/>
      <c r="P8" s="33"/>
      <c r="R8" s="32"/>
    </row>
    <row r="9" spans="1:18">
      <c r="A9" s="32" t="s">
        <v>50</v>
      </c>
      <c r="B9" s="37">
        <f t="shared" si="0"/>
        <v>20093.676954402101</v>
      </c>
      <c r="C9" s="33"/>
      <c r="D9" s="37">
        <f>IF(ISERROR(TER_gezond_gas_kWh/1000),0,TER_gezond_gas_kWh/1000)*0.903</f>
        <v>33082.285837499883</v>
      </c>
      <c r="E9" s="33">
        <f>$C$29*'E Balans VL '!I10/100/3.6*1000000</f>
        <v>0</v>
      </c>
      <c r="F9" s="33">
        <f>$C$29*('E Balans VL '!L10+'E Balans VL '!N10)/100/3.6*1000000</f>
        <v>1831.8660948580571</v>
      </c>
      <c r="G9" s="34"/>
      <c r="H9" s="33"/>
      <c r="I9" s="33"/>
      <c r="J9" s="33">
        <f>$C$29*('E Balans VL '!D10+'E Balans VL '!E10)/100/3.6*1000000</f>
        <v>0</v>
      </c>
      <c r="K9" s="33"/>
      <c r="L9" s="33"/>
      <c r="M9" s="33"/>
      <c r="N9" s="33">
        <f>$C$29*'E Balans VL '!Y10/100/3.6*1000000</f>
        <v>146.86677138626101</v>
      </c>
      <c r="O9" s="33"/>
      <c r="P9" s="33"/>
      <c r="R9" s="32"/>
    </row>
    <row r="10" spans="1:18">
      <c r="A10" s="32" t="s">
        <v>49</v>
      </c>
      <c r="B10" s="37">
        <f t="shared" si="0"/>
        <v>9403.1561562996903</v>
      </c>
      <c r="C10" s="33"/>
      <c r="D10" s="37">
        <f>IF(ISERROR(TER_ander_gas_kWh/1000),0,TER_ander_gas_kWh/1000)*0.903</f>
        <v>27791.36859058437</v>
      </c>
      <c r="E10" s="33">
        <f>$C$30*'E Balans VL '!I14/100/3.6*1000000</f>
        <v>121.90726603259816</v>
      </c>
      <c r="F10" s="33">
        <f>$C$30*('E Balans VL '!L14+'E Balans VL '!N14)/100/3.6*1000000</f>
        <v>8624.014423518609</v>
      </c>
      <c r="G10" s="34"/>
      <c r="H10" s="33"/>
      <c r="I10" s="33"/>
      <c r="J10" s="33">
        <f>$C$30*('E Balans VL '!D14+'E Balans VL '!E14)/100/3.6*1000000</f>
        <v>9.5105139813829717E-2</v>
      </c>
      <c r="K10" s="33"/>
      <c r="L10" s="33"/>
      <c r="M10" s="33"/>
      <c r="N10" s="33">
        <f>$C$30*'E Balans VL '!Y14/100/3.6*1000000</f>
        <v>3596.1857360835365</v>
      </c>
      <c r="O10" s="33"/>
      <c r="P10" s="33"/>
      <c r="R10" s="32"/>
    </row>
    <row r="11" spans="1:18">
      <c r="A11" s="32" t="s">
        <v>54</v>
      </c>
      <c r="B11" s="37">
        <f t="shared" si="0"/>
        <v>3920.35555248636</v>
      </c>
      <c r="C11" s="33"/>
      <c r="D11" s="37">
        <f>IF(ISERROR(TER_onderwijs_gas_kWh/1000),0,TER_onderwijs_gas_kWh/1000)*0.903</f>
        <v>13223.344546027907</v>
      </c>
      <c r="E11" s="33">
        <f>$C$31*'E Balans VL '!I11/100/3.6*1000000</f>
        <v>0</v>
      </c>
      <c r="F11" s="33">
        <f>$C$31*('E Balans VL '!L11+'E Balans VL '!N11)/100/3.6*1000000</f>
        <v>153.60999053910155</v>
      </c>
      <c r="G11" s="34"/>
      <c r="H11" s="33"/>
      <c r="I11" s="33"/>
      <c r="J11" s="33">
        <f>$C$31*('E Balans VL '!D11+'E Balans VL '!E11)/100/3.6*1000000</f>
        <v>0</v>
      </c>
      <c r="K11" s="33"/>
      <c r="L11" s="33"/>
      <c r="M11" s="33"/>
      <c r="N11" s="33">
        <f>$C$31*'E Balans VL '!Y11/100/3.6*1000000</f>
        <v>12.346168248106375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1271.25</v>
      </c>
      <c r="C13" s="243">
        <f ca="1">'lokale energieproductie'!O41+'lokale energieproductie'!O34</f>
        <v>1816.0714285714287</v>
      </c>
      <c r="D13" s="304">
        <f ca="1">('lokale energieproductie'!P34+'lokale energieproductie'!P41)*(-1)</f>
        <v>-3632.1428571428573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119955.77353835986</v>
      </c>
      <c r="C16" s="21">
        <f t="shared" ca="1" si="1"/>
        <v>1816.0714285714287</v>
      </c>
      <c r="D16" s="21">
        <f t="shared" ca="1" si="1"/>
        <v>163156.09541506256</v>
      </c>
      <c r="E16" s="21">
        <f t="shared" si="1"/>
        <v>500.68410347527197</v>
      </c>
      <c r="F16" s="21">
        <f t="shared" ca="1" si="1"/>
        <v>18534.518562252531</v>
      </c>
      <c r="G16" s="21">
        <f t="shared" si="1"/>
        <v>0</v>
      </c>
      <c r="H16" s="21">
        <f t="shared" si="1"/>
        <v>0</v>
      </c>
      <c r="I16" s="21">
        <f t="shared" si="1"/>
        <v>0</v>
      </c>
      <c r="J16" s="21">
        <f t="shared" si="1"/>
        <v>9.5105139813829717E-2</v>
      </c>
      <c r="K16" s="21">
        <f t="shared" si="1"/>
        <v>0</v>
      </c>
      <c r="L16" s="21">
        <f t="shared" ca="1" si="1"/>
        <v>0</v>
      </c>
      <c r="M16" s="21">
        <f t="shared" si="1"/>
        <v>0</v>
      </c>
      <c r="N16" s="21">
        <f t="shared" ca="1" si="1"/>
        <v>3812.1411739343871</v>
      </c>
      <c r="O16" s="21">
        <f>O5</f>
        <v>58.767129190093854</v>
      </c>
      <c r="P16" s="21">
        <f>P5</f>
        <v>1313.4784576623756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0.19978463745219718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23965.320726659094</v>
      </c>
      <c r="C20" s="23">
        <f t="shared" ref="C20:P20" ca="1" si="2">C16*C18</f>
        <v>431.58403361344546</v>
      </c>
      <c r="D20" s="23">
        <f t="shared" ca="1" si="2"/>
        <v>32957.531273842636</v>
      </c>
      <c r="E20" s="23">
        <f t="shared" si="2"/>
        <v>113.65529148888675</v>
      </c>
      <c r="F20" s="23">
        <f t="shared" ca="1" si="2"/>
        <v>4948.7164561214258</v>
      </c>
      <c r="G20" s="23">
        <f t="shared" si="2"/>
        <v>0</v>
      </c>
      <c r="H20" s="23">
        <f t="shared" si="2"/>
        <v>0</v>
      </c>
      <c r="I20" s="23">
        <f t="shared" si="2"/>
        <v>0</v>
      </c>
      <c r="J20" s="23">
        <f t="shared" si="2"/>
        <v>3.3667219494095721E-2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27014.7925332144</v>
      </c>
      <c r="C26" s="39">
        <f>IF(ISERROR(B26*3.6/1000000/'E Balans VL '!Z12*100),0,B26*3.6/1000000/'E Balans VL '!Z12*100)</f>
        <v>0.77505185554799694</v>
      </c>
      <c r="D26" s="233" t="s">
        <v>835</v>
      </c>
      <c r="F26" s="6"/>
    </row>
    <row r="27" spans="1:18" ht="30">
      <c r="A27" s="228" t="s">
        <v>52</v>
      </c>
      <c r="B27" s="33">
        <f>IF(ISERROR(TER_horeca_ele_kWh/1000),0,TER_horeca_ele_kWh/1000)</f>
        <v>11672.8625186875</v>
      </c>
      <c r="C27" s="39">
        <f>IF(ISERROR(B27*3.6/1000000/'E Balans VL '!Z9*100),0,B27*3.6/1000000/'E Balans VL '!Z9*100)</f>
        <v>0.85515804072746526</v>
      </c>
      <c r="D27" s="233" t="s">
        <v>835</v>
      </c>
      <c r="F27" s="6"/>
    </row>
    <row r="28" spans="1:18" ht="30">
      <c r="A28" s="168" t="s">
        <v>51</v>
      </c>
      <c r="B28" s="33">
        <f>IF(ISERROR(TER_handel_ele_kWh/1000),0,TER_handel_ele_kWh/1000)</f>
        <v>46579.679823269798</v>
      </c>
      <c r="C28" s="39">
        <f>IF(ISERROR(B28*3.6/1000000/'E Balans VL '!Z13*100),0,B28*3.6/1000000/'E Balans VL '!Z13*100)</f>
        <v>1.4393513942322467</v>
      </c>
      <c r="D28" s="233" t="s">
        <v>835</v>
      </c>
      <c r="F28" s="6"/>
    </row>
    <row r="29" spans="1:18" ht="30">
      <c r="A29" s="228" t="s">
        <v>50</v>
      </c>
      <c r="B29" s="33">
        <f>IF(ISERROR(TER_gezond_ele_kWh/1000),0,TER_gezond_ele_kWh/1000)</f>
        <v>20093.676954402101</v>
      </c>
      <c r="C29" s="39">
        <f>IF(ISERROR(B29*3.6/1000000/'E Balans VL '!Z10*100),0,B29*3.6/1000000/'E Balans VL '!Z10*100)</f>
        <v>1.969303896646758</v>
      </c>
      <c r="D29" s="233" t="s">
        <v>835</v>
      </c>
      <c r="F29" s="6"/>
    </row>
    <row r="30" spans="1:18" ht="30">
      <c r="A30" s="228" t="s">
        <v>49</v>
      </c>
      <c r="B30" s="33">
        <f>IF(ISERROR(TER_ander_ele_kWh/1000),0,TER_ander_ele_kWh/1000)</f>
        <v>9403.1561562996903</v>
      </c>
      <c r="C30" s="39">
        <f>IF(ISERROR(B30*3.6/1000000/'E Balans VL '!Z14*100),0,B30*3.6/1000000/'E Balans VL '!Z14*100)</f>
        <v>0.38950910503957564</v>
      </c>
      <c r="D30" s="233" t="s">
        <v>835</v>
      </c>
      <c r="F30" s="6"/>
    </row>
    <row r="31" spans="1:18" ht="30">
      <c r="A31" s="228" t="s">
        <v>54</v>
      </c>
      <c r="B31" s="33">
        <f>IF(ISERROR(TER_onderwijs_ele_kWh/1000),0,TER_onderwijs_ele_kWh/1000)</f>
        <v>3920.35555248636</v>
      </c>
      <c r="C31" s="39">
        <f>IF(ISERROR(B31*3.6/1000000/'E Balans VL '!Z11*100),0,B31*3.6/1000000/'E Balans VL '!Z11*100)</f>
        <v>1.2046060721985965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75376.510360206652</v>
      </c>
      <c r="C5" s="17">
        <f>IF(ISERROR('Eigen informatie GS &amp; warmtenet'!B61),0,'Eigen informatie GS &amp; warmtenet'!B61)</f>
        <v>0</v>
      </c>
      <c r="D5" s="30">
        <f>SUM(D6:D15)</f>
        <v>67576.640401654455</v>
      </c>
      <c r="E5" s="17">
        <f>SUM(E6:E15)</f>
        <v>986.22706122400587</v>
      </c>
      <c r="F5" s="17">
        <f>SUM(F6:F15)</f>
        <v>10322.526733786923</v>
      </c>
      <c r="G5" s="18"/>
      <c r="H5" s="17"/>
      <c r="I5" s="17"/>
      <c r="J5" s="17">
        <f>SUM(J6:J15)</f>
        <v>747.07507140695736</v>
      </c>
      <c r="K5" s="17"/>
      <c r="L5" s="17"/>
      <c r="M5" s="17"/>
      <c r="N5" s="17">
        <f>SUM(N6:N15)</f>
        <v>12630.5937584358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22220.492862122599</v>
      </c>
      <c r="C8" s="33"/>
      <c r="D8" s="37">
        <f>IF( ISERROR(IND_metaal_Gas_kWH/1000),0,IND_metaal_Gas_kWH/1000)*0.903</f>
        <v>9577.3495101183526</v>
      </c>
      <c r="E8" s="33">
        <f>C30*'E Balans VL '!I18/100/3.6*1000000</f>
        <v>121.12737204332416</v>
      </c>
      <c r="F8" s="33">
        <f>C30*'E Balans VL '!L18/100/3.6*1000000+C30*'E Balans VL '!N18/100/3.6*1000000</f>
        <v>1431.0014375819696</v>
      </c>
      <c r="G8" s="34"/>
      <c r="H8" s="33"/>
      <c r="I8" s="33"/>
      <c r="J8" s="40">
        <f>C30*'E Balans VL '!D18/100/3.6*1000000+C30*'E Balans VL '!E18/100/3.6*1000000</f>
        <v>18.201294074422979</v>
      </c>
      <c r="K8" s="33"/>
      <c r="L8" s="33"/>
      <c r="M8" s="33"/>
      <c r="N8" s="33">
        <f>C30*'E Balans VL '!Y18/100/3.6*1000000</f>
        <v>480.05906505341517</v>
      </c>
      <c r="O8" s="33"/>
      <c r="P8" s="33"/>
      <c r="R8" s="32"/>
    </row>
    <row r="9" spans="1:18">
      <c r="A9" s="6" t="s">
        <v>32</v>
      </c>
      <c r="B9" s="37">
        <f t="shared" si="0"/>
        <v>8268.9681595213297</v>
      </c>
      <c r="C9" s="33"/>
      <c r="D9" s="37">
        <f>IF( ISERROR(IND_andere_gas_kWh/1000),0,IND_andere_gas_kWh/1000)*0.903</f>
        <v>8881.8690677663944</v>
      </c>
      <c r="E9" s="33">
        <f>C31*'E Balans VL '!I19/100/3.6*1000000</f>
        <v>26.693637428806969</v>
      </c>
      <c r="F9" s="33">
        <f>C31*'E Balans VL '!L19/100/3.6*1000000+C31*'E Balans VL '!N19/100/3.6*1000000</f>
        <v>5346.7797238544144</v>
      </c>
      <c r="G9" s="34"/>
      <c r="H9" s="33"/>
      <c r="I9" s="33"/>
      <c r="J9" s="40">
        <f>C31*'E Balans VL '!D19/100/3.6*1000000+C31*'E Balans VL '!E19/100/3.6*1000000</f>
        <v>0</v>
      </c>
      <c r="K9" s="33"/>
      <c r="L9" s="33"/>
      <c r="M9" s="33"/>
      <c r="N9" s="33">
        <f>C31*'E Balans VL '!Y19/100/3.6*1000000</f>
        <v>334.13945183036742</v>
      </c>
      <c r="O9" s="33"/>
      <c r="P9" s="33"/>
      <c r="R9" s="32"/>
    </row>
    <row r="10" spans="1:18">
      <c r="A10" s="6" t="s">
        <v>40</v>
      </c>
      <c r="B10" s="37">
        <f t="shared" si="0"/>
        <v>16690.307538364101</v>
      </c>
      <c r="C10" s="33"/>
      <c r="D10" s="37">
        <f>IF( ISERROR(IND_voed_gas_kWh/1000),0,IND_voed_gas_kWh/1000)*0.903</f>
        <v>17858.829454746112</v>
      </c>
      <c r="E10" s="33">
        <f>C32*'E Balans VL '!I20/100/3.6*1000000</f>
        <v>34.986974953486161</v>
      </c>
      <c r="F10" s="33">
        <f>C32*'E Balans VL '!L20/100/3.6*1000000+C32*'E Balans VL '!N20/100/3.6*1000000</f>
        <v>325.18487049988607</v>
      </c>
      <c r="G10" s="34"/>
      <c r="H10" s="33"/>
      <c r="I10" s="33"/>
      <c r="J10" s="40">
        <f>C32*'E Balans VL '!D20/100/3.6*1000000+C32*'E Balans VL '!E20/100/3.6*1000000</f>
        <v>0</v>
      </c>
      <c r="K10" s="33"/>
      <c r="L10" s="33"/>
      <c r="M10" s="33"/>
      <c r="N10" s="33">
        <f>C32*'E Balans VL '!Y20/100/3.6*1000000</f>
        <v>663.89416156205232</v>
      </c>
      <c r="O10" s="33"/>
      <c r="P10" s="33"/>
      <c r="R10" s="32"/>
    </row>
    <row r="11" spans="1:18">
      <c r="A11" s="6" t="s">
        <v>39</v>
      </c>
      <c r="B11" s="37">
        <f t="shared" si="0"/>
        <v>4004.6987374257601</v>
      </c>
      <c r="C11" s="33"/>
      <c r="D11" s="37">
        <f>IF( ISERROR(IND_textiel_gas_kWh/1000),0,IND_textiel_gas_kWh/1000)*0.903</f>
        <v>7479.9631779416968</v>
      </c>
      <c r="E11" s="33">
        <f>C33*'E Balans VL '!I21/100/3.6*1000000</f>
        <v>3.4411172419248026</v>
      </c>
      <c r="F11" s="33">
        <f>C33*'E Balans VL '!L21/100/3.6*1000000+C33*'E Balans VL '!N21/100/3.6*1000000</f>
        <v>83.962665435451669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20343.167909286498</v>
      </c>
      <c r="C12" s="33"/>
      <c r="D12" s="37">
        <f>IF( ISERROR(IND_min_gas_kWh/1000),0,IND_min_gas_kWh/1000)*0.903</f>
        <v>18979.427452605552</v>
      </c>
      <c r="E12" s="33">
        <f>C34*'E Balans VL '!I22/100/3.6*1000000</f>
        <v>332.91714076729443</v>
      </c>
      <c r="F12" s="33">
        <f>C34*'E Balans VL '!L22/100/3.6*1000000+C34*'E Balans VL '!N22/100/3.6*1000000</f>
        <v>3105.0657679683973</v>
      </c>
      <c r="G12" s="34"/>
      <c r="H12" s="33"/>
      <c r="I12" s="33"/>
      <c r="J12" s="40">
        <f>C34*'E Balans VL '!D22/100/3.6*1000000+C34*'E Balans VL '!E22/100/3.6*1000000</f>
        <v>728.01211393014012</v>
      </c>
      <c r="K12" s="33"/>
      <c r="L12" s="33"/>
      <c r="M12" s="33"/>
      <c r="N12" s="33">
        <f>C34*'E Balans VL '!Y22/100/3.6*1000000</f>
        <v>11148.487774907511</v>
      </c>
      <c r="O12" s="33"/>
      <c r="P12" s="33"/>
      <c r="R12" s="32"/>
    </row>
    <row r="13" spans="1:18">
      <c r="A13" s="6" t="s">
        <v>38</v>
      </c>
      <c r="B13" s="37">
        <f t="shared" si="0"/>
        <v>1538.6214961650198</v>
      </c>
      <c r="C13" s="33"/>
      <c r="D13" s="37">
        <f>IF( ISERROR(IND_papier_gas_kWh/1000),0,IND_papier_gas_kWh/1000)*0.903</f>
        <v>1580.520069090436</v>
      </c>
      <c r="E13" s="33">
        <f>C35*'E Balans VL '!I23/100/3.6*1000000</f>
        <v>0</v>
      </c>
      <c r="F13" s="33">
        <f>C35*'E Balans VL '!L23/100/3.6*1000000+C35*'E Balans VL '!N23/100/3.6*1000000</f>
        <v>0.20610320016968919</v>
      </c>
      <c r="G13" s="34"/>
      <c r="H13" s="33"/>
      <c r="I13" s="33"/>
      <c r="J13" s="40">
        <f>C35*'E Balans VL '!D23/100/3.6*1000000+C35*'E Balans VL '!E23/100/3.6*1000000</f>
        <v>0.30434901290268879</v>
      </c>
      <c r="K13" s="33"/>
      <c r="L13" s="33"/>
      <c r="M13" s="33"/>
      <c r="N13" s="33">
        <f>C35*'E Balans VL '!Y23/100/3.6*1000000</f>
        <v>0</v>
      </c>
      <c r="O13" s="33"/>
      <c r="P13" s="33"/>
      <c r="R13" s="32"/>
    </row>
    <row r="14" spans="1:18">
      <c r="A14" s="6" t="s">
        <v>33</v>
      </c>
      <c r="B14" s="37">
        <f t="shared" si="0"/>
        <v>2207.6083747677499</v>
      </c>
      <c r="C14" s="33"/>
      <c r="D14" s="37">
        <f>IF( ISERROR(IND_chemie_gas_kWh/1000),0,IND_chemie_gas_kWh/1000)*0.903</f>
        <v>3085.107343462822</v>
      </c>
      <c r="E14" s="33">
        <f>C36*'E Balans VL '!I24/100/3.6*1000000</f>
        <v>461.01783556225411</v>
      </c>
      <c r="F14" s="33">
        <f>C36*'E Balans VL '!L24/100/3.6*1000000+C36*'E Balans VL '!N24/100/3.6*1000000</f>
        <v>14.667265041514039</v>
      </c>
      <c r="G14" s="34"/>
      <c r="H14" s="33"/>
      <c r="I14" s="33"/>
      <c r="J14" s="40">
        <f>C36*'E Balans VL '!D24/100/3.6*1000000+C36*'E Balans VL '!E24/100/3.6*1000000</f>
        <v>0</v>
      </c>
      <c r="K14" s="33"/>
      <c r="L14" s="33"/>
      <c r="M14" s="33"/>
      <c r="N14" s="33">
        <f>C36*'E Balans VL '!Y24/100/3.6*1000000</f>
        <v>0.77035221204028692</v>
      </c>
      <c r="O14" s="33"/>
      <c r="P14" s="33"/>
      <c r="R14" s="32"/>
    </row>
    <row r="15" spans="1:18">
      <c r="A15" s="6" t="s">
        <v>259</v>
      </c>
      <c r="B15" s="37">
        <f t="shared" si="0"/>
        <v>102.645282553596</v>
      </c>
      <c r="C15" s="33"/>
      <c r="D15" s="37">
        <f>IF( ISERROR(IND_rest_gas_kWh/1000),0,IND_rest_gas_kWh/1000)*0.903</f>
        <v>133.57432592307509</v>
      </c>
      <c r="E15" s="33">
        <f>C37*'E Balans VL '!I15/100/3.6*1000000</f>
        <v>6.0429832269153918</v>
      </c>
      <c r="F15" s="33">
        <f>C37*'E Balans VL '!L15/100/3.6*1000000+C37*'E Balans VL '!N15/100/3.6*1000000</f>
        <v>15.658900205121151</v>
      </c>
      <c r="G15" s="34"/>
      <c r="H15" s="33"/>
      <c r="I15" s="33"/>
      <c r="J15" s="40">
        <f>C37*'E Balans VL '!D15/100/3.6*1000000+C37*'E Balans VL '!E15/100/3.6*1000000</f>
        <v>0.55731438949162182</v>
      </c>
      <c r="K15" s="33"/>
      <c r="L15" s="33"/>
      <c r="M15" s="33"/>
      <c r="N15" s="33">
        <f>C37*'E Balans VL '!Y15/100/3.6*1000000</f>
        <v>3.2429528704126915</v>
      </c>
      <c r="O15" s="33"/>
      <c r="P15" s="33"/>
      <c r="R15" s="32"/>
    </row>
    <row r="16" spans="1:18">
      <c r="A16" s="16" t="s">
        <v>467</v>
      </c>
      <c r="B16" s="243">
        <f>'lokale energieproductie'!N40+'lokale energieproductie'!N33</f>
        <v>643.5</v>
      </c>
      <c r="C16" s="243">
        <f>'lokale energieproductie'!O40+'lokale energieproductie'!O33</f>
        <v>919.28571428571433</v>
      </c>
      <c r="D16" s="304">
        <f>('lokale energieproductie'!P33+'lokale energieproductie'!P40)*(-1)</f>
        <v>-1838.5714285714287</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76020.010360206652</v>
      </c>
      <c r="C18" s="21">
        <f>C5+C16</f>
        <v>919.28571428571433</v>
      </c>
      <c r="D18" s="21">
        <f>MAX((D5+D16),0)</f>
        <v>65738.06897308302</v>
      </c>
      <c r="E18" s="21">
        <f>MAX((E5+E16),0)</f>
        <v>986.22706122400587</v>
      </c>
      <c r="F18" s="21">
        <f>MAX((F5+F16),0)</f>
        <v>10322.526733786923</v>
      </c>
      <c r="G18" s="21"/>
      <c r="H18" s="21"/>
      <c r="I18" s="21"/>
      <c r="J18" s="21">
        <f>MAX((J5+J16),0)</f>
        <v>747.07507140695736</v>
      </c>
      <c r="K18" s="21"/>
      <c r="L18" s="21">
        <f>MAX((L5+L16),0)</f>
        <v>0</v>
      </c>
      <c r="M18" s="21"/>
      <c r="N18" s="21">
        <f>MAX((N5+N16),0)</f>
        <v>12630.5937584358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0.19978463745219718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15187.630208926159</v>
      </c>
      <c r="C22" s="23">
        <f ca="1">C18*C20</f>
        <v>218.46554621848742</v>
      </c>
      <c r="D22" s="23">
        <f>D18*D20</f>
        <v>13279.089932562771</v>
      </c>
      <c r="E22" s="23">
        <f>E18*E20</f>
        <v>223.87354289784935</v>
      </c>
      <c r="F22" s="23">
        <f>F18*F20</f>
        <v>2756.1146379211086</v>
      </c>
      <c r="G22" s="23"/>
      <c r="H22" s="23"/>
      <c r="I22" s="23"/>
      <c r="J22" s="23">
        <f>J18*J20</f>
        <v>264.46457527806291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22220.492862122599</v>
      </c>
      <c r="C30" s="39">
        <f>IF(ISERROR(B30*3.6/1000000/'E Balans VL '!Z18*100),0,B30*3.6/1000000/'E Balans VL '!Z18*100)</f>
        <v>1.338057150662098</v>
      </c>
      <c r="D30" s="233" t="s">
        <v>835</v>
      </c>
    </row>
    <row r="31" spans="1:18" ht="30">
      <c r="A31" s="6" t="s">
        <v>32</v>
      </c>
      <c r="B31" s="37">
        <f>IF( ISERROR(IND_ander_ele_kWh/1000),0,IND_ander_ele_kWh/1000)</f>
        <v>8268.9681595213297</v>
      </c>
      <c r="C31" s="39">
        <f>IF(ISERROR(B31*3.6/1000000/'E Balans VL '!Z19*100),0,B31*3.6/1000000/'E Balans VL '!Z19*100)</f>
        <v>0.33689488155303499</v>
      </c>
      <c r="D31" s="233" t="s">
        <v>835</v>
      </c>
    </row>
    <row r="32" spans="1:18" ht="30">
      <c r="A32" s="168" t="s">
        <v>40</v>
      </c>
      <c r="B32" s="37">
        <f>IF( ISERROR(IND_voed_ele_kWh/1000),0,IND_voed_ele_kWh/1000)</f>
        <v>16690.307538364101</v>
      </c>
      <c r="C32" s="39">
        <f>IF(ISERROR(B32*3.6/1000000/'E Balans VL '!Z20*100),0,B32*3.6/1000000/'E Balans VL '!Z20*100)</f>
        <v>0.48258395775053137</v>
      </c>
      <c r="D32" s="233" t="s">
        <v>835</v>
      </c>
    </row>
    <row r="33" spans="1:5" ht="30">
      <c r="A33" s="168" t="s">
        <v>39</v>
      </c>
      <c r="B33" s="37">
        <f>IF( ISERROR(IND_textiel_ele_kWh/1000),0,IND_textiel_ele_kWh/1000)</f>
        <v>4004.6987374257601</v>
      </c>
      <c r="C33" s="39">
        <f>IF(ISERROR(B33*3.6/1000000/'E Balans VL '!Z21*100),0,B33*3.6/1000000/'E Balans VL '!Z21*100)</f>
        <v>0.65858703194733059</v>
      </c>
      <c r="D33" s="233" t="s">
        <v>835</v>
      </c>
    </row>
    <row r="34" spans="1:5" ht="30">
      <c r="A34" s="168" t="s">
        <v>36</v>
      </c>
      <c r="B34" s="37">
        <f>IF( ISERROR(IND_min_ele_kWh/1000),0,IND_min_ele_kWh/1000)</f>
        <v>20343.167909286498</v>
      </c>
      <c r="C34" s="39">
        <f>IF(ISERROR(B34*3.6/1000000/'E Balans VL '!Z22*100),0,B34*3.6/1000000/'E Balans VL '!Z22*100)</f>
        <v>8.686343663490991</v>
      </c>
      <c r="D34" s="233" t="s">
        <v>835</v>
      </c>
    </row>
    <row r="35" spans="1:5" ht="30">
      <c r="A35" s="168" t="s">
        <v>38</v>
      </c>
      <c r="B35" s="37">
        <f>IF( ISERROR(IND_papier_ele_kWh/1000),0,IND_papier_ele_kWh/1000)</f>
        <v>1538.6214961650198</v>
      </c>
      <c r="C35" s="39">
        <f>IF(ISERROR(B35*3.6/1000000/'E Balans VL '!Z22*100),0,B35*3.6/1000000/'E Balans VL '!Z22*100)</f>
        <v>0.65697708160895785</v>
      </c>
      <c r="D35" s="233" t="s">
        <v>835</v>
      </c>
    </row>
    <row r="36" spans="1:5" ht="30">
      <c r="A36" s="168" t="s">
        <v>33</v>
      </c>
      <c r="B36" s="37">
        <f>IF( ISERROR(IND_chemie_ele_kWh/1000),0,IND_chemie_ele_kWh/1000)</f>
        <v>2207.6083747677499</v>
      </c>
      <c r="C36" s="39">
        <f>IF(ISERROR(B36*3.6/1000000/'E Balans VL '!Z24*100),0,B36*3.6/1000000/'E Balans VL '!Z24*100)</f>
        <v>6.6987148873068808E-2</v>
      </c>
      <c r="D36" s="233" t="s">
        <v>835</v>
      </c>
    </row>
    <row r="37" spans="1:5" ht="30">
      <c r="A37" s="168" t="s">
        <v>259</v>
      </c>
      <c r="B37" s="37">
        <f>IF( ISERROR(IND_rest_ele_kWh/1000),0,IND_rest_ele_kWh/1000)</f>
        <v>102.645282553596</v>
      </c>
      <c r="C37" s="39">
        <f>IF(ISERROR(B37*3.6/1000000/'E Balans VL '!Z15*100),0,B37*3.6/1000000/'E Balans VL '!Z15*100)</f>
        <v>8.4279551551621308E-4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3915.4910215282198</v>
      </c>
      <c r="C5" s="17">
        <f>'Eigen informatie GS &amp; warmtenet'!B62</f>
        <v>0</v>
      </c>
      <c r="D5" s="30">
        <f>IF(ISERROR(SUM(LB_lb_gas_kWh,LB_rest_gas_kWh)/1000),0,SUM(LB_lb_gas_kWh,LB_rest_gas_kWh)/1000)*0.903</f>
        <v>963.21652834922827</v>
      </c>
      <c r="E5" s="17">
        <f>B17*'E Balans VL '!I25/3.6*1000000/100</f>
        <v>112.1462890805021</v>
      </c>
      <c r="F5" s="17">
        <f>B17*('E Balans VL '!L25/3.6*1000000+'E Balans VL '!N25/3.6*1000000)/100</f>
        <v>12394.421977092052</v>
      </c>
      <c r="G5" s="18"/>
      <c r="H5" s="17"/>
      <c r="I5" s="17"/>
      <c r="J5" s="17">
        <f>('E Balans VL '!D25+'E Balans VL '!E25)/3.6*1000000*landbouw!B17/100</f>
        <v>995.58641099070792</v>
      </c>
      <c r="K5" s="17"/>
      <c r="L5" s="17">
        <f>L6*(-1)</f>
        <v>0</v>
      </c>
      <c r="M5" s="17"/>
      <c r="N5" s="17">
        <f>N6*(-1)</f>
        <v>0</v>
      </c>
      <c r="O5" s="17"/>
      <c r="P5" s="17"/>
      <c r="R5" s="32"/>
    </row>
    <row r="6" spans="1:18">
      <c r="A6" s="16" t="s">
        <v>467</v>
      </c>
      <c r="B6" s="17" t="s">
        <v>204</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3915.4910215282198</v>
      </c>
      <c r="C8" s="21">
        <f>C5+C6</f>
        <v>0</v>
      </c>
      <c r="D8" s="21">
        <f>MAX((D5+D6),0)</f>
        <v>963.21652834922827</v>
      </c>
      <c r="E8" s="21">
        <f>MAX((E5+E6),0)</f>
        <v>112.1462890805021</v>
      </c>
      <c r="F8" s="21">
        <f>MAX((F5+F6),0)</f>
        <v>12394.421977092052</v>
      </c>
      <c r="G8" s="21"/>
      <c r="H8" s="21"/>
      <c r="I8" s="21"/>
      <c r="J8" s="21">
        <f>MAX((J5+J6),0)</f>
        <v>995.58641099070792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0.19978463745219718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782.25495418334856</v>
      </c>
      <c r="C12" s="23">
        <f ca="1">C8*C10</f>
        <v>0</v>
      </c>
      <c r="D12" s="23">
        <f>D8*D10</f>
        <v>194.56973872654413</v>
      </c>
      <c r="E12" s="23">
        <f>E8*E10</f>
        <v>25.457207621273977</v>
      </c>
      <c r="F12" s="23">
        <f>F8*F10</f>
        <v>3309.3106678835779</v>
      </c>
      <c r="G12" s="23"/>
      <c r="H12" s="23"/>
      <c r="I12" s="23"/>
      <c r="J12" s="23">
        <f>J8*J10</f>
        <v>352.43758949071059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0.54220668161104879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607.09947513377881</v>
      </c>
      <c r="C26" s="243">
        <f>B26*'GWP N2O_CH4'!B5</f>
        <v>12749.088977809355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290.099978424879</v>
      </c>
      <c r="C27" s="243">
        <f>B27*'GWP N2O_CH4'!B5</f>
        <v>6092.099546922459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8.4420669947102311</v>
      </c>
      <c r="C28" s="243">
        <f>B28*'GWP N2O_CH4'!B4</f>
        <v>2617.0407683601716</v>
      </c>
      <c r="D28" s="50"/>
    </row>
    <row r="29" spans="1:4">
      <c r="A29" s="41" t="s">
        <v>266</v>
      </c>
      <c r="B29" s="243">
        <f>B34*'ha_N2O bodem landbouw'!B4</f>
        <v>24.740013102759224</v>
      </c>
      <c r="C29" s="243">
        <f>B29*'GWP N2O_CH4'!B4</f>
        <v>7669.4040618553599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5.6204881980622878E-3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3.8781443253857739E-3</v>
      </c>
      <c r="C5" s="432" t="s">
        <v>204</v>
      </c>
      <c r="D5" s="417">
        <f>SUM(D6:D11)</f>
        <v>7.0634818538040673E-3</v>
      </c>
      <c r="E5" s="417">
        <f>SUM(E6:E11)</f>
        <v>2.8835762448318793E-3</v>
      </c>
      <c r="F5" s="430" t="s">
        <v>204</v>
      </c>
      <c r="G5" s="417">
        <f>SUM(G6:G11)</f>
        <v>1.4621544265952671</v>
      </c>
      <c r="H5" s="417">
        <f>SUM(H6:H11)</f>
        <v>0.34880181059332149</v>
      </c>
      <c r="I5" s="432" t="s">
        <v>204</v>
      </c>
      <c r="J5" s="432" t="s">
        <v>204</v>
      </c>
      <c r="K5" s="432" t="s">
        <v>204</v>
      </c>
      <c r="L5" s="432" t="s">
        <v>204</v>
      </c>
      <c r="M5" s="417">
        <f>SUM(M6:M11)</f>
        <v>0.10868131993667424</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1.2553853037394109E-3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2.0930866777581049E-3</v>
      </c>
      <c r="E6" s="884">
        <f>vkm_GW_PW*SUMIFS(TableVerdeelsleutelVkm[LPG],TableVerdeelsleutelVkm[Voertuigtype],"Lichte voertuigen")*SUMIFS(TableECFTransport[EnergieConsumptieFactor (PJ per km)],TableECFTransport[Index],CONCATENATE($A6,"_LPG_LPG"))</f>
        <v>8.2982373733228392E-4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0.24938287860595468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0.10264863409413671</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2.159609513196771E-2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5.3354201684864223E-6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0.21149941845139514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1.5605595731057969E-6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1.2143938931465093E-2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1.4726564452149683E-3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3.3627421023705224E-3</v>
      </c>
      <c r="E8" s="420">
        <f>vkm_NGW_PW*SUMIFS(TableVerdeelsleutelVkm[LPG],TableVerdeelsleutelVkm[Voertuigtype],"Lichte voertuigen")*SUMIFS(TableECFTransport[EnergieConsumptieFactor (PJ per km)],TableECFTransport[Index],CONCATENATE($A8,"_LPG_LPG"))</f>
        <v>1.2765142145578269E-3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0.35139893704588532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0.16337491319976111</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3.175870700757237E-2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2.7731671290965148E-6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0.14156412706946112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9.7904852179629229E-7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8.1283681281979596E-3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1.1340487046670618E-3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1.6076530736754398E-3</v>
      </c>
      <c r="E10" s="420">
        <f>vkm_SW_PW*SUMIFS(TableVerdeelsleutelVkm[LPG],TableVerdeelsleutelVkm[Voertuigtype],"Lichte voertuigen")*SUMIFS(TableECFTransport[EnergieConsumptieFactor (PJ per km)],TableECFTransport[Index],CONCATENATE($A10,"_LPG_LPG"))</f>
        <v>7.7723829294176826E-4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0.21191167904828687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8.2773331743976927E-2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1.8035559532065034E-2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7.9452844667501258E-6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0.29639738637428403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2.3919473518159776E-6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1.7018651205406066E-2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1077.2623126071594</v>
      </c>
      <c r="C14" s="21"/>
      <c r="D14" s="21">
        <f t="shared" ref="D14:M14" si="0">((D5)*10^9/3600)+D12</f>
        <v>1962.0782927233522</v>
      </c>
      <c r="E14" s="21">
        <f t="shared" si="0"/>
        <v>800.99340134218869</v>
      </c>
      <c r="F14" s="21"/>
      <c r="G14" s="21">
        <f t="shared" si="0"/>
        <v>406154.00738757418</v>
      </c>
      <c r="H14" s="21">
        <f t="shared" si="0"/>
        <v>96889.391831478191</v>
      </c>
      <c r="I14" s="21"/>
      <c r="J14" s="21"/>
      <c r="K14" s="21"/>
      <c r="L14" s="21"/>
      <c r="M14" s="21">
        <f t="shared" si="0"/>
        <v>30189.255537965066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0.19978463745219718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215.22046056513685</v>
      </c>
      <c r="C18" s="23"/>
      <c r="D18" s="23">
        <f t="shared" ref="D18:M18" si="1">D14*D16</f>
        <v>396.33981513011719</v>
      </c>
      <c r="E18" s="23">
        <f t="shared" si="1"/>
        <v>181.82550210467684</v>
      </c>
      <c r="F18" s="23"/>
      <c r="G18" s="23">
        <f t="shared" si="1"/>
        <v>108443.11997248231</v>
      </c>
      <c r="H18" s="23">
        <f t="shared" si="1"/>
        <v>24125.458566038069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4.7385827102756819E-4</v>
      </c>
      <c r="C50" s="315">
        <f t="shared" ref="C50:P50" si="2">SUM(C51:C52)</f>
        <v>0</v>
      </c>
      <c r="D50" s="315">
        <f t="shared" si="2"/>
        <v>0</v>
      </c>
      <c r="E50" s="315">
        <f t="shared" si="2"/>
        <v>0</v>
      </c>
      <c r="F50" s="315">
        <f t="shared" si="2"/>
        <v>0</v>
      </c>
      <c r="G50" s="315">
        <f t="shared" si="2"/>
        <v>2.9664960340211301E-2</v>
      </c>
      <c r="H50" s="315">
        <f t="shared" si="2"/>
        <v>0</v>
      </c>
      <c r="I50" s="315">
        <f t="shared" si="2"/>
        <v>0</v>
      </c>
      <c r="J50" s="315">
        <f t="shared" si="2"/>
        <v>0</v>
      </c>
      <c r="K50" s="315">
        <f t="shared" si="2"/>
        <v>0</v>
      </c>
      <c r="L50" s="315">
        <f t="shared" si="2"/>
        <v>0</v>
      </c>
      <c r="M50" s="315">
        <f t="shared" si="2"/>
        <v>1.7032963376054496E-3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4.7385827102756819E-4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2.9664960340211301E-2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1.7032963376054496E-3</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131.62729750765783</v>
      </c>
      <c r="C54" s="21">
        <f t="shared" ref="C54:P54" si="3">(C50)*10^9/3600</f>
        <v>0</v>
      </c>
      <c r="D54" s="21">
        <f t="shared" si="3"/>
        <v>0</v>
      </c>
      <c r="E54" s="21">
        <f t="shared" si="3"/>
        <v>0</v>
      </c>
      <c r="F54" s="21">
        <f t="shared" si="3"/>
        <v>0</v>
      </c>
      <c r="G54" s="21">
        <f t="shared" si="3"/>
        <v>8240.2667611698052</v>
      </c>
      <c r="H54" s="21">
        <f t="shared" si="3"/>
        <v>0</v>
      </c>
      <c r="I54" s="21">
        <f t="shared" si="3"/>
        <v>0</v>
      </c>
      <c r="J54" s="21">
        <f t="shared" si="3"/>
        <v>0</v>
      </c>
      <c r="K54" s="21">
        <f t="shared" si="3"/>
        <v>0</v>
      </c>
      <c r="L54" s="21">
        <f t="shared" si="3"/>
        <v>0</v>
      </c>
      <c r="M54" s="21">
        <f t="shared" si="3"/>
        <v>473.13787155706933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0.19978463745219718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26.297111911379918</v>
      </c>
      <c r="C58" s="23">
        <f t="shared" ref="C58:P58" ca="1" si="4">C54*C56</f>
        <v>0</v>
      </c>
      <c r="D58" s="23">
        <f t="shared" si="4"/>
        <v>0</v>
      </c>
      <c r="E58" s="23">
        <f t="shared" si="4"/>
        <v>0</v>
      </c>
      <c r="F58" s="23">
        <f t="shared" si="4"/>
        <v>0</v>
      </c>
      <c r="G58" s="23">
        <f t="shared" si="4"/>
        <v>2200.1512252323382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31995.66511729687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1914.75</v>
      </c>
      <c r="C8" s="543">
        <f>B51</f>
        <v>2252.6470588235297</v>
      </c>
      <c r="D8" s="544"/>
      <c r="E8" s="544">
        <f>E51</f>
        <v>0</v>
      </c>
      <c r="F8" s="545"/>
      <c r="G8" s="546"/>
      <c r="H8" s="544">
        <f>I51</f>
        <v>0</v>
      </c>
      <c r="I8" s="544">
        <f>G51+F51</f>
        <v>0</v>
      </c>
      <c r="J8" s="544">
        <f>H51+D51+C51</f>
        <v>0</v>
      </c>
      <c r="K8" s="544"/>
      <c r="L8" s="544"/>
      <c r="M8" s="544"/>
      <c r="N8" s="547"/>
      <c r="O8" s="548">
        <f>C8*$C$12+D8*$D$12+E8*$E$12+F8*$F$12+G8*$G$12+H8*$H$12+I8*$I$12+J8*$J$12</f>
        <v>455.03470588235302</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33910.41511729687</v>
      </c>
      <c r="C10" s="558">
        <f t="shared" ref="C10:L10" si="0">SUM(C8:C9)</f>
        <v>2252.6470588235297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455.03470588235302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2735.3571428571431</v>
      </c>
      <c r="C17" s="574">
        <f>B52</f>
        <v>3218.0672268907565</v>
      </c>
      <c r="D17" s="575"/>
      <c r="E17" s="575">
        <f>E52</f>
        <v>0</v>
      </c>
      <c r="F17" s="576"/>
      <c r="G17" s="577"/>
      <c r="H17" s="574">
        <f>I52</f>
        <v>0</v>
      </c>
      <c r="I17" s="575">
        <f>G52+F52</f>
        <v>0</v>
      </c>
      <c r="J17" s="575">
        <f>H52+D52+C52</f>
        <v>0</v>
      </c>
      <c r="K17" s="575"/>
      <c r="L17" s="575"/>
      <c r="M17" s="575"/>
      <c r="N17" s="960"/>
      <c r="O17" s="578">
        <f>C17*$C$22+E17*$E$22+H17*$H$22+I17*$I$22+J17*$J$22+D17*$D$22+F17*$F$22+G17*$G$22+K17*$K$22+L17*$L$22</f>
        <v>650.04957983193287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2735.3571428571431</v>
      </c>
      <c r="C20" s="557">
        <f>SUM(C17:C19)</f>
        <v>3218.0672268907565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650.04957983193287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46021</v>
      </c>
      <c r="C28" s="785">
        <v>9100</v>
      </c>
      <c r="D28" s="635"/>
      <c r="E28" s="634"/>
      <c r="F28" s="634"/>
      <c r="G28" s="634" t="s">
        <v>868</v>
      </c>
      <c r="H28" s="634" t="s">
        <v>869</v>
      </c>
      <c r="I28" s="634"/>
      <c r="J28" s="784"/>
      <c r="K28" s="784"/>
      <c r="L28" s="634" t="s">
        <v>870</v>
      </c>
      <c r="M28" s="634">
        <v>5</v>
      </c>
      <c r="N28" s="634">
        <v>22.5</v>
      </c>
      <c r="O28" s="634">
        <v>32.142857142857146</v>
      </c>
      <c r="P28" s="634">
        <v>64.285714285714292</v>
      </c>
      <c r="Q28" s="634">
        <v>0</v>
      </c>
      <c r="R28" s="634">
        <v>0</v>
      </c>
      <c r="S28" s="634">
        <v>0</v>
      </c>
      <c r="T28" s="634">
        <v>0</v>
      </c>
      <c r="U28" s="634">
        <v>0</v>
      </c>
      <c r="V28" s="634">
        <v>0</v>
      </c>
      <c r="W28" s="634">
        <v>0</v>
      </c>
      <c r="X28" s="634">
        <v>1600</v>
      </c>
      <c r="Y28" s="634" t="s">
        <v>49</v>
      </c>
      <c r="Z28" s="636" t="s">
        <v>149</v>
      </c>
    </row>
    <row r="29" spans="1:26" s="588" customFormat="1" ht="25.5" hidden="1">
      <c r="A29" s="587"/>
      <c r="B29" s="785">
        <v>46021</v>
      </c>
      <c r="C29" s="785">
        <v>9100</v>
      </c>
      <c r="D29" s="635"/>
      <c r="E29" s="634"/>
      <c r="F29" s="634"/>
      <c r="G29" s="634" t="s">
        <v>868</v>
      </c>
      <c r="H29" s="634" t="s">
        <v>869</v>
      </c>
      <c r="I29" s="634"/>
      <c r="J29" s="784"/>
      <c r="K29" s="784"/>
      <c r="L29" s="634" t="s">
        <v>870</v>
      </c>
      <c r="M29" s="634">
        <v>5.5</v>
      </c>
      <c r="N29" s="634">
        <v>24.75</v>
      </c>
      <c r="O29" s="634">
        <v>35.357142857142861</v>
      </c>
      <c r="P29" s="634">
        <v>70.714285714285722</v>
      </c>
      <c r="Q29" s="634">
        <v>0</v>
      </c>
      <c r="R29" s="634">
        <v>0</v>
      </c>
      <c r="S29" s="634">
        <v>0</v>
      </c>
      <c r="T29" s="634">
        <v>0</v>
      </c>
      <c r="U29" s="634">
        <v>0</v>
      </c>
      <c r="V29" s="634">
        <v>0</v>
      </c>
      <c r="W29" s="634">
        <v>0</v>
      </c>
      <c r="X29" s="634">
        <v>1300</v>
      </c>
      <c r="Y29" s="634" t="s">
        <v>53</v>
      </c>
      <c r="Z29" s="636" t="s">
        <v>149</v>
      </c>
    </row>
    <row r="30" spans="1:26" s="588" customFormat="1" ht="25.5" hidden="1">
      <c r="A30" s="587"/>
      <c r="B30" s="785">
        <v>46021</v>
      </c>
      <c r="C30" s="785">
        <v>9100</v>
      </c>
      <c r="D30" s="635"/>
      <c r="E30" s="634"/>
      <c r="F30" s="634"/>
      <c r="G30" s="634" t="s">
        <v>868</v>
      </c>
      <c r="H30" s="634" t="s">
        <v>869</v>
      </c>
      <c r="I30" s="634"/>
      <c r="J30" s="784"/>
      <c r="K30" s="784"/>
      <c r="L30" s="634" t="s">
        <v>870</v>
      </c>
      <c r="M30" s="634">
        <v>143</v>
      </c>
      <c r="N30" s="634">
        <v>643.5</v>
      </c>
      <c r="O30" s="634">
        <v>919.28571428571433</v>
      </c>
      <c r="P30" s="634">
        <v>1838.5714285714287</v>
      </c>
      <c r="Q30" s="634">
        <v>0</v>
      </c>
      <c r="R30" s="634">
        <v>0</v>
      </c>
      <c r="S30" s="634">
        <v>0</v>
      </c>
      <c r="T30" s="634">
        <v>0</v>
      </c>
      <c r="U30" s="634">
        <v>0</v>
      </c>
      <c r="V30" s="634">
        <v>0</v>
      </c>
      <c r="W30" s="634">
        <v>0</v>
      </c>
      <c r="X30" s="634">
        <v>500</v>
      </c>
      <c r="Y30" s="634" t="s">
        <v>40</v>
      </c>
      <c r="Z30" s="636" t="s">
        <v>373</v>
      </c>
    </row>
    <row r="31" spans="1:26" s="588" customFormat="1" ht="25.5" hidden="1">
      <c r="A31" s="587"/>
      <c r="B31" s="785">
        <v>46021</v>
      </c>
      <c r="C31" s="785">
        <v>9100</v>
      </c>
      <c r="D31" s="635"/>
      <c r="E31" s="634"/>
      <c r="F31" s="634"/>
      <c r="G31" s="634" t="s">
        <v>871</v>
      </c>
      <c r="H31" s="634" t="s">
        <v>869</v>
      </c>
      <c r="I31" s="634"/>
      <c r="J31" s="784"/>
      <c r="K31" s="784"/>
      <c r="L31" s="634" t="s">
        <v>872</v>
      </c>
      <c r="M31" s="634">
        <v>272</v>
      </c>
      <c r="N31" s="634">
        <v>1224</v>
      </c>
      <c r="O31" s="634">
        <v>1748.5714285714287</v>
      </c>
      <c r="P31" s="634">
        <v>3497.1428571428573</v>
      </c>
      <c r="Q31" s="634">
        <v>0</v>
      </c>
      <c r="R31" s="634">
        <v>0</v>
      </c>
      <c r="S31" s="634">
        <v>0</v>
      </c>
      <c r="T31" s="634">
        <v>0</v>
      </c>
      <c r="U31" s="634">
        <v>0</v>
      </c>
      <c r="V31" s="634">
        <v>0</v>
      </c>
      <c r="W31" s="634">
        <v>0</v>
      </c>
      <c r="X31" s="634">
        <v>500</v>
      </c>
      <c r="Y31" s="634" t="s">
        <v>40</v>
      </c>
      <c r="Z31" s="636" t="s">
        <v>149</v>
      </c>
    </row>
    <row r="32" spans="1:26" s="568" customFormat="1" hidden="1">
      <c r="A32" s="590" t="s">
        <v>269</v>
      </c>
      <c r="B32" s="591"/>
      <c r="C32" s="591"/>
      <c r="D32" s="591"/>
      <c r="E32" s="591"/>
      <c r="F32" s="591"/>
      <c r="G32" s="591"/>
      <c r="H32" s="591"/>
      <c r="I32" s="591"/>
      <c r="J32" s="591"/>
      <c r="K32" s="591"/>
      <c r="L32" s="592"/>
      <c r="M32" s="592">
        <f>SUM(M28:M31)</f>
        <v>425.5</v>
      </c>
      <c r="N32" s="592">
        <f>SUM(N28:N31)</f>
        <v>1914.75</v>
      </c>
      <c r="O32" s="592">
        <f>SUM(O28:O31)</f>
        <v>2735.3571428571431</v>
      </c>
      <c r="P32" s="592">
        <f>SUM(P28:P31)</f>
        <v>5470.7142857142862</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143</v>
      </c>
      <c r="N33" s="592">
        <f>SUMIF($Z$28:$Z$31,"industrie",N28:N31)</f>
        <v>643.5</v>
      </c>
      <c r="O33" s="592">
        <f>SUMIF($Z$28:$Z$31,"industrie",O28:O31)</f>
        <v>919.28571428571433</v>
      </c>
      <c r="P33" s="592">
        <f>SUMIF($Z$28:$Z$31,"industrie",P28:P31)</f>
        <v>1838.5714285714287</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282.5</v>
      </c>
      <c r="N34" s="592">
        <f ca="1">SUMIF($Z$28:AD31,"tertiair",N28:N31)</f>
        <v>1271.25</v>
      </c>
      <c r="O34" s="592">
        <f ca="1">SUMIF($Z$28:AE31,"tertiair",O28:O31)</f>
        <v>1816.0714285714287</v>
      </c>
      <c r="P34" s="592">
        <f ca="1">SUMIF($Z$28:AF31,"tertiair",P28:P31)</f>
        <v>3632.1428571428573</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0</v>
      </c>
      <c r="N35" s="597">
        <f>SUMIF($Z$28:$Z$31,"landbouw",N28:N31)</f>
        <v>0</v>
      </c>
      <c r="O35" s="597">
        <f>SUMIF($Z$28:$Z$31,"landbouw",O28:O31)</f>
        <v>0</v>
      </c>
      <c r="P35" s="597">
        <f>SUMIF($Z$28:$Z$31,"landbouw",P28:P31)</f>
        <v>0</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0.58823529411764708</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2252.6470588235297</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3218.0672268907565</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2021-11-11T12:20:35Z</dcterms:modified>
</cp:coreProperties>
</file>