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737EAC9C-D69A-444F-A8E1-6B42D4B6F4C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D10"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F6" i="17" s="1"/>
  <c r="R35" i="18"/>
  <c r="Q35" i="18"/>
  <c r="P35" i="18"/>
  <c r="D6" i="17" s="1"/>
  <c r="O35" i="18"/>
  <c r="N35" i="18"/>
  <c r="M35" i="18"/>
  <c r="W34" i="18"/>
  <c r="V34" i="18"/>
  <c r="U34" i="18"/>
  <c r="T34" i="18"/>
  <c r="S34" i="18"/>
  <c r="R34" i="18"/>
  <c r="Q34" i="18"/>
  <c r="P34" i="18"/>
  <c r="O34" i="18"/>
  <c r="C13" i="15" s="1"/>
  <c r="N34" i="18"/>
  <c r="B13" i="15" s="1"/>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5" i="13"/>
  <c r="C35" i="13" s="1"/>
  <c r="B34" i="13"/>
  <c r="B32" i="13"/>
  <c r="C34" i="13"/>
  <c r="P5" i="13"/>
  <c r="P8" i="13" s="1"/>
  <c r="P12" i="13" s="1"/>
  <c r="Q4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P4" i="48" l="1"/>
  <c r="N46" i="14"/>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0" i="17"/>
  <c r="C12" i="17" s="1"/>
  <c r="D54" i="14" s="1"/>
  <c r="D56" i="14" s="1"/>
  <c r="C16" i="22"/>
  <c r="C17" i="49"/>
  <c r="C29" i="20"/>
  <c r="C20" i="16"/>
  <c r="C22" i="16" s="1"/>
  <c r="D43" i="14" s="1"/>
  <c r="C18" i="15"/>
  <c r="C20" i="15" s="1"/>
  <c r="D40" i="14" s="1"/>
  <c r="C10" i="13"/>
  <c r="C12" i="13" s="1"/>
  <c r="C56" i="22"/>
  <c r="C58" i="22" s="1"/>
  <c r="D49" i="14" s="1"/>
  <c r="D52" i="14" s="1"/>
  <c r="C22" i="59"/>
  <c r="F26" i="48"/>
  <c r="F33" i="48" s="1"/>
  <c r="B90" i="14"/>
  <c r="B17" i="59"/>
  <c r="B20" i="59" s="1"/>
  <c r="C90" i="14"/>
  <c r="C17" i="59"/>
  <c r="C20" i="59" s="1"/>
  <c r="J26" i="48"/>
  <c r="J33" i="48" s="1"/>
  <c r="J15" i="48"/>
  <c r="E15" i="48"/>
  <c r="D41" i="14"/>
  <c r="D46" i="14" s="1"/>
  <c r="D61" i="14" s="1"/>
  <c r="D63" i="14" s="1"/>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<sst xmlns="http://schemas.openxmlformats.org/spreadsheetml/2006/main" count="2437" uniqueCount="877">
  <si>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</si>
  <si>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</si>
  <si>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</si>
  <si>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</si>
  <si>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</si>
  <si>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</si>
  <si>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</si>
  <si>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</si>
  <si>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</si>
  <si>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</si>
  <si>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</si>
  <si>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</si>
  <si>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</si>
  <si>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</si>
  <si>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</si>
  <si>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</si>
  <si>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</si>
  <si>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</si>
  <si>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</si>
  <si>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</si>
  <si>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</si>
  <si>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</si>
  <si>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</si>
  <si>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</si>
  <si>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</si>
  <si>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</si>
  <si>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</si>
  <si>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</si>
  <si>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</si>
  <si>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</si>
  <si>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</si>
  <si>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</si>
  <si>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</si>
  <si>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</si>
  <si>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</si>
  <si>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</si>
  <si>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</si>
  <si>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</si>
  <si>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</si>
  <si>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</si>
  <si>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</si>
  <si>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</si>
  <si>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</si>
  <si>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</si>
  <si>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</si>
  <si>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</si>
  <si>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</si>
  <si>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</si>
  <si>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</si>
  <si>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</si>
  <si>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</si>
  <si>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</si>
  <si>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</si>
  <si>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</si>
  <si>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</si>
  <si>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</si>
  <si>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</si>
  <si>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</si>
  <si>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</si>
  <si>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</si>
  <si>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</si>
  <si>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</si>
  <si>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</si>
  <si>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</si>
  <si>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</si>
  <si>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</si>
  <si>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</si>
  <si>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</si>
  <si>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</si>
  <si>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</si>
  <si>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</si>
  <si>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</si>
  <si>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</si>
  <si>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</si>
  <si>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</si>
  <si>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</si>
  <si>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</si>
  <si>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</si>
  <si>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</si>
  <si>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</si>
  <si>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</si>
  <si>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</si>
  <si>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</si>
  <si>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</si>
  <si>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</si>
  <si>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</si>
  <si>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</si>
  <si>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</si>
  <si>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</si>
  <si>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</si>
  <si>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</si>
  <si>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</si>
  <si>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</si>
  <si>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</si>
  <si>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</si>
  <si>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</si>
  <si>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</si>
  <si>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</si>
  <si>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</si>
  <si>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</si>
  <si>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</si>
  <si>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</si>
  <si>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</si>
  <si>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</si>
  <si>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</si>
  <si>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</si>
  <si>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</si>
  <si>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</si>
  <si>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</si>
  <si>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</si>
  <si>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</si>
  <si>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</si>
  <si>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</si>
  <si>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</si>
  <si>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</si>
  <si>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</si>
  <si>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</si>
  <si>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</si>
  <si>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</si>
  <si>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</si>
  <si>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</si>
  <si>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</si>
  <si>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</si>
  <si>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</si>
  <si>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</si>
  <si>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</si>
  <si>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</si>
  <si>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</si>
  <si>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</si>
  <si>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</si>
  <si>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</si>
  <si>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</si>
  <si>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</si>
  <si>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</si>
  <si>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</si>
  <si>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</si>
  <si>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</si>
  <si>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</si>
  <si>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</si>
  <si>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</si>
  <si>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</si>
  <si>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</si>
  <si>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</si>
  <si>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</si>
  <si>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</si>
  <si>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</si>
  <si>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</si>
  <si>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</si>
  <si>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</si>
  <si>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</si>
  <si>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</si>
  <si>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</si>
  <si>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</si>
  <si>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</si>
  <si>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</si>
  <si>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</si>
  <si>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</si>
  <si>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</si>
  <si>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</si>
  <si>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</si>
  <si>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</si>
  <si>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</si>
  <si>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</si>
  <si>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</si>
  <si>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</si>
  <si>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</si>
  <si>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</si>
  <si>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</si>
  <si>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</si>
  <si>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</si>
  <si>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</si>
  <si>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</si>
  <si>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</si>
  <si>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</si>
  <si>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</si>
  <si>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</si>
  <si>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</si>
  <si>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</si>
  <si>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</si>
  <si>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</si>
  <si>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</si>
  <si>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</si>
  <si>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</si>
  <si>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</si>
  <si>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</si>
  <si>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</si>
  <si>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</si>
  <si>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</si>
  <si>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</si>
  <si>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</si>
  <si>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</si>
  <si>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</si>
  <si>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</si>
  <si>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</si>
  <si>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</si>
  <si>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</si>
  <si>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</si>
  <si>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</si>
  <si>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</si>
  <si>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</si>
  <si>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</si>
  <si>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</si>
  <si>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</si>
  <si>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</si>
  <si>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</si>
  <si>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</si>
  <si>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</si>
  <si>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</si>
  <si>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</si>
  <si>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</si>
  <si>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</si>
  <si>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</si>
  <si>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</si>
  <si>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</si>
  <si>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</si>
  <si>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</si>
  <si>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</si>
  <si>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</si>
  <si>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</si>
  <si>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</si>
  <si>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</si>
  <si>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</si>
  <si>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</si>
  <si>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</si>
  <si>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</si>
  <si>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</si>
  <si>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</si>
  <si>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</si>
  <si>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</si>
  <si>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</si>
  <si>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</si>
  <si>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</si>
  <si>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</si>
  <si>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</si>
  <si>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</si>
  <si>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</si>
  <si>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</si>
  <si>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</si>
  <si>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</si>
  <si>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</si>
  <si>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</si>
  <si>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</si>
  <si>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</si>
  <si>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</si>
  <si>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</si>
  <si>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</si>
  <si>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</si>
  <si>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</si>
  <si>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</si>
  <si>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</si>
  <si>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</si>
  <si>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</si>
  <si>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</si>
  <si>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</si>
  <si>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</si>
  <si>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</si>
  <si>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</si>
  <si>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</si>
  <si>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</si>
  <si>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</si>
  <si>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</si>
  <si>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</si>
  <si>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</si>
  <si>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</si>
  <si>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</si>
  <si>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</si>
  <si>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</si>
  <si>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</si>
  <si>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</si>
  <si>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</si>
  <si>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</si>
  <si>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</si>
  <si>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</si>
  <si>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</si>
  <si>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</si>
  <si>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</si>
  <si>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</si>
  <si>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</si>
  <si>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</si>
  <si>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</si>
  <si>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</si>
  <si>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</si>
  <si>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</si>
  <si>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</si>
  <si>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</si>
  <si>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</si>
  <si>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</si>
  <si>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</si>
  <si>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</si>
  <si>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</si>
  <si>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</si>
  <si>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</si>
  <si>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</si>
  <si>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</si>
  <si>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</si>
  <si>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</si>
  <si>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</si>
  <si>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</si>
  <si>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</si>
  <si>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</si>
  <si>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</si>
  <si>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</si>
  <si>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</si>
  <si>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</si>
  <si>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</si>
  <si>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</si>
  <si>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</si>
  <si>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</si>
  <si>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</si>
  <si>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</si>
  <si>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</si>
  <si>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</si>
  <si>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</si>
  <si>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</si>
  <si>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</si>
  <si>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</si>
  <si>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</si>
  <si>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</si>
  <si>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</si>
  <si>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</si>
  <si>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</si>
  <si>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</si>
  <si>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</si>
  <si>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</si>
  <si>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</si>
  <si>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</si>
  <si>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</si>
  <si>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</si>
  <si>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</si>
  <si>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</si>
  <si>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</si>
  <si>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</si>
  <si>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</si>
  <si>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</si>
  <si>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</si>
  <si>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</si>
  <si>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</si>
  <si>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</si>
  <si>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</si>
  <si>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</si>
  <si>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</si>
  <si>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</si>
  <si>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</si>
  <si>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</si>
  <si>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</si>
  <si>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</si>
  <si>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</si>
  <si>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</si>
  <si>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</si>
  <si>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</si>
  <si>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</si>
  <si>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</si>
  <si>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</si>
  <si>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</si>
  <si>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</si>
  <si>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</si>
  <si>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</si>
  <si>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</si>
  <si>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</si>
  <si>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</si>
  <si>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</si>
  <si>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</si>
  <si>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</si>
  <si>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</si>
  <si>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</si>
  <si>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</si>
  <si>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</si>
  <si>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</si>
  <si>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</si>
  <si>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</si>
  <si>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</si>
  <si>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</si>
  <si>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</si>
  <si>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</si>
  <si>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</si>
  <si>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</si>
  <si>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</si>
  <si>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</si>
  <si>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</si>
  <si>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</si>
  <si>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</si>
  <si>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</si>
  <si>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</si>
  <si>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</si>
  <si>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</si>
  <si>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</si>
  <si>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</si>
  <si>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</si>
  <si>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</si>
  <si>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</si>
  <si>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</si>
  <si>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</si>
  <si>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</si>
  <si>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</si>
  <si>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</si>
  <si>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</si>
  <si>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</si>
  <si>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</si>
  <si>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</si>
  <si>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</si>
  <si>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</si>
  <si>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</si>
  <si>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</si>
  <si>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</si>
  <si>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</si>
  <si>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</si>
  <si>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</si>
  <si>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</si>
  <si>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</si>
  <si>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</si>
  <si>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</si>
  <si>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</si>
  <si>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</si>
  <si>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</si>
  <si>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</si>
  <si>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</si>
  <si>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</si>
  <si>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</si>
  <si>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</si>
  <si>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</si>
  <si>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</si>
  <si>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</si>
  <si>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</si>
  <si>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</si>
  <si>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</si>
  <si>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</si>
  <si>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</si>
  <si>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</si>
  <si>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</si>
  <si>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</si>
  <si>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</si>
  <si>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</si>
  <si>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</si>
  <si>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</si>
  <si>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</si>
  <si>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</si>
  <si>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</si>
  <si>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</si>
  <si>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</si>
  <si>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</si>
  <si>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</si>
  <si>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</si>
  <si>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</si>
  <si>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</si>
  <si>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</si>
  <si>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</si>
  <si>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</si>
  <si>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</si>
  <si>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</si>
  <si>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</si>
  <si>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</si>
  <si>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</si>
  <si>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</si>
  <si>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</si>
  <si>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</si>
  <si>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</si>
  <si>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</si>
  <si>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</si>
  <si>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</si>
  <si>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</si>
  <si>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</si>
  <si>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</si>
  <si>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</si>
  <si>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</si>
  <si>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</si>
  <si>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</si>
  <si>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</si>
  <si>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</si>
  <si>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</si>
  <si>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</si>
  <si>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</si>
  <si>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</si>
  <si>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</si>
  <si>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</si>
  <si>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</si>
  <si>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</si>
  <si>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</si>
  <si>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</si>
  <si>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</si>
  <si>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</si>
  <si>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</si>
  <si>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</si>
  <si>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</si>
  <si>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</si>
  <si>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</si>
  <si>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</si>
  <si>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</si>
  <si>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</si>
  <si>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</si>
  <si>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</si>
  <si>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</si>
  <si>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</si>
  <si>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</si>
  <si>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</si>
  <si>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</si>
  <si>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</si>
  <si>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</si>
  <si>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</si>
  <si>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</si>
  <si>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</si>
  <si>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</si>
  <si>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</si>
  <si>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</si>
  <si>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</si>
  <si>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</si>
  <si>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</si>
  <si>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</si>
  <si>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</si>
  <si>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</si>
  <si>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</si>
  <si>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</si>
  <si>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</si>
  <si>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</si>
  <si>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</si>
  <si>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</si>
  <si>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</si>
  <si>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</si>
  <si>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</si>
  <si>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</si>
  <si>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</si>
  <si>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</si>
  <si>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</si>
  <si>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</si>
  <si>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</si>
  <si>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</si>
  <si>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</si>
  <si>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</si>
  <si>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</si>
  <si>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</si>
  <si>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</si>
  <si>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</si>
  <si>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</si>
  <si>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</si>
  <si>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</si>
  <si>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</si>
  <si>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</si>
  <si>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</si>
  <si>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</si>
  <si>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</si>
  <si>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</si>
  <si>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</si>
  <si>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</si>
  <si>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</si>
  <si>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</si>
  <si>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</si>
  <si>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</si>
  <si>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</si>
  <si>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</si>
  <si>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</si>
  <si>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</si>
  <si>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</si>
  <si>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</si>
  <si>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</si>
  <si>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</si>
  <si>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</si>
  <si>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</si>
  <si>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</si>
  <si>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</si>
  <si>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</si>
  <si>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</si>
  <si>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</si>
  <si>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</si>
  <si>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</si>
  <si>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</si>
  <si>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</si>
  <si>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</si>
  <si>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</si>
  <si>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</si>
  <si>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</si>
  <si>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</si>
  <si>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</si>
  <si>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</si>
  <si>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</si>
  <si>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</si>
  <si>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</si>
  <si>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</si>
  <si>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</si>
  <si>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</si>
  <si>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</si>
  <si>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</si>
  <si>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</si>
  <si>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</si>
  <si>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</si>
  <si>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</si>
  <si>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</si>
  <si>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</si>
  <si>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</si>
  <si>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</si>
  <si>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</si>
  <si>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</si>
  <si>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</si>
  <si>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</si>
  <si>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</si>
  <si>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</si>
  <si>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</si>
  <si>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</si>
  <si>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</si>
  <si>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</si>
  <si>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</si>
  <si>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</si>
  <si>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</si>
  <si>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</si>
  <si>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</si>
  <si>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</si>
  <si>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</si>
  <si>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</si>
  <si>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</si>
  <si>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</si>
  <si>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</si>
  <si>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</si>
  <si>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</si>
  <si>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</si>
  <si>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</si>
  <si>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</si>
  <si>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</si>
  <si>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</si>
  <si>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</si>
  <si>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</si>
  <si>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</si>
  <si>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</si>
  <si>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</si>
  <si>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</si>
  <si>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</si>
  <si>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</si>
  <si>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</si>
  <si>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</si>
  <si>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</si>
  <si>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</si>
  <si>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</si>
  <si>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</si>
  <si>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</si>
  <si>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</si>
  <si>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</si>
  <si>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</si>
  <si>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</si>
  <si>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</si>
  <si>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</si>
  <si>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</si>
  <si>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</si>
  <si>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</si>
  <si>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</si>
  <si>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</si>
  <si>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</si>
  <si>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</si>
  <si>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</si>
  <si>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</si>
  <si>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</si>
  <si>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</si>
  <si>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</si>
  <si>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</si>
  <si>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</si>
  <si>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</si>
  <si>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</si>
  <si>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</si>
  <si>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</si>
  <si>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</si>
  <si>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</si>
  <si>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</si>
  <si>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</si>
  <si>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</si>
  <si>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</si>
  <si>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</si>
  <si>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</si>
  <si>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</si>
  <si>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</si>
  <si>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</si>
  <si>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</si>
  <si>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</si>
  <si>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</si>
  <si>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</si>
  <si>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</si>
  <si>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</si>
  <si>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</si>
  <si>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</si>
  <si>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</si>
  <si>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</si>
  <si>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</si>
  <si>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</si>
  <si>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</si>
  <si>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</si>
  <si>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</si>
  <si>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</si>
  <si>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</si>
  <si>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</si>
  <si>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</si>
  <si>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</si>
  <si>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</si>
  <si>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</si>
  <si>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</si>
  <si>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</si>
  <si>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</si>
  <si>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</si>
  <si>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</si>
  <si>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</si>
  <si>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</si>
  <si>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</si>
  <si>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</si>
  <si>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</si>
  <si>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</si>
  <si>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</si>
  <si>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</si>
  <si>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</si>
  <si>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</si>
  <si>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</si>
  <si>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</si>
  <si>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</si>
  <si>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</si>
  <si>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</si>
  <si>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</si>
  <si>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</si>
  <si>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</si>
  <si>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</si>
  <si>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</si>
  <si>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</si>
  <si>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</si>
  <si>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</si>
  <si>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</si>
  <si>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</si>
  <si>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</si>
  <si>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</si>
  <si>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</si>
  <si>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</si>
  <si>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</si>
  <si>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</si>
  <si>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</si>
  <si>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</si>
  <si>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</si>
  <si>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</si>
  <si>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</si>
  <si>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</si>
  <si>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</si>
  <si>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</si>
  <si>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</si>
  <si>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</si>
  <si>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</si>
  <si>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</si>
  <si>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</si>
  <si>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</si>
  <si>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</si>
  <si>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</si>
  <si>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</si>
  <si>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</si>
  <si>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</si>
  <si>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</si>
  <si>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</si>
  <si>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</si>
  <si>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</si>
  <si>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</si>
  <si>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</si>
  <si>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</si>
  <si>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</si>
  <si>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</si>
  <si>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</si>
  <si>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</si>
  <si>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</si>
  <si>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</si>
  <si>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</si>
  <si>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</si>
  <si>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</si>
  <si>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</si>
  <si>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</si>
  <si>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</si>
  <si>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</si>
  <si>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</si>
  <si>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</si>
  <si>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</si>
  <si>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</si>
  <si>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</si>
  <si>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</si>
  <si>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</si>
  <si>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</si>
  <si>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</si>
  <si>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</si>
  <si>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</si>
  <si>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</si>
  <si>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</si>
  <si>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</si>
  <si>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</si>
  <si>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</si>
  <si>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</si>
  <si>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</si>
  <si>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</si>
  <si>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</si>
  <si>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</si>
  <si>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</si>
  <si>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</si>
  <si>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</si>
  <si>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</si>
  <si>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</si>
  <si>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</si>
  <si>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</si>
  <si>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</si>
  <si>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</si>
  <si>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</si>
  <si>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</si>
  <si>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</si>
  <si>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</si>
  <si>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</si>
  <si>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</si>
  <si>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</si>
  <si>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</si>
  <si>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</si>
  <si>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</si>
  <si>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</si>
  <si>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</si>
  <si>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</si>
  <si>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</si>
  <si>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</si>
  <si>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</si>
  <si>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</si>
  <si>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</si>
  <si>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</si>
  <si>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</si>
  <si>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</si>
  <si>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</si>
  <si>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</si>
  <si>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</si>
  <si>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</si>
  <si>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</si>
  <si>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</si>
  <si>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</si>
  <si>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</si>
  <si>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</si>
  <si>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</si>
  <si>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</si>
  <si>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</si>
  <si>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</si>
  <si>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</si>
  <si>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</si>
  <si>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</si>
  <si>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</si>
  <si>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</si>
  <si>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</si>
  <si>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</si>
  <si>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</si>
  <si>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</si>
  <si>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</si>
  <si>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</si>
  <si>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</si>
  <si>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</si>
  <si>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</si>
  <si>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</si>
  <si>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</si>
  <si>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</si>
  <si>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</si>
  <si>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</si>
  <si>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</si>
  <si>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</si>
  <si>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</si>
  <si>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</si>
  <si>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</si>
  <si>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</si>
  <si>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</si>
  <si>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</si>
  <si>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</si>
  <si>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</si>
  <si>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</si>
  <si>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</si>
  <si>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</si>
  <si>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</si>
  <si>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</si>
  <si>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</si>
  <si>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</si>
  <si>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</si>
  <si>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46013</t>
  </si>
  <si>
    <t>KRUIBEKE</t>
  </si>
  <si>
    <t>referentietaak LNE (2017); Jaarverslag De Lijn</t>
  </si>
  <si>
    <t>waterkracht</t>
  </si>
  <si>
    <t>interne verbrandingsmotor</t>
  </si>
  <si>
    <t>WKK interne verbrandinsgmotor (vloeibaar)</t>
  </si>
  <si>
    <t>eilandwerking</t>
  </si>
  <si>
    <t>WKK interne verbrandinsgmotor (gas)</t>
  </si>
  <si>
    <t>INTERGEM</t>
  </si>
  <si>
    <t>Brandstofcel</t>
  </si>
  <si>
    <t>brandstofcel</t>
  </si>
  <si>
    <t>INTERGEM (via EANDIS)</t>
  </si>
  <si>
    <t>Interne verbrandingsmotor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</si>
</sst>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5879174-F758-4C82-A1D0-1283C23399C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131833.91252334235</c:v>
                </c:pt>
                <c:pt idx="1">
                  <c:v>34068.537751760407</c:v>
                </c:pt>
                <c:pt idx="2">
                  <c:v>1093.604</c:v>
                </c:pt>
                <c:pt idx="3">
                  <c:v>14463.375652025094</c:v>
                </c:pt>
                <c:pt idx="4">
                  <c:v>10169.532944995128</c:v>
                </c:pt>
                <c:pt idx="5">
                  <c:v>164716.27752405609</c:v>
                </c:pt>
                <c:pt idx="6">
                  <c:v>1254.3761579030754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131833.91252334235</c:v>
                </c:pt>
                <c:pt idx="1">
                  <c:v>34068.537751760407</c:v>
                </c:pt>
                <c:pt idx="2">
                  <c:v>1093.604</c:v>
                </c:pt>
                <c:pt idx="3">
                  <c:v>14463.375652025094</c:v>
                </c:pt>
                <c:pt idx="4">
                  <c:v>10169.532944995128</c:v>
                </c:pt>
                <c:pt idx="5">
                  <c:v>164716.27752405609</c:v>
                </c:pt>
                <c:pt idx="6">
                  <c:v>1254.3761579030754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23558.858414771559</c:v>
                </c:pt>
                <c:pt idx="1">
                  <c:v>5611.1654100609749</c:v>
                </c:pt>
                <c:pt idx="2">
                  <c:v>126.42071234255479</c:v>
                </c:pt>
                <c:pt idx="3">
                  <c:v>2881.2105668901359</c:v>
                </c:pt>
                <c:pt idx="4">
                  <c:v>1641.5512531532888</c:v>
                </c:pt>
                <c:pt idx="5">
                  <c:v>40996.077648091356</c:v>
                </c:pt>
                <c:pt idx="6">
                  <c:v>314.17681799512786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23558.858414771559</c:v>
                </c:pt>
                <c:pt idx="1">
                  <c:v>5611.1654100609749</c:v>
                </c:pt>
                <c:pt idx="2">
                  <c:v>126.42071234255479</c:v>
                </c:pt>
                <c:pt idx="3">
                  <c:v>2881.2105668901359</c:v>
                </c:pt>
                <c:pt idx="4">
                  <c:v>1641.5512531532888</c:v>
                </c:pt>
                <c:pt idx="5">
                  <c:v>40996.077648091356</c:v>
                </c:pt>
                <c:pt idx="6">
                  <c:v>314.17681799512786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46013</v>
      </c>
      <c r="B6" s="384"/>
      <c r="C6" s="385"/>
    </row>
    <row r="7" spans="1:7" s="382" customFormat="1" ht="15.75" customHeight="1">
      <c r="A7" s="386" t="str">
        <f>txtMunicipality</f>
        <v>KRUIBEKE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15663.161876374146</v>
      </c>
      <c r="D10" s="681">
        <f ca="1">tertiair!C16</f>
        <v>12.175675675675675</v>
      </c>
      <c r="E10" s="681">
        <f ca="1">tertiair!D16</f>
        <v>15563.85317002953</v>
      </c>
      <c r="F10" s="681">
        <f>tertiair!E16</f>
        <v>81.152779372485412</v>
      </c>
      <c r="G10" s="681">
        <f ca="1">tertiair!F16</f>
        <v>2859.0914121477285</v>
      </c>
      <c r="H10" s="681">
        <f>tertiair!G16</f>
        <v>0</v>
      </c>
      <c r="I10" s="681">
        <f>tertiair!H16</f>
        <v>0</v>
      </c>
      <c r="J10" s="681">
        <f>tertiair!I16</f>
        <v>0</v>
      </c>
      <c r="K10" s="681">
        <f>tertiair!J16</f>
        <v>1.8534320948533061E-2</v>
      </c>
      <c r="L10" s="681">
        <f>tertiair!K16</f>
        <v>0</v>
      </c>
      <c r="M10" s="681">
        <f ca="1">tertiair!L16</f>
        <v>0</v>
      </c>
      <c r="N10" s="681">
        <f>tertiair!M16</f>
        <v>0</v>
      </c>
      <c r="O10" s="681">
        <f ca="1">tertiair!N16</f>
        <v>710.19809077573643</v>
      </c>
      <c r="P10" s="681">
        <f>tertiair!O16</f>
        <v>9.7945215316823084</v>
      </c>
      <c r="Q10" s="682">
        <f>tertiair!P16</f>
        <v>262.69569153247511</v>
      </c>
      <c r="R10" s="684">
        <f ca="1">SUM(C10:Q10)</f>
        <v>35162.141751760406</v>
      </c>
      <c r="S10" s="67"/>
    </row>
    <row r="11" spans="1:19" s="443" customFormat="1">
      <c r="A11" s="802" t="s">
        <v>214</v>
      </c>
      <c r="B11" s="807"/>
      <c r="C11" s="681">
        <f>huishoudens!B8</f>
        <v>28471.838781280079</v>
      </c>
      <c r="D11" s="681">
        <f>huishoudens!C8</f>
        <v>0</v>
      </c>
      <c r="E11" s="681">
        <f>huishoudens!D8</f>
        <v>72922.175869185317</v>
      </c>
      <c r="F11" s="681">
        <f>huishoudens!E8</f>
        <v>904.73805364604914</v>
      </c>
      <c r="G11" s="681">
        <f>huishoudens!F8</f>
        <v>19819.73941895532</v>
      </c>
      <c r="H11" s="681">
        <f>huishoudens!G8</f>
        <v>0</v>
      </c>
      <c r="I11" s="681">
        <f>huishoudens!H8</f>
        <v>0</v>
      </c>
      <c r="J11" s="681">
        <f>huishoudens!I8</f>
        <v>0</v>
      </c>
      <c r="K11" s="681">
        <f>huishoudens!J8</f>
        <v>112.95486270801412</v>
      </c>
      <c r="L11" s="681">
        <f>huishoudens!K8</f>
        <v>0</v>
      </c>
      <c r="M11" s="681">
        <f>huishoudens!L8</f>
        <v>0</v>
      </c>
      <c r="N11" s="681">
        <f>huishoudens!M8</f>
        <v>0</v>
      </c>
      <c r="O11" s="681">
        <f>huishoudens!N8</f>
        <v>8509.0627893743385</v>
      </c>
      <c r="P11" s="681">
        <f>huishoudens!O8</f>
        <v>408.69539319372859</v>
      </c>
      <c r="Q11" s="682">
        <f>huishoudens!P8</f>
        <v>684.70735499952639</v>
      </c>
      <c r="R11" s="684">
        <f>SUM(C11:Q11)</f>
        <v>131833.91252334235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5283.3114931635346</v>
      </c>
      <c r="D13" s="681">
        <f>industrie!C18</f>
        <v>0</v>
      </c>
      <c r="E13" s="681">
        <f>industrie!D18</f>
        <v>3436.8171079587059</v>
      </c>
      <c r="F13" s="681">
        <f>industrie!E18</f>
        <v>103.72588942339435</v>
      </c>
      <c r="G13" s="681">
        <f>industrie!F18</f>
        <v>1170.8469203389502</v>
      </c>
      <c r="H13" s="681">
        <f>industrie!G18</f>
        <v>0</v>
      </c>
      <c r="I13" s="681">
        <f>industrie!H18</f>
        <v>0</v>
      </c>
      <c r="J13" s="681">
        <f>industrie!I18</f>
        <v>0</v>
      </c>
      <c r="K13" s="681">
        <f>industrie!J18</f>
        <v>1.1329084314676126</v>
      </c>
      <c r="L13" s="681">
        <f>industrie!K18</f>
        <v>0</v>
      </c>
      <c r="M13" s="681">
        <f>industrie!L18</f>
        <v>0</v>
      </c>
      <c r="N13" s="681">
        <f>industrie!M18</f>
        <v>0</v>
      </c>
      <c r="O13" s="681">
        <f>industrie!N18</f>
        <v>173.69862567907467</v>
      </c>
      <c r="P13" s="681">
        <f>industrie!O18</f>
        <v>0</v>
      </c>
      <c r="Q13" s="682">
        <f>industrie!P18</f>
        <v>0</v>
      </c>
      <c r="R13" s="684">
        <f>SUM(C13:Q13)</f>
        <v>10169.532944995128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49418.312150817757</v>
      </c>
      <c r="D16" s="717">
        <f t="shared" ref="D16:R16" ca="1" si="0">SUM(D9:D15)</f>
        <v>12.175675675675675</v>
      </c>
      <c r="E16" s="717">
        <f t="shared" ca="1" si="0"/>
        <v>91922.84614717355</v>
      </c>
      <c r="F16" s="717">
        <f t="shared" si="0"/>
        <v>1089.6167224419289</v>
      </c>
      <c r="G16" s="717">
        <f t="shared" ca="1" si="0"/>
        <v>23849.677751441999</v>
      </c>
      <c r="H16" s="717">
        <f t="shared" si="0"/>
        <v>0</v>
      </c>
      <c r="I16" s="717">
        <f t="shared" si="0"/>
        <v>0</v>
      </c>
      <c r="J16" s="717">
        <f t="shared" si="0"/>
        <v>0</v>
      </c>
      <c r="K16" s="717">
        <f t="shared" si="0"/>
        <v>114.10630546043026</v>
      </c>
      <c r="L16" s="717">
        <f t="shared" si="0"/>
        <v>0</v>
      </c>
      <c r="M16" s="717">
        <f t="shared" ca="1" si="0"/>
        <v>0</v>
      </c>
      <c r="N16" s="717">
        <f t="shared" si="0"/>
        <v>0</v>
      </c>
      <c r="O16" s="717">
        <f t="shared" ca="1" si="0"/>
        <v>9392.9595058291507</v>
      </c>
      <c r="P16" s="717">
        <f t="shared" si="0"/>
        <v>418.48991472541093</v>
      </c>
      <c r="Q16" s="717">
        <f t="shared" si="0"/>
        <v>947.40304653200155</v>
      </c>
      <c r="R16" s="717">
        <f t="shared" ca="1" si="0"/>
        <v>177165.58722009789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18.666992389075848</v>
      </c>
      <c r="D19" s="681">
        <f>transport!C54</f>
        <v>0</v>
      </c>
      <c r="E19" s="681">
        <f>transport!D54</f>
        <v>0</v>
      </c>
      <c r="F19" s="681">
        <f>transport!E54</f>
        <v>0</v>
      </c>
      <c r="G19" s="681">
        <f>transport!F54</f>
        <v>0</v>
      </c>
      <c r="H19" s="681">
        <f>transport!G54</f>
        <v>1168.6101578265893</v>
      </c>
      <c r="I19" s="681">
        <f>transport!H54</f>
        <v>0</v>
      </c>
      <c r="J19" s="681">
        <f>transport!I54</f>
        <v>0</v>
      </c>
      <c r="K19" s="681">
        <f>transport!J54</f>
        <v>0</v>
      </c>
      <c r="L19" s="681">
        <f>transport!K54</f>
        <v>0</v>
      </c>
      <c r="M19" s="681">
        <f>transport!L54</f>
        <v>0</v>
      </c>
      <c r="N19" s="681">
        <f>transport!M54</f>
        <v>67.099007687410179</v>
      </c>
      <c r="O19" s="681">
        <f>transport!N54</f>
        <v>0</v>
      </c>
      <c r="P19" s="681">
        <f>transport!O54</f>
        <v>0</v>
      </c>
      <c r="Q19" s="682">
        <f>transport!P54</f>
        <v>0</v>
      </c>
      <c r="R19" s="684">
        <f>SUM(C19:Q19)</f>
        <v>1254.3761579030754</v>
      </c>
      <c r="S19" s="67"/>
    </row>
    <row r="20" spans="1:19" s="443" customFormat="1">
      <c r="A20" s="802" t="s">
        <v>296</v>
      </c>
      <c r="B20" s="807"/>
      <c r="C20" s="681">
        <f>transport!B14</f>
        <v>305.68020573088</v>
      </c>
      <c r="D20" s="681">
        <f>transport!C14</f>
        <v>0</v>
      </c>
      <c r="E20" s="681">
        <f>transport!D14</f>
        <v>485.51085204782248</v>
      </c>
      <c r="F20" s="681">
        <f>transport!E14</f>
        <v>215.0846741383819</v>
      </c>
      <c r="G20" s="681">
        <f>transport!F14</f>
        <v>0</v>
      </c>
      <c r="H20" s="681">
        <f>transport!G14</f>
        <v>130061.30419763783</v>
      </c>
      <c r="I20" s="681">
        <f>transport!H14</f>
        <v>24447.692197815544</v>
      </c>
      <c r="J20" s="681">
        <f>transport!I14</f>
        <v>0</v>
      </c>
      <c r="K20" s="681">
        <f>transport!J14</f>
        <v>0</v>
      </c>
      <c r="L20" s="681">
        <f>transport!K14</f>
        <v>0</v>
      </c>
      <c r="M20" s="681">
        <f>transport!L14</f>
        <v>0</v>
      </c>
      <c r="N20" s="681">
        <f>transport!M14</f>
        <v>9201.0053966856085</v>
      </c>
      <c r="O20" s="681">
        <f>transport!N14</f>
        <v>0</v>
      </c>
      <c r="P20" s="681">
        <f>transport!O14</f>
        <v>0</v>
      </c>
      <c r="Q20" s="682">
        <f>transport!P14</f>
        <v>0</v>
      </c>
      <c r="R20" s="684">
        <f>SUM(C20:Q20)</f>
        <v>164716.27752405609</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324.34719811995586</v>
      </c>
      <c r="D22" s="805">
        <f t="shared" ref="D22:R22" si="1">SUM(D18:D21)</f>
        <v>0</v>
      </c>
      <c r="E22" s="805">
        <f t="shared" si="1"/>
        <v>485.51085204782248</v>
      </c>
      <c r="F22" s="805">
        <f t="shared" si="1"/>
        <v>215.0846741383819</v>
      </c>
      <c r="G22" s="805">
        <f t="shared" si="1"/>
        <v>0</v>
      </c>
      <c r="H22" s="805">
        <f t="shared" si="1"/>
        <v>131229.91435546443</v>
      </c>
      <c r="I22" s="805">
        <f t="shared" si="1"/>
        <v>24447.692197815544</v>
      </c>
      <c r="J22" s="805">
        <f t="shared" si="1"/>
        <v>0</v>
      </c>
      <c r="K22" s="805">
        <f t="shared" si="1"/>
        <v>0</v>
      </c>
      <c r="L22" s="805">
        <f t="shared" si="1"/>
        <v>0</v>
      </c>
      <c r="M22" s="805">
        <f t="shared" si="1"/>
        <v>0</v>
      </c>
      <c r="N22" s="805">
        <f t="shared" si="1"/>
        <v>9268.104404373018</v>
      </c>
      <c r="O22" s="805">
        <f t="shared" si="1"/>
        <v>0</v>
      </c>
      <c r="P22" s="805">
        <f t="shared" si="1"/>
        <v>0</v>
      </c>
      <c r="Q22" s="805">
        <f t="shared" si="1"/>
        <v>0</v>
      </c>
      <c r="R22" s="805">
        <f t="shared" si="1"/>
        <v>165970.65368195917</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2361.5431606233001</v>
      </c>
      <c r="D24" s="681">
        <f>+landbouw!C8</f>
        <v>3128.8928571428573</v>
      </c>
      <c r="E24" s="681">
        <f>+landbouw!D8</f>
        <v>2314.4090128842258</v>
      </c>
      <c r="F24" s="681">
        <f>+landbouw!E8</f>
        <v>67.6385925829493</v>
      </c>
      <c r="G24" s="681">
        <f>+landbouw!F8</f>
        <v>5990.4257611493031</v>
      </c>
      <c r="H24" s="681">
        <f>+landbouw!G8</f>
        <v>0</v>
      </c>
      <c r="I24" s="681">
        <f>+landbouw!H8</f>
        <v>0</v>
      </c>
      <c r="J24" s="681">
        <f>+landbouw!I8</f>
        <v>0</v>
      </c>
      <c r="K24" s="681">
        <f>+landbouw!J8</f>
        <v>600.46626764245775</v>
      </c>
      <c r="L24" s="681">
        <f>+landbouw!K8</f>
        <v>0</v>
      </c>
      <c r="M24" s="681">
        <f>+landbouw!L8</f>
        <v>0</v>
      </c>
      <c r="N24" s="681">
        <f>+landbouw!M8</f>
        <v>0</v>
      </c>
      <c r="O24" s="681">
        <f>+landbouw!N8</f>
        <v>0</v>
      </c>
      <c r="P24" s="681">
        <f>+landbouw!O8</f>
        <v>0</v>
      </c>
      <c r="Q24" s="682">
        <f>+landbouw!P8</f>
        <v>0</v>
      </c>
      <c r="R24" s="684">
        <f>SUM(C24:Q24)</f>
        <v>14463.375652025094</v>
      </c>
      <c r="S24" s="67"/>
    </row>
    <row r="25" spans="1:19" s="443" customFormat="1" ht="15" thickBot="1">
      <c r="A25" s="824" t="s">
        <v>690</v>
      </c>
      <c r="B25" s="937"/>
      <c r="C25" s="938">
        <f>IF(Onbekend_ele_kWh="---",0,Onbekend_ele_kWh)/1000+IF(REST_rest_ele_kWh="---",0,REST_rest_ele_kWh)/1000</f>
        <v>1614.51063688821</v>
      </c>
      <c r="D25" s="938"/>
      <c r="E25" s="938">
        <f>IF(onbekend_gas_kWh="---",0,onbekend_gas_kWh)/1000+IF(REST_rest_gas_kWh="---",0,REST_rest_gas_kWh)/1000</f>
        <v>2982.6639705715302</v>
      </c>
      <c r="F25" s="938"/>
      <c r="G25" s="938"/>
      <c r="H25" s="938"/>
      <c r="I25" s="938"/>
      <c r="J25" s="938"/>
      <c r="K25" s="938"/>
      <c r="L25" s="938"/>
      <c r="M25" s="938"/>
      <c r="N25" s="938"/>
      <c r="O25" s="938"/>
      <c r="P25" s="938"/>
      <c r="Q25" s="939"/>
      <c r="R25" s="684">
        <f>SUM(C25:Q25)</f>
        <v>4597.1746074597404</v>
      </c>
      <c r="S25" s="67"/>
    </row>
    <row r="26" spans="1:19" s="443" customFormat="1" ht="15.75" thickBot="1">
      <c r="A26" s="689" t="s">
        <v>691</v>
      </c>
      <c r="B26" s="810"/>
      <c r="C26" s="805">
        <f>SUM(C24:C25)</f>
        <v>3976.0537975115103</v>
      </c>
      <c r="D26" s="805">
        <f t="shared" ref="D26:R26" si="2">SUM(D24:D25)</f>
        <v>3128.8928571428573</v>
      </c>
      <c r="E26" s="805">
        <f t="shared" si="2"/>
        <v>5297.072983455756</v>
      </c>
      <c r="F26" s="805">
        <f t="shared" si="2"/>
        <v>67.6385925829493</v>
      </c>
      <c r="G26" s="805">
        <f t="shared" si="2"/>
        <v>5990.4257611493031</v>
      </c>
      <c r="H26" s="805">
        <f t="shared" si="2"/>
        <v>0</v>
      </c>
      <c r="I26" s="805">
        <f t="shared" si="2"/>
        <v>0</v>
      </c>
      <c r="J26" s="805">
        <f t="shared" si="2"/>
        <v>0</v>
      </c>
      <c r="K26" s="805">
        <f t="shared" si="2"/>
        <v>600.46626764245775</v>
      </c>
      <c r="L26" s="805">
        <f t="shared" si="2"/>
        <v>0</v>
      </c>
      <c r="M26" s="805">
        <f t="shared" si="2"/>
        <v>0</v>
      </c>
      <c r="N26" s="805">
        <f t="shared" si="2"/>
        <v>0</v>
      </c>
      <c r="O26" s="805">
        <f t="shared" si="2"/>
        <v>0</v>
      </c>
      <c r="P26" s="805">
        <f t="shared" si="2"/>
        <v>0</v>
      </c>
      <c r="Q26" s="805">
        <f t="shared" si="2"/>
        <v>0</v>
      </c>
      <c r="R26" s="805">
        <f t="shared" si="2"/>
        <v>19060.550259484833</v>
      </c>
      <c r="S26" s="67"/>
    </row>
    <row r="27" spans="1:19" s="443" customFormat="1" ht="17.25" thickTop="1" thickBot="1">
      <c r="A27" s="690" t="s">
        <v>109</v>
      </c>
      <c r="B27" s="797"/>
      <c r="C27" s="691">
        <f ca="1">C22+C16+C26</f>
        <v>53718.713146449219</v>
      </c>
      <c r="D27" s="691">
        <f t="shared" ref="D27:R27" ca="1" si="3">D22+D16+D26</f>
        <v>3141.0685328185332</v>
      </c>
      <c r="E27" s="691">
        <f t="shared" ca="1" si="3"/>
        <v>97705.429982677131</v>
      </c>
      <c r="F27" s="691">
        <f t="shared" si="3"/>
        <v>1372.33998916326</v>
      </c>
      <c r="G27" s="691">
        <f t="shared" ca="1" si="3"/>
        <v>29840.103512591304</v>
      </c>
      <c r="H27" s="691">
        <f t="shared" si="3"/>
        <v>131229.91435546443</v>
      </c>
      <c r="I27" s="691">
        <f t="shared" si="3"/>
        <v>24447.692197815544</v>
      </c>
      <c r="J27" s="691">
        <f t="shared" si="3"/>
        <v>0</v>
      </c>
      <c r="K27" s="691">
        <f t="shared" si="3"/>
        <v>714.57257310288799</v>
      </c>
      <c r="L27" s="691">
        <f t="shared" si="3"/>
        <v>0</v>
      </c>
      <c r="M27" s="691">
        <f t="shared" ca="1" si="3"/>
        <v>0</v>
      </c>
      <c r="N27" s="691">
        <f t="shared" si="3"/>
        <v>9268.104404373018</v>
      </c>
      <c r="O27" s="691">
        <f t="shared" ca="1" si="3"/>
        <v>9392.9595058291507</v>
      </c>
      <c r="P27" s="691">
        <f t="shared" si="3"/>
        <v>418.48991472541093</v>
      </c>
      <c r="Q27" s="691">
        <f t="shared" si="3"/>
        <v>947.40304653200155</v>
      </c>
      <c r="R27" s="691">
        <f t="shared" ca="1" si="3"/>
        <v>362196.79116154189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1810.6628011126209</v>
      </c>
      <c r="D40" s="681">
        <f ca="1">tertiair!C20</f>
        <v>1.219331834329539</v>
      </c>
      <c r="E40" s="681">
        <f ca="1">tertiair!D20</f>
        <v>3143.8983403459652</v>
      </c>
      <c r="F40" s="681">
        <f>tertiair!E20</f>
        <v>18.421680917554188</v>
      </c>
      <c r="G40" s="681">
        <f ca="1">tertiair!F20</f>
        <v>763.37740704344355</v>
      </c>
      <c r="H40" s="681">
        <f>tertiair!G20</f>
        <v>0</v>
      </c>
      <c r="I40" s="681">
        <f>tertiair!H20</f>
        <v>0</v>
      </c>
      <c r="J40" s="681">
        <f>tertiair!I20</f>
        <v>0</v>
      </c>
      <c r="K40" s="681">
        <f>tertiair!J20</f>
        <v>6.561149615780703E-3</v>
      </c>
      <c r="L40" s="681">
        <f>tertiair!K20</f>
        <v>0</v>
      </c>
      <c r="M40" s="681">
        <f ca="1">tertiair!L20</f>
        <v>0</v>
      </c>
      <c r="N40" s="681">
        <f>tertiair!M20</f>
        <v>0</v>
      </c>
      <c r="O40" s="681">
        <f ca="1">tertiair!N20</f>
        <v>0</v>
      </c>
      <c r="P40" s="681">
        <f>tertiair!O20</f>
        <v>0</v>
      </c>
      <c r="Q40" s="764">
        <f>tertiair!P20</f>
        <v>0</v>
      </c>
      <c r="R40" s="843">
        <f t="shared" ca="1" si="4"/>
        <v>5737.5861224035289</v>
      </c>
    </row>
    <row r="41" spans="1:18">
      <c r="A41" s="815" t="s">
        <v>214</v>
      </c>
      <c r="B41" s="822"/>
      <c r="C41" s="681">
        <f ca="1">huishoudens!B12</f>
        <v>3291.346904758765</v>
      </c>
      <c r="D41" s="681">
        <f ca="1">huishoudens!C12</f>
        <v>0</v>
      </c>
      <c r="E41" s="681">
        <f>huishoudens!D12</f>
        <v>14730.279525575435</v>
      </c>
      <c r="F41" s="681">
        <f>huishoudens!E12</f>
        <v>205.37553817765317</v>
      </c>
      <c r="G41" s="681">
        <f>huishoudens!F12</f>
        <v>5291.8704248610711</v>
      </c>
      <c r="H41" s="681">
        <f>huishoudens!G12</f>
        <v>0</v>
      </c>
      <c r="I41" s="681">
        <f>huishoudens!H12</f>
        <v>0</v>
      </c>
      <c r="J41" s="681">
        <f>huishoudens!I12</f>
        <v>0</v>
      </c>
      <c r="K41" s="681">
        <f>huishoudens!J12</f>
        <v>39.986021398636993</v>
      </c>
      <c r="L41" s="681">
        <f>huishoudens!K12</f>
        <v>0</v>
      </c>
      <c r="M41" s="681">
        <f>huishoudens!L12</f>
        <v>0</v>
      </c>
      <c r="N41" s="681">
        <f>huishoudens!M12</f>
        <v>0</v>
      </c>
      <c r="O41" s="681">
        <f>huishoudens!N12</f>
        <v>0</v>
      </c>
      <c r="P41" s="681">
        <f>huishoudens!O12</f>
        <v>0</v>
      </c>
      <c r="Q41" s="764">
        <f>huishoudens!P12</f>
        <v>0</v>
      </c>
      <c r="R41" s="843">
        <f t="shared" ca="1" si="4"/>
        <v>23558.858414771559</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610.75124313128049</v>
      </c>
      <c r="D43" s="681">
        <f ca="1">industrie!C22</f>
        <v>0</v>
      </c>
      <c r="E43" s="681">
        <f>industrie!D22</f>
        <v>694.23705580765863</v>
      </c>
      <c r="F43" s="681">
        <f>industrie!E22</f>
        <v>23.545776899110518</v>
      </c>
      <c r="G43" s="681">
        <f>industrie!F22</f>
        <v>312.61612773049973</v>
      </c>
      <c r="H43" s="681">
        <f>industrie!G22</f>
        <v>0</v>
      </c>
      <c r="I43" s="681">
        <f>industrie!H22</f>
        <v>0</v>
      </c>
      <c r="J43" s="681">
        <f>industrie!I22</f>
        <v>0</v>
      </c>
      <c r="K43" s="681">
        <f>industrie!J22</f>
        <v>0.40104958473953484</v>
      </c>
      <c r="L43" s="681">
        <f>industrie!K22</f>
        <v>0</v>
      </c>
      <c r="M43" s="681">
        <f>industrie!L22</f>
        <v>0</v>
      </c>
      <c r="N43" s="681">
        <f>industrie!M22</f>
        <v>0</v>
      </c>
      <c r="O43" s="681">
        <f>industrie!N22</f>
        <v>0</v>
      </c>
      <c r="P43" s="681">
        <f>industrie!O22</f>
        <v>0</v>
      </c>
      <c r="Q43" s="764">
        <f>industrie!P22</f>
        <v>0</v>
      </c>
      <c r="R43" s="842">
        <f t="shared" ca="1" si="4"/>
        <v>1641.5512531532888</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5712.7609490026662</v>
      </c>
      <c r="D46" s="717">
        <f t="shared" ref="D46:Q46" ca="1" si="5">SUM(D39:D45)</f>
        <v>1.219331834329539</v>
      </c>
      <c r="E46" s="717">
        <f t="shared" ca="1" si="5"/>
        <v>18568.414921729058</v>
      </c>
      <c r="F46" s="717">
        <f t="shared" si="5"/>
        <v>247.34299599431787</v>
      </c>
      <c r="G46" s="717">
        <f t="shared" ca="1" si="5"/>
        <v>6367.8639596350149</v>
      </c>
      <c r="H46" s="717">
        <f t="shared" si="5"/>
        <v>0</v>
      </c>
      <c r="I46" s="717">
        <f t="shared" si="5"/>
        <v>0</v>
      </c>
      <c r="J46" s="717">
        <f t="shared" si="5"/>
        <v>0</v>
      </c>
      <c r="K46" s="717">
        <f t="shared" si="5"/>
        <v>40.393632132992309</v>
      </c>
      <c r="L46" s="717">
        <f t="shared" si="5"/>
        <v>0</v>
      </c>
      <c r="M46" s="717">
        <f t="shared" ca="1" si="5"/>
        <v>0</v>
      </c>
      <c r="N46" s="717">
        <f t="shared" si="5"/>
        <v>0</v>
      </c>
      <c r="O46" s="717">
        <f t="shared" ca="1" si="5"/>
        <v>0</v>
      </c>
      <c r="P46" s="717">
        <f t="shared" si="5"/>
        <v>0</v>
      </c>
      <c r="Q46" s="717">
        <f t="shared" si="5"/>
        <v>0</v>
      </c>
      <c r="R46" s="717">
        <f ca="1">SUM(R39:R45)</f>
        <v>30937.995790328376</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2.1579058554284889</v>
      </c>
      <c r="D49" s="681">
        <f ca="1">transport!C58</f>
        <v>0</v>
      </c>
      <c r="E49" s="681">
        <f>transport!D58</f>
        <v>0</v>
      </c>
      <c r="F49" s="681">
        <f>transport!E58</f>
        <v>0</v>
      </c>
      <c r="G49" s="681">
        <f>transport!F58</f>
        <v>0</v>
      </c>
      <c r="H49" s="681">
        <f>transport!G58</f>
        <v>312.01891213969935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314.17681799512786</v>
      </c>
    </row>
    <row r="50" spans="1:18">
      <c r="A50" s="818" t="s">
        <v>296</v>
      </c>
      <c r="B50" s="828"/>
      <c r="C50" s="687">
        <f ca="1">transport!B18</f>
        <v>35.33665692290495</v>
      </c>
      <c r="D50" s="687">
        <f>transport!C18</f>
        <v>0</v>
      </c>
      <c r="E50" s="687">
        <f>transport!D18</f>
        <v>98.073192113660141</v>
      </c>
      <c r="F50" s="687">
        <f>transport!E18</f>
        <v>48.824221029412691</v>
      </c>
      <c r="G50" s="687">
        <f>transport!F18</f>
        <v>0</v>
      </c>
      <c r="H50" s="687">
        <f>transport!G18</f>
        <v>34726.368220769305</v>
      </c>
      <c r="I50" s="687">
        <f>transport!H18</f>
        <v>6087.4753572560703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40996.077648091356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37.494562778333439</v>
      </c>
      <c r="D52" s="717">
        <f t="shared" ref="D52:Q52" ca="1" si="6">SUM(D48:D51)</f>
        <v>0</v>
      </c>
      <c r="E52" s="717">
        <f t="shared" si="6"/>
        <v>98.073192113660141</v>
      </c>
      <c r="F52" s="717">
        <f t="shared" si="6"/>
        <v>48.824221029412691</v>
      </c>
      <c r="G52" s="717">
        <f t="shared" si="6"/>
        <v>0</v>
      </c>
      <c r="H52" s="717">
        <f t="shared" si="6"/>
        <v>35038.387132909003</v>
      </c>
      <c r="I52" s="717">
        <f t="shared" si="6"/>
        <v>6087.4753572560703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41310.254466086481</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272.99458359121388</v>
      </c>
      <c r="D54" s="687">
        <f ca="1">+landbouw!C12</f>
        <v>313.34266520768466</v>
      </c>
      <c r="E54" s="687">
        <f>+landbouw!D12</f>
        <v>467.51062060261364</v>
      </c>
      <c r="F54" s="687">
        <f>+landbouw!E12</f>
        <v>15.353960516329492</v>
      </c>
      <c r="G54" s="687">
        <f>+landbouw!F12</f>
        <v>1599.443678226864</v>
      </c>
      <c r="H54" s="687">
        <f>+landbouw!G12</f>
        <v>0</v>
      </c>
      <c r="I54" s="687">
        <f>+landbouw!H12</f>
        <v>0</v>
      </c>
      <c r="J54" s="687">
        <f>+landbouw!I12</f>
        <v>0</v>
      </c>
      <c r="K54" s="687">
        <f>+landbouw!J12</f>
        <v>212.56505874543004</v>
      </c>
      <c r="L54" s="687">
        <f>+landbouw!K12</f>
        <v>0</v>
      </c>
      <c r="M54" s="687">
        <f>+landbouw!L12</f>
        <v>0</v>
      </c>
      <c r="N54" s="687">
        <f>+landbouw!M12</f>
        <v>0</v>
      </c>
      <c r="O54" s="687">
        <f>+landbouw!N12</f>
        <v>0</v>
      </c>
      <c r="P54" s="687">
        <f>+landbouw!O12</f>
        <v>0</v>
      </c>
      <c r="Q54" s="688">
        <f>+landbouw!P12</f>
        <v>0</v>
      </c>
      <c r="R54" s="716">
        <f ca="1">SUM(C54:Q54)</f>
        <v>2881.2105668901359</v>
      </c>
    </row>
    <row r="55" spans="1:18" ht="15" thickBot="1">
      <c r="A55" s="818" t="s">
        <v>690</v>
      </c>
      <c r="B55" s="828"/>
      <c r="C55" s="687">
        <f ca="1">C25*'EF ele_warmte'!B12</f>
        <v>186.63756240836656</v>
      </c>
      <c r="D55" s="687"/>
      <c r="E55" s="687">
        <f>E25*EF_CO2_aardgas</f>
        <v>602.49812205544913</v>
      </c>
      <c r="F55" s="687"/>
      <c r="G55" s="687"/>
      <c r="H55" s="687"/>
      <c r="I55" s="687"/>
      <c r="J55" s="687"/>
      <c r="K55" s="687"/>
      <c r="L55" s="687"/>
      <c r="M55" s="687"/>
      <c r="N55" s="687"/>
      <c r="O55" s="687"/>
      <c r="P55" s="687"/>
      <c r="Q55" s="688"/>
      <c r="R55" s="716">
        <f ca="1">SUM(C55:Q55)</f>
        <v>789.13568446381566</v>
      </c>
    </row>
    <row r="56" spans="1:18" ht="15.75" thickBot="1">
      <c r="A56" s="816" t="s">
        <v>691</v>
      </c>
      <c r="B56" s="829"/>
      <c r="C56" s="717">
        <f ca="1">SUM(C54:C55)</f>
        <v>459.63214599958042</v>
      </c>
      <c r="D56" s="717">
        <f t="shared" ref="D56:Q56" ca="1" si="7">SUM(D54:D55)</f>
        <v>313.34266520768466</v>
      </c>
      <c r="E56" s="717">
        <f t="shared" si="7"/>
        <v>1070.0087426580628</v>
      </c>
      <c r="F56" s="717">
        <f t="shared" si="7"/>
        <v>15.353960516329492</v>
      </c>
      <c r="G56" s="717">
        <f t="shared" si="7"/>
        <v>1599.443678226864</v>
      </c>
      <c r="H56" s="717">
        <f t="shared" si="7"/>
        <v>0</v>
      </c>
      <c r="I56" s="717">
        <f t="shared" si="7"/>
        <v>0</v>
      </c>
      <c r="J56" s="717">
        <f t="shared" si="7"/>
        <v>0</v>
      </c>
      <c r="K56" s="717">
        <f t="shared" si="7"/>
        <v>212.56505874543004</v>
      </c>
      <c r="L56" s="717">
        <f t="shared" si="7"/>
        <v>0</v>
      </c>
      <c r="M56" s="717">
        <f t="shared" si="7"/>
        <v>0</v>
      </c>
      <c r="N56" s="717">
        <f t="shared" si="7"/>
        <v>0</v>
      </c>
      <c r="O56" s="717">
        <f t="shared" si="7"/>
        <v>0</v>
      </c>
      <c r="P56" s="717">
        <f t="shared" si="7"/>
        <v>0</v>
      </c>
      <c r="Q56" s="718">
        <f t="shared" si="7"/>
        <v>0</v>
      </c>
      <c r="R56" s="719">
        <f ca="1">SUM(R54:R55)</f>
        <v>3670.3462513539516</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6209.8876577805804</v>
      </c>
      <c r="D61" s="725">
        <f t="shared" ref="D61:Q61" ca="1" si="8">D46+D52+D56</f>
        <v>314.56199704201418</v>
      </c>
      <c r="E61" s="725">
        <f t="shared" ca="1" si="8"/>
        <v>19736.49685650078</v>
      </c>
      <c r="F61" s="725">
        <f t="shared" si="8"/>
        <v>311.52117754006008</v>
      </c>
      <c r="G61" s="725">
        <f t="shared" ca="1" si="8"/>
        <v>7967.3076378618789</v>
      </c>
      <c r="H61" s="725">
        <f t="shared" si="8"/>
        <v>35038.387132909003</v>
      </c>
      <c r="I61" s="725">
        <f t="shared" si="8"/>
        <v>6087.4753572560703</v>
      </c>
      <c r="J61" s="725">
        <f t="shared" si="8"/>
        <v>0</v>
      </c>
      <c r="K61" s="725">
        <f t="shared" si="8"/>
        <v>252.95869087842235</v>
      </c>
      <c r="L61" s="725">
        <f t="shared" si="8"/>
        <v>0</v>
      </c>
      <c r="M61" s="725">
        <f t="shared" ca="1" si="8"/>
        <v>0</v>
      </c>
      <c r="N61" s="725">
        <f t="shared" si="8"/>
        <v>0</v>
      </c>
      <c r="O61" s="725">
        <f t="shared" ca="1" si="8"/>
        <v>0</v>
      </c>
      <c r="P61" s="725">
        <f t="shared" si="8"/>
        <v>0</v>
      </c>
      <c r="Q61" s="725">
        <f t="shared" si="8"/>
        <v>0</v>
      </c>
      <c r="R61" s="725">
        <f ca="1">R46+R52+R56</f>
        <v>75918.596507768816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0.11560008224417138</v>
      </c>
      <c r="D63" s="771">
        <f t="shared" ca="1" si="9"/>
        <v>0.10014490093272574</v>
      </c>
      <c r="E63" s="963">
        <f t="shared" ca="1" si="9"/>
        <v>0.20199999999999999</v>
      </c>
      <c r="F63" s="771">
        <f t="shared" si="9"/>
        <v>0.22700000000000004</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17200.876264341499</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6940.305094793971</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1752.0104956298924</v>
      </c>
      <c r="C76" s="738">
        <f>'lokale energieproductie'!B8*IFERROR(SUM(D76:H76)/SUM(D76:O76),0)</f>
        <v>951.61450437010774</v>
      </c>
      <c r="D76" s="946">
        <f>'lokale energieproductie'!C8</f>
        <v>432.39854094129703</v>
      </c>
      <c r="E76" s="947">
        <f>'lokale energieproductie'!D8</f>
        <v>0</v>
      </c>
      <c r="F76" s="947">
        <f>'lokale energieproductie'!E8</f>
        <v>686.92791203782258</v>
      </c>
      <c r="G76" s="947">
        <f>'lokale energieproductie'!F8</f>
        <v>0</v>
      </c>
      <c r="H76" s="947">
        <f>'lokale energieproductie'!G8</f>
        <v>0</v>
      </c>
      <c r="I76" s="947">
        <f>'lokale energieproductie'!I8</f>
        <v>2060.783736113468</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270.75425778424062</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25893.191854765362</v>
      </c>
      <c r="C78" s="743">
        <f>SUM(C72:C77)</f>
        <v>951.61450437010774</v>
      </c>
      <c r="D78" s="744">
        <f t="shared" ref="D78:H78" si="10">SUM(D76:D77)</f>
        <v>432.39854094129703</v>
      </c>
      <c r="E78" s="744">
        <f t="shared" si="10"/>
        <v>0</v>
      </c>
      <c r="F78" s="744">
        <f t="shared" si="10"/>
        <v>686.92791203782258</v>
      </c>
      <c r="G78" s="744">
        <f t="shared" si="10"/>
        <v>0</v>
      </c>
      <c r="H78" s="744">
        <f t="shared" si="10"/>
        <v>0</v>
      </c>
      <c r="I78" s="744">
        <f>SUM(I76:I77)</f>
        <v>2060.783736113468</v>
      </c>
      <c r="J78" s="744">
        <f>SUM(J76:J77)</f>
        <v>0</v>
      </c>
      <c r="K78" s="744">
        <f t="shared" ref="K78:L78" si="11">SUM(K76:K77)</f>
        <v>0</v>
      </c>
      <c r="L78" s="744">
        <f t="shared" si="11"/>
        <v>0</v>
      </c>
      <c r="M78" s="744">
        <f>SUM(M76:M77)</f>
        <v>0</v>
      </c>
      <c r="N78" s="744">
        <f>SUM(N76:N77)</f>
        <v>0</v>
      </c>
      <c r="O78" s="853">
        <f>SUM(O76:O77)</f>
        <v>0</v>
      </c>
      <c r="P78" s="745">
        <v>0</v>
      </c>
      <c r="Q78" s="745">
        <f>SUM(Q76:Q77)</f>
        <v>270.75425778424062</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2035.4838548211594</v>
      </c>
      <c r="C87" s="756">
        <f>'lokale energieproductie'!B17*IFERROR(SUM(D87:H87)/SUM(D87:O87),0)</f>
        <v>1105.584677997374</v>
      </c>
      <c r="D87" s="767">
        <f>'lokale energieproductie'!C17</f>
        <v>502.36014631739027</v>
      </c>
      <c r="E87" s="767">
        <f>'lokale energieproductie'!D17</f>
        <v>0</v>
      </c>
      <c r="F87" s="767">
        <f>'lokale energieproductie'!E17</f>
        <v>798.07208796217731</v>
      </c>
      <c r="G87" s="767">
        <f>'lokale energieproductie'!F17</f>
        <v>0</v>
      </c>
      <c r="H87" s="767">
        <f>'lokale energieproductie'!G17</f>
        <v>0</v>
      </c>
      <c r="I87" s="767">
        <f>'lokale energieproductie'!I17</f>
        <v>2394.216263886532</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314.56199704201418</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2035.4838548211594</v>
      </c>
      <c r="C90" s="743">
        <f>SUM(C87:C89)</f>
        <v>1105.584677997374</v>
      </c>
      <c r="D90" s="743">
        <f t="shared" ref="D90:H90" si="12">SUM(D87:D89)</f>
        <v>502.36014631739027</v>
      </c>
      <c r="E90" s="743">
        <f t="shared" si="12"/>
        <v>0</v>
      </c>
      <c r="F90" s="743">
        <f t="shared" si="12"/>
        <v>798.07208796217731</v>
      </c>
      <c r="G90" s="743">
        <f t="shared" si="12"/>
        <v>0</v>
      </c>
      <c r="H90" s="743">
        <f t="shared" si="12"/>
        <v>0</v>
      </c>
      <c r="I90" s="743">
        <f>SUM(I87:I89)</f>
        <v>2394.216263886532</v>
      </c>
      <c r="J90" s="743">
        <f>SUM(J87:J89)</f>
        <v>0</v>
      </c>
      <c r="K90" s="743">
        <f t="shared" ref="K90:L90" si="13">SUM(K87:K89)</f>
        <v>0</v>
      </c>
      <c r="L90" s="743">
        <f t="shared" si="13"/>
        <v>0</v>
      </c>
      <c r="M90" s="743">
        <f>SUM(M87:M89)</f>
        <v>0</v>
      </c>
      <c r="N90" s="743">
        <f>SUM(N87:N89)</f>
        <v>0</v>
      </c>
      <c r="O90" s="743">
        <f>SUM(O87:O89)</f>
        <v>0</v>
      </c>
      <c r="P90" s="743">
        <v>0</v>
      </c>
      <c r="Q90" s="743">
        <f>SUM(Q87:Q89)</f>
        <v>314.56199704201418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28471.838781280079</v>
      </c>
      <c r="C4" s="447">
        <f>huishoudens!C8</f>
        <v>0</v>
      </c>
      <c r="D4" s="447">
        <f>huishoudens!D8</f>
        <v>72922.175869185317</v>
      </c>
      <c r="E4" s="447">
        <f>huishoudens!E8</f>
        <v>904.73805364604914</v>
      </c>
      <c r="F4" s="447">
        <f>huishoudens!F8</f>
        <v>19819.73941895532</v>
      </c>
      <c r="G4" s="447">
        <f>huishoudens!G8</f>
        <v>0</v>
      </c>
      <c r="H4" s="447">
        <f>huishoudens!H8</f>
        <v>0</v>
      </c>
      <c r="I4" s="447">
        <f>huishoudens!I8</f>
        <v>0</v>
      </c>
      <c r="J4" s="447">
        <f>huishoudens!J8</f>
        <v>112.95486270801412</v>
      </c>
      <c r="K4" s="447">
        <f>huishoudens!K8</f>
        <v>0</v>
      </c>
      <c r="L4" s="447">
        <f>huishoudens!L8</f>
        <v>0</v>
      </c>
      <c r="M4" s="447">
        <f>huishoudens!M8</f>
        <v>0</v>
      </c>
      <c r="N4" s="447">
        <f>huishoudens!N8</f>
        <v>8509.0627893743385</v>
      </c>
      <c r="O4" s="447">
        <f>huishoudens!O8</f>
        <v>408.69539319372859</v>
      </c>
      <c r="P4" s="448">
        <f>huishoudens!P8</f>
        <v>684.70735499952639</v>
      </c>
      <c r="Q4" s="449">
        <f>SUM(B4:P4)</f>
        <v>131833.91252334235</v>
      </c>
    </row>
    <row r="5" spans="1:17">
      <c r="A5" s="446" t="s">
        <v>149</v>
      </c>
      <c r="B5" s="447">
        <f ca="1">tertiair!B16</f>
        <v>14569.557876374147</v>
      </c>
      <c r="C5" s="447">
        <f ca="1">tertiair!C16</f>
        <v>12.175675675675675</v>
      </c>
      <c r="D5" s="447">
        <f ca="1">tertiair!D16</f>
        <v>15563.85317002953</v>
      </c>
      <c r="E5" s="447">
        <f>tertiair!E16</f>
        <v>81.152779372485412</v>
      </c>
      <c r="F5" s="447">
        <f ca="1">tertiair!F16</f>
        <v>2859.0914121477285</v>
      </c>
      <c r="G5" s="447">
        <f>tertiair!G16</f>
        <v>0</v>
      </c>
      <c r="H5" s="447">
        <f>tertiair!H16</f>
        <v>0</v>
      </c>
      <c r="I5" s="447">
        <f>tertiair!I16</f>
        <v>0</v>
      </c>
      <c r="J5" s="447">
        <f>tertiair!J16</f>
        <v>1.8534320948533061E-2</v>
      </c>
      <c r="K5" s="447">
        <f>tertiair!K16</f>
        <v>0</v>
      </c>
      <c r="L5" s="447">
        <f ca="1">tertiair!L16</f>
        <v>0</v>
      </c>
      <c r="M5" s="447">
        <f>tertiair!M16</f>
        <v>0</v>
      </c>
      <c r="N5" s="447">
        <f ca="1">tertiair!N16</f>
        <v>710.19809077573643</v>
      </c>
      <c r="O5" s="447">
        <f>tertiair!O16</f>
        <v>9.7945215316823084</v>
      </c>
      <c r="P5" s="448">
        <f>tertiair!P16</f>
        <v>262.69569153247511</v>
      </c>
      <c r="Q5" s="446">
        <f t="shared" ref="Q5:Q14" ca="1" si="0">SUM(B5:P5)</f>
        <v>34068.537751760407</v>
      </c>
    </row>
    <row r="6" spans="1:17">
      <c r="A6" s="446" t="s">
        <v>187</v>
      </c>
      <c r="B6" s="447">
        <f>'openbare verlichting'!B8</f>
        <v>1093.604</v>
      </c>
      <c r="C6" s="447"/>
      <c r="D6" s="447"/>
      <c r="E6" s="447"/>
      <c r="F6" s="447"/>
      <c r="G6" s="447"/>
      <c r="H6" s="447"/>
      <c r="I6" s="447"/>
      <c r="J6" s="447"/>
      <c r="K6" s="447"/>
      <c r="L6" s="447"/>
      <c r="M6" s="447"/>
      <c r="N6" s="447"/>
      <c r="O6" s="447"/>
      <c r="P6" s="448"/>
      <c r="Q6" s="446">
        <f t="shared" si="0"/>
        <v>1093.604</v>
      </c>
    </row>
    <row r="7" spans="1:17">
      <c r="A7" s="446" t="s">
        <v>105</v>
      </c>
      <c r="B7" s="447">
        <f>landbouw!B8</f>
        <v>2361.5431606233001</v>
      </c>
      <c r="C7" s="447">
        <f>landbouw!C8</f>
        <v>3128.8928571428573</v>
      </c>
      <c r="D7" s="447">
        <f>landbouw!D8</f>
        <v>2314.4090128842258</v>
      </c>
      <c r="E7" s="447">
        <f>landbouw!E8</f>
        <v>67.6385925829493</v>
      </c>
      <c r="F7" s="447">
        <f>landbouw!F8</f>
        <v>5990.4257611493031</v>
      </c>
      <c r="G7" s="447">
        <f>landbouw!G8</f>
        <v>0</v>
      </c>
      <c r="H7" s="447">
        <f>landbouw!H8</f>
        <v>0</v>
      </c>
      <c r="I7" s="447">
        <f>landbouw!I8</f>
        <v>0</v>
      </c>
      <c r="J7" s="447">
        <f>landbouw!J8</f>
        <v>600.46626764245775</v>
      </c>
      <c r="K7" s="447">
        <f>landbouw!K8</f>
        <v>0</v>
      </c>
      <c r="L7" s="447">
        <f>landbouw!L8</f>
        <v>0</v>
      </c>
      <c r="M7" s="447">
        <f>landbouw!M8</f>
        <v>0</v>
      </c>
      <c r="N7" s="447">
        <f>landbouw!N8</f>
        <v>0</v>
      </c>
      <c r="O7" s="447">
        <f>landbouw!O8</f>
        <v>0</v>
      </c>
      <c r="P7" s="448">
        <f>landbouw!P8</f>
        <v>0</v>
      </c>
      <c r="Q7" s="446">
        <f t="shared" si="0"/>
        <v>14463.375652025094</v>
      </c>
    </row>
    <row r="8" spans="1:17">
      <c r="A8" s="446" t="s">
        <v>611</v>
      </c>
      <c r="B8" s="447">
        <f>industrie!B18</f>
        <v>5283.3114931635346</v>
      </c>
      <c r="C8" s="447">
        <f>industrie!C18</f>
        <v>0</v>
      </c>
      <c r="D8" s="447">
        <f>industrie!D18</f>
        <v>3436.8171079587059</v>
      </c>
      <c r="E8" s="447">
        <f>industrie!E18</f>
        <v>103.72588942339435</v>
      </c>
      <c r="F8" s="447">
        <f>industrie!F18</f>
        <v>1170.8469203389502</v>
      </c>
      <c r="G8" s="447">
        <f>industrie!G18</f>
        <v>0</v>
      </c>
      <c r="H8" s="447">
        <f>industrie!H18</f>
        <v>0</v>
      </c>
      <c r="I8" s="447">
        <f>industrie!I18</f>
        <v>0</v>
      </c>
      <c r="J8" s="447">
        <f>industrie!J18</f>
        <v>1.1329084314676126</v>
      </c>
      <c r="K8" s="447">
        <f>industrie!K18</f>
        <v>0</v>
      </c>
      <c r="L8" s="447">
        <f>industrie!L18</f>
        <v>0</v>
      </c>
      <c r="M8" s="447">
        <f>industrie!M18</f>
        <v>0</v>
      </c>
      <c r="N8" s="447">
        <f>industrie!N18</f>
        <v>173.69862567907467</v>
      </c>
      <c r="O8" s="447">
        <f>industrie!O18</f>
        <v>0</v>
      </c>
      <c r="P8" s="448">
        <f>industrie!P18</f>
        <v>0</v>
      </c>
      <c r="Q8" s="446">
        <f t="shared" si="0"/>
        <v>10169.532944995128</v>
      </c>
    </row>
    <row r="9" spans="1:17" s="452" customFormat="1">
      <c r="A9" s="450" t="s">
        <v>537</v>
      </c>
      <c r="B9" s="451">
        <f>transport!B14</f>
        <v>305.68020573088</v>
      </c>
      <c r="C9" s="451">
        <f>transport!C14</f>
        <v>0</v>
      </c>
      <c r="D9" s="451">
        <f>transport!D14</f>
        <v>485.51085204782248</v>
      </c>
      <c r="E9" s="451">
        <f>transport!E14</f>
        <v>215.0846741383819</v>
      </c>
      <c r="F9" s="451">
        <f>transport!F14</f>
        <v>0</v>
      </c>
      <c r="G9" s="451">
        <f>transport!G14</f>
        <v>130061.30419763783</v>
      </c>
      <c r="H9" s="451">
        <f>transport!H14</f>
        <v>24447.692197815544</v>
      </c>
      <c r="I9" s="451">
        <f>transport!I14</f>
        <v>0</v>
      </c>
      <c r="J9" s="451">
        <f>transport!J14</f>
        <v>0</v>
      </c>
      <c r="K9" s="451">
        <f>transport!K14</f>
        <v>0</v>
      </c>
      <c r="L9" s="451">
        <f>transport!L14</f>
        <v>0</v>
      </c>
      <c r="M9" s="451">
        <f>transport!M14</f>
        <v>9201.0053966856085</v>
      </c>
      <c r="N9" s="451">
        <f>transport!N14</f>
        <v>0</v>
      </c>
      <c r="O9" s="451">
        <f>transport!O14</f>
        <v>0</v>
      </c>
      <c r="P9" s="451">
        <f>transport!P14</f>
        <v>0</v>
      </c>
      <c r="Q9" s="450">
        <f>SUM(B9:P9)</f>
        <v>164716.27752405609</v>
      </c>
    </row>
    <row r="10" spans="1:17">
      <c r="A10" s="446" t="s">
        <v>527</v>
      </c>
      <c r="B10" s="447">
        <f>transport!B54</f>
        <v>18.666992389075848</v>
      </c>
      <c r="C10" s="447">
        <f>transport!C54</f>
        <v>0</v>
      </c>
      <c r="D10" s="447">
        <f>transport!D54</f>
        <v>0</v>
      </c>
      <c r="E10" s="447">
        <f>transport!E54</f>
        <v>0</v>
      </c>
      <c r="F10" s="447">
        <f>transport!F54</f>
        <v>0</v>
      </c>
      <c r="G10" s="447">
        <f>transport!G54</f>
        <v>1168.6101578265893</v>
      </c>
      <c r="H10" s="447">
        <f>transport!H54</f>
        <v>0</v>
      </c>
      <c r="I10" s="447">
        <f>transport!I54</f>
        <v>0</v>
      </c>
      <c r="J10" s="447">
        <f>transport!J54</f>
        <v>0</v>
      </c>
      <c r="K10" s="447">
        <f>transport!K54</f>
        <v>0</v>
      </c>
      <c r="L10" s="447">
        <f>transport!L54</f>
        <v>0</v>
      </c>
      <c r="M10" s="447">
        <f>transport!M54</f>
        <v>67.099007687410179</v>
      </c>
      <c r="N10" s="447">
        <f>transport!N54</f>
        <v>0</v>
      </c>
      <c r="O10" s="447">
        <f>transport!O54</f>
        <v>0</v>
      </c>
      <c r="P10" s="448">
        <f>transport!P54</f>
        <v>0</v>
      </c>
      <c r="Q10" s="446">
        <f t="shared" si="0"/>
        <v>1254.3761579030754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1614.51063688821</v>
      </c>
      <c r="C14" s="454"/>
      <c r="D14" s="454">
        <f>'SEAP template'!E25</f>
        <v>2982.6639705715302</v>
      </c>
      <c r="E14" s="454"/>
      <c r="F14" s="454"/>
      <c r="G14" s="454"/>
      <c r="H14" s="454"/>
      <c r="I14" s="454"/>
      <c r="J14" s="454"/>
      <c r="K14" s="454"/>
      <c r="L14" s="454"/>
      <c r="M14" s="454"/>
      <c r="N14" s="454"/>
      <c r="O14" s="454"/>
      <c r="P14" s="455"/>
      <c r="Q14" s="446">
        <f t="shared" si="0"/>
        <v>4597.1746074597404</v>
      </c>
    </row>
    <row r="15" spans="1:17" s="458" customFormat="1">
      <c r="A15" s="456" t="s">
        <v>531</v>
      </c>
      <c r="B15" s="457">
        <f ca="1">SUM(B4:B14)</f>
        <v>53718.713146449234</v>
      </c>
      <c r="C15" s="457">
        <f t="shared" ref="C15:Q15" ca="1" si="1">SUM(C4:C14)</f>
        <v>3141.0685328185332</v>
      </c>
      <c r="D15" s="457">
        <f t="shared" ca="1" si="1"/>
        <v>97705.429982677131</v>
      </c>
      <c r="E15" s="457">
        <f t="shared" si="1"/>
        <v>1372.33998916326</v>
      </c>
      <c r="F15" s="457">
        <f t="shared" ca="1" si="1"/>
        <v>29840.1035125913</v>
      </c>
      <c r="G15" s="457">
        <f t="shared" si="1"/>
        <v>131229.91435546443</v>
      </c>
      <c r="H15" s="457">
        <f t="shared" si="1"/>
        <v>24447.692197815544</v>
      </c>
      <c r="I15" s="457">
        <f t="shared" si="1"/>
        <v>0</v>
      </c>
      <c r="J15" s="457">
        <f t="shared" si="1"/>
        <v>714.57257310288799</v>
      </c>
      <c r="K15" s="457">
        <f t="shared" si="1"/>
        <v>0</v>
      </c>
      <c r="L15" s="457">
        <f t="shared" ca="1" si="1"/>
        <v>0</v>
      </c>
      <c r="M15" s="457">
        <f t="shared" si="1"/>
        <v>9268.104404373018</v>
      </c>
      <c r="N15" s="457">
        <f t="shared" ca="1" si="1"/>
        <v>9392.9595058291507</v>
      </c>
      <c r="O15" s="457">
        <f t="shared" si="1"/>
        <v>418.48991472541093</v>
      </c>
      <c r="P15" s="457">
        <f t="shared" si="1"/>
        <v>947.40304653200155</v>
      </c>
      <c r="Q15" s="457">
        <f t="shared" ca="1" si="1"/>
        <v>362196.79116154183</v>
      </c>
    </row>
    <row r="17" spans="1:17">
      <c r="A17" s="459" t="s">
        <v>532</v>
      </c>
      <c r="B17" s="776">
        <f ca="1">huishoudens!B10</f>
        <v>0.11560008224417137</v>
      </c>
      <c r="C17" s="776">
        <f ca="1">huishoudens!C10</f>
        <v>0.10014490093272574</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3291.346904758765</v>
      </c>
      <c r="C22" s="447">
        <f t="shared" ref="C22:C32" ca="1" si="3">C4*$C$17</f>
        <v>0</v>
      </c>
      <c r="D22" s="447">
        <f t="shared" ref="D22:D32" si="4">D4*$D$17</f>
        <v>14730.279525575435</v>
      </c>
      <c r="E22" s="447">
        <f t="shared" ref="E22:E32" si="5">E4*$E$17</f>
        <v>205.37553817765317</v>
      </c>
      <c r="F22" s="447">
        <f t="shared" ref="F22:F32" si="6">F4*$F$17</f>
        <v>5291.8704248610711</v>
      </c>
      <c r="G22" s="447">
        <f t="shared" ref="G22:G32" si="7">G4*$G$17</f>
        <v>0</v>
      </c>
      <c r="H22" s="447">
        <f t="shared" ref="H22:H32" si="8">H4*$H$17</f>
        <v>0</v>
      </c>
      <c r="I22" s="447">
        <f t="shared" ref="I22:I32" si="9">I4*$I$17</f>
        <v>0</v>
      </c>
      <c r="J22" s="447">
        <f t="shared" ref="J22:J32" si="10">J4*$J$17</f>
        <v>39.986021398636993</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23558.858414771559</v>
      </c>
    </row>
    <row r="23" spans="1:17">
      <c r="A23" s="446" t="s">
        <v>149</v>
      </c>
      <c r="B23" s="447">
        <f t="shared" ca="1" si="2"/>
        <v>1684.2420887700662</v>
      </c>
      <c r="C23" s="447">
        <f t="shared" ca="1" si="3"/>
        <v>1.219331834329539</v>
      </c>
      <c r="D23" s="447">
        <f t="shared" ca="1" si="4"/>
        <v>3143.8983403459652</v>
      </c>
      <c r="E23" s="447">
        <f t="shared" si="5"/>
        <v>18.421680917554188</v>
      </c>
      <c r="F23" s="447">
        <f t="shared" ca="1" si="6"/>
        <v>763.37740704344355</v>
      </c>
      <c r="G23" s="447">
        <f t="shared" si="7"/>
        <v>0</v>
      </c>
      <c r="H23" s="447">
        <f t="shared" si="8"/>
        <v>0</v>
      </c>
      <c r="I23" s="447">
        <f t="shared" si="9"/>
        <v>0</v>
      </c>
      <c r="J23" s="447">
        <f t="shared" si="10"/>
        <v>6.561149615780703E-3</v>
      </c>
      <c r="K23" s="447">
        <f t="shared" si="11"/>
        <v>0</v>
      </c>
      <c r="L23" s="447">
        <f t="shared" ca="1" si="12"/>
        <v>0</v>
      </c>
      <c r="M23" s="447">
        <f t="shared" si="13"/>
        <v>0</v>
      </c>
      <c r="N23" s="447">
        <f t="shared" ca="1" si="14"/>
        <v>0</v>
      </c>
      <c r="O23" s="447">
        <f t="shared" si="15"/>
        <v>0</v>
      </c>
      <c r="P23" s="448">
        <f t="shared" si="16"/>
        <v>0</v>
      </c>
      <c r="Q23" s="446">
        <f t="shared" ref="Q23:Q31" ca="1" si="17">SUM(B23:P23)</f>
        <v>5611.1654100609749</v>
      </c>
    </row>
    <row r="24" spans="1:17">
      <c r="A24" s="446" t="s">
        <v>187</v>
      </c>
      <c r="B24" s="447">
        <f t="shared" ca="1" si="2"/>
        <v>126.42071234255479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126.42071234255479</v>
      </c>
    </row>
    <row r="25" spans="1:17">
      <c r="A25" s="446" t="s">
        <v>105</v>
      </c>
      <c r="B25" s="447">
        <f t="shared" ca="1" si="2"/>
        <v>272.99458359121388</v>
      </c>
      <c r="C25" s="447">
        <f t="shared" ca="1" si="3"/>
        <v>313.34266520768466</v>
      </c>
      <c r="D25" s="447">
        <f t="shared" si="4"/>
        <v>467.51062060261364</v>
      </c>
      <c r="E25" s="447">
        <f t="shared" si="5"/>
        <v>15.353960516329492</v>
      </c>
      <c r="F25" s="447">
        <f t="shared" si="6"/>
        <v>1599.443678226864</v>
      </c>
      <c r="G25" s="447">
        <f t="shared" si="7"/>
        <v>0</v>
      </c>
      <c r="H25" s="447">
        <f t="shared" si="8"/>
        <v>0</v>
      </c>
      <c r="I25" s="447">
        <f t="shared" si="9"/>
        <v>0</v>
      </c>
      <c r="J25" s="447">
        <f t="shared" si="10"/>
        <v>212.56505874543004</v>
      </c>
      <c r="K25" s="447">
        <f t="shared" si="11"/>
        <v>0</v>
      </c>
      <c r="L25" s="447">
        <f t="shared" si="12"/>
        <v>0</v>
      </c>
      <c r="M25" s="447">
        <f t="shared" si="13"/>
        <v>0</v>
      </c>
      <c r="N25" s="447">
        <f t="shared" si="14"/>
        <v>0</v>
      </c>
      <c r="O25" s="447">
        <f t="shared" si="15"/>
        <v>0</v>
      </c>
      <c r="P25" s="448">
        <f t="shared" si="16"/>
        <v>0</v>
      </c>
      <c r="Q25" s="446">
        <f t="shared" ca="1" si="17"/>
        <v>2881.2105668901359</v>
      </c>
    </row>
    <row r="26" spans="1:17">
      <c r="A26" s="446" t="s">
        <v>611</v>
      </c>
      <c r="B26" s="447">
        <f t="shared" ca="1" si="2"/>
        <v>610.75124313128049</v>
      </c>
      <c r="C26" s="447">
        <f t="shared" ca="1" si="3"/>
        <v>0</v>
      </c>
      <c r="D26" s="447">
        <f t="shared" si="4"/>
        <v>694.23705580765863</v>
      </c>
      <c r="E26" s="447">
        <f t="shared" si="5"/>
        <v>23.545776899110518</v>
      </c>
      <c r="F26" s="447">
        <f t="shared" si="6"/>
        <v>312.61612773049973</v>
      </c>
      <c r="G26" s="447">
        <f t="shared" si="7"/>
        <v>0</v>
      </c>
      <c r="H26" s="447">
        <f t="shared" si="8"/>
        <v>0</v>
      </c>
      <c r="I26" s="447">
        <f t="shared" si="9"/>
        <v>0</v>
      </c>
      <c r="J26" s="447">
        <f t="shared" si="10"/>
        <v>0.40104958473953484</v>
      </c>
      <c r="K26" s="447">
        <f t="shared" si="11"/>
        <v>0</v>
      </c>
      <c r="L26" s="447">
        <f t="shared" si="12"/>
        <v>0</v>
      </c>
      <c r="M26" s="447">
        <f t="shared" si="13"/>
        <v>0</v>
      </c>
      <c r="N26" s="447">
        <f t="shared" si="14"/>
        <v>0</v>
      </c>
      <c r="O26" s="447">
        <f t="shared" si="15"/>
        <v>0</v>
      </c>
      <c r="P26" s="448">
        <f t="shared" si="16"/>
        <v>0</v>
      </c>
      <c r="Q26" s="446">
        <f t="shared" ca="1" si="17"/>
        <v>1641.5512531532888</v>
      </c>
    </row>
    <row r="27" spans="1:17" s="452" customFormat="1">
      <c r="A27" s="450" t="s">
        <v>537</v>
      </c>
      <c r="B27" s="770">
        <f t="shared" ca="1" si="2"/>
        <v>35.33665692290495</v>
      </c>
      <c r="C27" s="451">
        <f t="shared" ca="1" si="3"/>
        <v>0</v>
      </c>
      <c r="D27" s="451">
        <f t="shared" si="4"/>
        <v>98.073192113660141</v>
      </c>
      <c r="E27" s="451">
        <f t="shared" si="5"/>
        <v>48.824221029412691</v>
      </c>
      <c r="F27" s="451">
        <f t="shared" si="6"/>
        <v>0</v>
      </c>
      <c r="G27" s="451">
        <f t="shared" si="7"/>
        <v>34726.368220769305</v>
      </c>
      <c r="H27" s="451">
        <f t="shared" si="8"/>
        <v>6087.4753572560703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40996.077648091356</v>
      </c>
    </row>
    <row r="28" spans="1:17" ht="16.5" customHeight="1">
      <c r="A28" s="446" t="s">
        <v>527</v>
      </c>
      <c r="B28" s="447">
        <f t="shared" ca="1" si="2"/>
        <v>2.1579058554284889</v>
      </c>
      <c r="C28" s="447">
        <f t="shared" ca="1" si="3"/>
        <v>0</v>
      </c>
      <c r="D28" s="447">
        <f t="shared" si="4"/>
        <v>0</v>
      </c>
      <c r="E28" s="447">
        <f t="shared" si="5"/>
        <v>0</v>
      </c>
      <c r="F28" s="447">
        <f t="shared" si="6"/>
        <v>0</v>
      </c>
      <c r="G28" s="447">
        <f t="shared" si="7"/>
        <v>312.01891213969935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314.17681799512786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186.63756240836656</v>
      </c>
      <c r="C32" s="447">
        <f t="shared" ca="1" si="3"/>
        <v>0</v>
      </c>
      <c r="D32" s="447">
        <f t="shared" si="4"/>
        <v>602.49812205544913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789.13568446381566</v>
      </c>
    </row>
    <row r="33" spans="1:17" s="458" customFormat="1">
      <c r="A33" s="456" t="s">
        <v>531</v>
      </c>
      <c r="B33" s="457">
        <f ca="1">SUM(B22:B32)</f>
        <v>6209.8876577805813</v>
      </c>
      <c r="C33" s="457">
        <f t="shared" ref="C33:Q33" ca="1" si="19">SUM(C22:C32)</f>
        <v>314.56199704201418</v>
      </c>
      <c r="D33" s="457">
        <f t="shared" ca="1" si="19"/>
        <v>19736.49685650078</v>
      </c>
      <c r="E33" s="457">
        <f t="shared" si="19"/>
        <v>311.52117754006008</v>
      </c>
      <c r="F33" s="457">
        <f t="shared" ca="1" si="19"/>
        <v>7967.3076378618789</v>
      </c>
      <c r="G33" s="457">
        <f t="shared" si="19"/>
        <v>35038.387132909003</v>
      </c>
      <c r="H33" s="457">
        <f t="shared" si="19"/>
        <v>6087.4753572560703</v>
      </c>
      <c r="I33" s="457">
        <f t="shared" si="19"/>
        <v>0</v>
      </c>
      <c r="J33" s="457">
        <f t="shared" si="19"/>
        <v>252.95869087842235</v>
      </c>
      <c r="K33" s="457">
        <f t="shared" si="19"/>
        <v>0</v>
      </c>
      <c r="L33" s="457">
        <f t="shared" ca="1" si="19"/>
        <v>0</v>
      </c>
      <c r="M33" s="457">
        <f t="shared" si="19"/>
        <v>0</v>
      </c>
      <c r="N33" s="457">
        <f t="shared" ca="1" si="19"/>
        <v>0</v>
      </c>
      <c r="O33" s="457">
        <f t="shared" si="19"/>
        <v>0</v>
      </c>
      <c r="P33" s="457">
        <f t="shared" si="19"/>
        <v>0</v>
      </c>
      <c r="Q33" s="457">
        <f t="shared" ca="1" si="19"/>
        <v>75918.596507768816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17200.876264341499</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6940.305094793971</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1752.0104956298924</v>
      </c>
      <c r="C8" s="1014">
        <f>'SEAP template'!C76</f>
        <v>951.61450437010774</v>
      </c>
      <c r="D8" s="1014">
        <f>'SEAP template'!D76</f>
        <v>432.39854094129703</v>
      </c>
      <c r="E8" s="1014">
        <f>'SEAP template'!E76</f>
        <v>0</v>
      </c>
      <c r="F8" s="1014">
        <f>'SEAP template'!F76</f>
        <v>686.92791203782258</v>
      </c>
      <c r="G8" s="1014">
        <f>'SEAP template'!G76</f>
        <v>0</v>
      </c>
      <c r="H8" s="1014">
        <f>'SEAP template'!H76</f>
        <v>0</v>
      </c>
      <c r="I8" s="1014">
        <f>'SEAP template'!I76</f>
        <v>2060.783736113468</v>
      </c>
      <c r="J8" s="1014">
        <f>'SEAP template'!J76</f>
        <v>0</v>
      </c>
      <c r="K8" s="1014">
        <f>'SEAP template'!K76</f>
        <v>0</v>
      </c>
      <c r="L8" s="1014">
        <f>'SEAP template'!L76</f>
        <v>0</v>
      </c>
      <c r="M8" s="1014">
        <f>'SEAP template'!M76</f>
        <v>0</v>
      </c>
      <c r="N8" s="1014">
        <f>'SEAP template'!N76</f>
        <v>0</v>
      </c>
      <c r="O8" s="1014">
        <f>'SEAP template'!O76</f>
        <v>0</v>
      </c>
      <c r="P8" s="1015">
        <f>'SEAP template'!Q76</f>
        <v>270.75425778424062</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25893.191854765362</v>
      </c>
      <c r="C10" s="1016">
        <f>SUM(C4:C9)</f>
        <v>951.61450437010774</v>
      </c>
      <c r="D10" s="1016">
        <f t="shared" ref="D10:H10" si="0">SUM(D8:D9)</f>
        <v>432.39854094129703</v>
      </c>
      <c r="E10" s="1016">
        <f t="shared" si="0"/>
        <v>0</v>
      </c>
      <c r="F10" s="1016">
        <f t="shared" si="0"/>
        <v>686.92791203782258</v>
      </c>
      <c r="G10" s="1016">
        <f t="shared" si="0"/>
        <v>0</v>
      </c>
      <c r="H10" s="1016">
        <f t="shared" si="0"/>
        <v>0</v>
      </c>
      <c r="I10" s="1016">
        <f>SUM(I8:I9)</f>
        <v>2060.783736113468</v>
      </c>
      <c r="J10" s="1016">
        <f>SUM(J8:J9)</f>
        <v>0</v>
      </c>
      <c r="K10" s="1016">
        <f t="shared" ref="K10:L10" si="1">SUM(K8:K9)</f>
        <v>0</v>
      </c>
      <c r="L10" s="1016">
        <f t="shared" si="1"/>
        <v>0</v>
      </c>
      <c r="M10" s="1016">
        <f>SUM(M8:M9)</f>
        <v>0</v>
      </c>
      <c r="N10" s="1016">
        <f>SUM(N8:N9)</f>
        <v>0</v>
      </c>
      <c r="O10" s="1016">
        <f>SUM(O8:O9)</f>
        <v>0</v>
      </c>
      <c r="P10" s="1016">
        <f>SUM(P8:P9)</f>
        <v>270.75425778424062</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0.11560008224417137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2035.4838548211594</v>
      </c>
      <c r="C17" s="1017">
        <f>'SEAP template'!C87</f>
        <v>1105.584677997374</v>
      </c>
      <c r="D17" s="1015">
        <f>'SEAP template'!D87</f>
        <v>502.36014631739027</v>
      </c>
      <c r="E17" s="1015">
        <f>'SEAP template'!E87</f>
        <v>0</v>
      </c>
      <c r="F17" s="1015">
        <f>'SEAP template'!F87</f>
        <v>798.07208796217731</v>
      </c>
      <c r="G17" s="1015">
        <f>'SEAP template'!G87</f>
        <v>0</v>
      </c>
      <c r="H17" s="1015">
        <f>'SEAP template'!H87</f>
        <v>0</v>
      </c>
      <c r="I17" s="1015">
        <f>'SEAP template'!I87</f>
        <v>2394.216263886532</v>
      </c>
      <c r="J17" s="1015">
        <f>'SEAP template'!J87</f>
        <v>0</v>
      </c>
      <c r="K17" s="1015">
        <f>'SEAP template'!K87</f>
        <v>0</v>
      </c>
      <c r="L17" s="1015">
        <f>'SEAP template'!L87</f>
        <v>0</v>
      </c>
      <c r="M17" s="1015">
        <f>'SEAP template'!M87</f>
        <v>0</v>
      </c>
      <c r="N17" s="1015">
        <f>'SEAP template'!N87</f>
        <v>0</v>
      </c>
      <c r="O17" s="1015">
        <f>'SEAP template'!O87</f>
        <v>0</v>
      </c>
      <c r="P17" s="1015">
        <f>'SEAP template'!Q87</f>
        <v>314.56199704201418</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2035.4838548211594</v>
      </c>
      <c r="C20" s="1016">
        <f>SUM(C17:C19)</f>
        <v>1105.584677997374</v>
      </c>
      <c r="D20" s="1016">
        <f t="shared" ref="D20:H20" si="2">SUM(D17:D19)</f>
        <v>502.36014631739027</v>
      </c>
      <c r="E20" s="1016">
        <f t="shared" si="2"/>
        <v>0</v>
      </c>
      <c r="F20" s="1016">
        <f t="shared" si="2"/>
        <v>798.07208796217731</v>
      </c>
      <c r="G20" s="1016">
        <f t="shared" si="2"/>
        <v>0</v>
      </c>
      <c r="H20" s="1016">
        <f t="shared" si="2"/>
        <v>0</v>
      </c>
      <c r="I20" s="1016">
        <f>SUM(I17:I19)</f>
        <v>2394.216263886532</v>
      </c>
      <c r="J20" s="1016">
        <f>SUM(J17:J19)</f>
        <v>0</v>
      </c>
      <c r="K20" s="1016">
        <f t="shared" ref="K20:L20" si="3">SUM(K17:K19)</f>
        <v>0</v>
      </c>
      <c r="L20" s="1016">
        <f t="shared" si="3"/>
        <v>0</v>
      </c>
      <c r="M20" s="1016">
        <f>SUM(M17:M19)</f>
        <v>0</v>
      </c>
      <c r="N20" s="1016">
        <f>SUM(N17:N19)</f>
        <v>0</v>
      </c>
      <c r="O20" s="1016">
        <f>SUM(O17:O19)</f>
        <v>0</v>
      </c>
      <c r="P20" s="1016">
        <f>SUM(P17:P19)</f>
        <v>314.56199704201418</v>
      </c>
    </row>
    <row r="21" spans="1:16">
      <c r="B21" s="881"/>
    </row>
    <row r="22" spans="1:16">
      <c r="A22" s="459" t="s">
        <v>749</v>
      </c>
      <c r="B22" s="776" t="s">
        <v>747</v>
      </c>
      <c r="C22" s="776">
        <f ca="1">'EF ele_warmte'!B22</f>
        <v>0.10014490093272574</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0.11560008224417137</v>
      </c>
      <c r="C17" s="496">
        <f ca="1">'EF ele_warmte'!B22</f>
        <v>0.10014490093272574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0.11560008224417137</v>
      </c>
      <c r="C17" s="496">
        <f ca="1">'EF ele_warmte'!B22</f>
        <v>0.10014490093272574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0.11560008224417137</v>
      </c>
      <c r="C29" s="497">
        <f ca="1">'EF ele_warmte'!B22</f>
        <v>0.10014490093272574</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6835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1644.96</v>
      </c>
      <c r="C14" s="326"/>
      <c r="D14" s="326"/>
      <c r="E14" s="326"/>
      <c r="F14" s="326"/>
    </row>
    <row r="15" spans="1:6">
      <c r="A15" s="1310" t="s">
        <v>177</v>
      </c>
      <c r="B15" s="1311">
        <v>34</v>
      </c>
      <c r="C15" s="326"/>
      <c r="D15" s="326"/>
      <c r="E15" s="326"/>
      <c r="F15" s="326"/>
    </row>
    <row r="16" spans="1:6">
      <c r="A16" s="1310" t="s">
        <v>6</v>
      </c>
      <c r="B16" s="1311">
        <v>1322</v>
      </c>
      <c r="C16" s="326"/>
      <c r="D16" s="326"/>
      <c r="E16" s="326"/>
      <c r="F16" s="326"/>
    </row>
    <row r="17" spans="1:6">
      <c r="A17" s="1310" t="s">
        <v>7</v>
      </c>
      <c r="B17" s="1311">
        <v>392</v>
      </c>
      <c r="C17" s="326"/>
      <c r="D17" s="326"/>
      <c r="E17" s="326"/>
      <c r="F17" s="326"/>
    </row>
    <row r="18" spans="1:6">
      <c r="A18" s="1310" t="s">
        <v>8</v>
      </c>
      <c r="B18" s="1311">
        <v>875</v>
      </c>
      <c r="C18" s="326"/>
      <c r="D18" s="326"/>
      <c r="E18" s="326"/>
      <c r="F18" s="326"/>
    </row>
    <row r="19" spans="1:6">
      <c r="A19" s="1310" t="s">
        <v>9</v>
      </c>
      <c r="B19" s="1311">
        <v>812</v>
      </c>
      <c r="C19" s="326"/>
      <c r="D19" s="326"/>
      <c r="E19" s="326"/>
      <c r="F19" s="326"/>
    </row>
    <row r="20" spans="1:6">
      <c r="A20" s="1310" t="s">
        <v>10</v>
      </c>
      <c r="B20" s="1311">
        <v>460</v>
      </c>
      <c r="C20" s="326"/>
      <c r="D20" s="326"/>
      <c r="E20" s="326"/>
      <c r="F20" s="326"/>
    </row>
    <row r="21" spans="1:6">
      <c r="A21" s="1310" t="s">
        <v>11</v>
      </c>
      <c r="B21" s="1311">
        <v>4253</v>
      </c>
      <c r="C21" s="326"/>
      <c r="D21" s="326"/>
      <c r="E21" s="326"/>
      <c r="F21" s="326"/>
    </row>
    <row r="22" spans="1:6">
      <c r="A22" s="1310" t="s">
        <v>12</v>
      </c>
      <c r="B22" s="1311">
        <v>19696</v>
      </c>
      <c r="C22" s="326"/>
      <c r="D22" s="326"/>
      <c r="E22" s="326"/>
      <c r="F22" s="326"/>
    </row>
    <row r="23" spans="1:6">
      <c r="A23" s="1310" t="s">
        <v>13</v>
      </c>
      <c r="B23" s="1311">
        <v>226</v>
      </c>
      <c r="C23" s="326"/>
      <c r="D23" s="326"/>
      <c r="E23" s="326"/>
      <c r="F23" s="326"/>
    </row>
    <row r="24" spans="1:6">
      <c r="A24" s="1310" t="s">
        <v>14</v>
      </c>
      <c r="B24" s="1311">
        <v>18</v>
      </c>
      <c r="C24" s="326"/>
      <c r="D24" s="326"/>
      <c r="E24" s="326"/>
      <c r="F24" s="326"/>
    </row>
    <row r="25" spans="1:6">
      <c r="A25" s="1310" t="s">
        <v>15</v>
      </c>
      <c r="B25" s="1311">
        <v>883</v>
      </c>
      <c r="C25" s="326"/>
      <c r="D25" s="326"/>
      <c r="E25" s="326"/>
      <c r="F25" s="326"/>
    </row>
    <row r="26" spans="1:6">
      <c r="A26" s="1310" t="s">
        <v>16</v>
      </c>
      <c r="B26" s="1311">
        <v>58</v>
      </c>
      <c r="C26" s="326"/>
      <c r="D26" s="326"/>
      <c r="E26" s="326"/>
      <c r="F26" s="326"/>
    </row>
    <row r="27" spans="1:6">
      <c r="A27" s="1310" t="s">
        <v>17</v>
      </c>
      <c r="B27" s="1311">
        <v>846</v>
      </c>
      <c r="C27" s="326"/>
      <c r="D27" s="326"/>
      <c r="E27" s="326"/>
      <c r="F27" s="326"/>
    </row>
    <row r="28" spans="1:6">
      <c r="A28" s="1310" t="s">
        <v>18</v>
      </c>
      <c r="B28" s="1312">
        <v>1814</v>
      </c>
      <c r="C28" s="326"/>
      <c r="D28" s="326"/>
      <c r="E28" s="326"/>
      <c r="F28" s="326"/>
    </row>
    <row r="29" spans="1:6">
      <c r="A29" s="1310" t="s">
        <v>678</v>
      </c>
      <c r="B29" s="1312">
        <v>92</v>
      </c>
      <c r="C29" s="326"/>
      <c r="D29" s="326"/>
      <c r="E29" s="326"/>
      <c r="F29" s="326"/>
    </row>
    <row r="30" spans="1:6">
      <c r="A30" s="1305" t="s">
        <v>679</v>
      </c>
      <c r="B30" s="1313">
        <v>28</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6</v>
      </c>
      <c r="F36" s="1311">
        <v>62646.954351276203</v>
      </c>
    </row>
    <row r="37" spans="1:6">
      <c r="A37" s="1310" t="s">
        <v>24</v>
      </c>
      <c r="B37" s="1310" t="s">
        <v>27</v>
      </c>
      <c r="C37" s="1311">
        <v>0</v>
      </c>
      <c r="D37" s="1311">
        <v>0</v>
      </c>
      <c r="E37" s="1311">
        <v>0</v>
      </c>
      <c r="F37" s="1311">
        <v>0</v>
      </c>
    </row>
    <row r="38" spans="1:6">
      <c r="A38" s="1310" t="s">
        <v>24</v>
      </c>
      <c r="B38" s="1310" t="s">
        <v>28</v>
      </c>
      <c r="C38" s="1311">
        <v>1</v>
      </c>
      <c r="D38" s="1311">
        <v>5750.1718662507001</v>
      </c>
      <c r="E38" s="1311">
        <v>2</v>
      </c>
      <c r="F38" s="1311">
        <v>10940.4636922012</v>
      </c>
    </row>
    <row r="39" spans="1:6">
      <c r="A39" s="1310" t="s">
        <v>29</v>
      </c>
      <c r="B39" s="1310" t="s">
        <v>30</v>
      </c>
      <c r="C39" s="1311">
        <v>5626</v>
      </c>
      <c r="D39" s="1311">
        <v>80755455.004634902</v>
      </c>
      <c r="E39" s="1311">
        <v>6846</v>
      </c>
      <c r="F39" s="1311">
        <v>23547771.220819</v>
      </c>
    </row>
    <row r="40" spans="1:6">
      <c r="A40" s="1310" t="s">
        <v>29</v>
      </c>
      <c r="B40" s="1310" t="s">
        <v>28</v>
      </c>
      <c r="C40" s="1311">
        <v>0</v>
      </c>
      <c r="D40" s="1311">
        <v>0</v>
      </c>
      <c r="E40" s="1311">
        <v>0</v>
      </c>
      <c r="F40" s="1311">
        <v>0</v>
      </c>
    </row>
    <row r="41" spans="1:6">
      <c r="A41" s="1310" t="s">
        <v>31</v>
      </c>
      <c r="B41" s="1310" t="s">
        <v>32</v>
      </c>
      <c r="C41" s="1311">
        <v>64</v>
      </c>
      <c r="D41" s="1311">
        <v>1866746.45501142</v>
      </c>
      <c r="E41" s="1311">
        <v>133</v>
      </c>
      <c r="F41" s="1311">
        <v>1629399.4354405601</v>
      </c>
    </row>
    <row r="42" spans="1:6">
      <c r="A42" s="1310" t="s">
        <v>31</v>
      </c>
      <c r="B42" s="1310" t="s">
        <v>33</v>
      </c>
      <c r="C42" s="1311">
        <v>0</v>
      </c>
      <c r="D42" s="1311">
        <v>0</v>
      </c>
      <c r="E42" s="1311">
        <v>4</v>
      </c>
      <c r="F42" s="1311">
        <v>407406.98238199903</v>
      </c>
    </row>
    <row r="43" spans="1:6">
      <c r="A43" s="1310" t="s">
        <v>31</v>
      </c>
      <c r="B43" s="1310" t="s">
        <v>34</v>
      </c>
      <c r="C43" s="1311">
        <v>0</v>
      </c>
      <c r="D43" s="1311">
        <v>0</v>
      </c>
      <c r="E43" s="1311">
        <v>0</v>
      </c>
      <c r="F43" s="1311">
        <v>0</v>
      </c>
    </row>
    <row r="44" spans="1:6">
      <c r="A44" s="1310" t="s">
        <v>31</v>
      </c>
      <c r="B44" s="1310" t="s">
        <v>35</v>
      </c>
      <c r="C44" s="1311">
        <v>14</v>
      </c>
      <c r="D44" s="1311">
        <v>779761.65958876605</v>
      </c>
      <c r="E44" s="1311">
        <v>22</v>
      </c>
      <c r="F44" s="1311">
        <v>974220.09758082801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6</v>
      </c>
      <c r="D47" s="1311">
        <v>141935.55125389301</v>
      </c>
      <c r="E47" s="1311">
        <v>6</v>
      </c>
      <c r="F47" s="1311">
        <v>30462.985478025999</v>
      </c>
    </row>
    <row r="48" spans="1:6">
      <c r="A48" s="1310" t="s">
        <v>31</v>
      </c>
      <c r="B48" s="1310" t="s">
        <v>28</v>
      </c>
      <c r="C48" s="1311">
        <v>3</v>
      </c>
      <c r="D48" s="1311">
        <v>105845.67868498369</v>
      </c>
      <c r="E48" s="1311">
        <v>2</v>
      </c>
      <c r="F48" s="1311">
        <v>60572.150085189998</v>
      </c>
    </row>
    <row r="49" spans="1:6">
      <c r="A49" s="1310" t="s">
        <v>31</v>
      </c>
      <c r="B49" s="1310" t="s">
        <v>39</v>
      </c>
      <c r="C49" s="1311">
        <v>0</v>
      </c>
      <c r="D49" s="1311">
        <v>0</v>
      </c>
      <c r="E49" s="1311">
        <v>3</v>
      </c>
      <c r="F49" s="1311">
        <v>50552.685317962103</v>
      </c>
    </row>
    <row r="50" spans="1:6">
      <c r="A50" s="1310" t="s">
        <v>31</v>
      </c>
      <c r="B50" s="1310" t="s">
        <v>40</v>
      </c>
      <c r="C50" s="1311">
        <v>9</v>
      </c>
      <c r="D50" s="1311">
        <v>911709.667596824</v>
      </c>
      <c r="E50" s="1311">
        <v>14</v>
      </c>
      <c r="F50" s="1311">
        <v>2130697.1568789701</v>
      </c>
    </row>
    <row r="51" spans="1:6">
      <c r="A51" s="1310" t="s">
        <v>41</v>
      </c>
      <c r="B51" s="1310" t="s">
        <v>42</v>
      </c>
      <c r="C51" s="1311">
        <v>20</v>
      </c>
      <c r="D51" s="1311">
        <v>3572751.6358471098</v>
      </c>
      <c r="E51" s="1311">
        <v>91</v>
      </c>
      <c r="F51" s="1311">
        <v>2361543.1606232999</v>
      </c>
    </row>
    <row r="52" spans="1:6">
      <c r="A52" s="1310" t="s">
        <v>41</v>
      </c>
      <c r="B52" s="1310" t="s">
        <v>28</v>
      </c>
      <c r="C52" s="1311">
        <v>0</v>
      </c>
      <c r="D52" s="1311">
        <v>0</v>
      </c>
      <c r="E52" s="1311">
        <v>0</v>
      </c>
      <c r="F52" s="1311">
        <v>0</v>
      </c>
    </row>
    <row r="53" spans="1:6">
      <c r="A53" s="1310" t="s">
        <v>43</v>
      </c>
      <c r="B53" s="1310" t="s">
        <v>44</v>
      </c>
      <c r="C53" s="1311">
        <v>99</v>
      </c>
      <c r="D53" s="1311">
        <v>2982663.9705715301</v>
      </c>
      <c r="E53" s="1311">
        <v>265</v>
      </c>
      <c r="F53" s="1311">
        <v>1614510.63688821</v>
      </c>
    </row>
    <row r="54" spans="1:6">
      <c r="A54" s="1310" t="s">
        <v>45</v>
      </c>
      <c r="B54" s="1310" t="s">
        <v>46</v>
      </c>
      <c r="C54" s="1311">
        <v>0</v>
      </c>
      <c r="D54" s="1311">
        <v>0</v>
      </c>
      <c r="E54" s="1311">
        <v>1</v>
      </c>
      <c r="F54" s="1311">
        <v>1093604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51</v>
      </c>
      <c r="D57" s="1311">
        <v>1446635.0547432699</v>
      </c>
      <c r="E57" s="1311">
        <v>88</v>
      </c>
      <c r="F57" s="1311">
        <v>1832509.9408001699</v>
      </c>
    </row>
    <row r="58" spans="1:6">
      <c r="A58" s="1310" t="s">
        <v>48</v>
      </c>
      <c r="B58" s="1310" t="s">
        <v>50</v>
      </c>
      <c r="C58" s="1311">
        <v>18</v>
      </c>
      <c r="D58" s="1311">
        <v>430658.83106551802</v>
      </c>
      <c r="E58" s="1311">
        <v>30</v>
      </c>
      <c r="F58" s="1311">
        <v>223093.383350572</v>
      </c>
    </row>
    <row r="59" spans="1:6">
      <c r="A59" s="1310" t="s">
        <v>48</v>
      </c>
      <c r="B59" s="1310" t="s">
        <v>51</v>
      </c>
      <c r="C59" s="1311">
        <v>93</v>
      </c>
      <c r="D59" s="1311">
        <v>3044498.5300302701</v>
      </c>
      <c r="E59" s="1311">
        <v>174</v>
      </c>
      <c r="F59" s="1311">
        <v>7087326.3834738797</v>
      </c>
    </row>
    <row r="60" spans="1:6">
      <c r="A60" s="1310" t="s">
        <v>48</v>
      </c>
      <c r="B60" s="1310" t="s">
        <v>52</v>
      </c>
      <c r="C60" s="1311">
        <v>55</v>
      </c>
      <c r="D60" s="1311">
        <v>4185972.00583662</v>
      </c>
      <c r="E60" s="1311">
        <v>69</v>
      </c>
      <c r="F60" s="1311">
        <v>2204906.2181981001</v>
      </c>
    </row>
    <row r="61" spans="1:6">
      <c r="A61" s="1310" t="s">
        <v>48</v>
      </c>
      <c r="B61" s="1310" t="s">
        <v>53</v>
      </c>
      <c r="C61" s="1311">
        <v>206</v>
      </c>
      <c r="D61" s="1311">
        <v>7185959.8486206597</v>
      </c>
      <c r="E61" s="1311">
        <v>328</v>
      </c>
      <c r="F61" s="1311">
        <v>3113432.6701957602</v>
      </c>
    </row>
    <row r="62" spans="1:6">
      <c r="A62" s="1310" t="s">
        <v>48</v>
      </c>
      <c r="B62" s="1310" t="s">
        <v>54</v>
      </c>
      <c r="C62" s="1311">
        <v>5</v>
      </c>
      <c r="D62" s="1311">
        <v>967434.24908628</v>
      </c>
      <c r="E62" s="1311">
        <v>9</v>
      </c>
      <c r="F62" s="1311">
        <v>99789.280355666502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12600.6096811896</v>
      </c>
      <c r="E65" s="1311">
        <v>0</v>
      </c>
      <c r="F65" s="1311">
        <v>0</v>
      </c>
    </row>
    <row r="66" spans="1:6">
      <c r="A66" s="1310" t="s">
        <v>55</v>
      </c>
      <c r="B66" s="1310" t="s">
        <v>57</v>
      </c>
      <c r="C66" s="1311">
        <v>0</v>
      </c>
      <c r="D66" s="1311">
        <v>0</v>
      </c>
      <c r="E66" s="1311">
        <v>8</v>
      </c>
      <c r="F66" s="1311">
        <v>278468.02634907898</v>
      </c>
    </row>
    <row r="67" spans="1:6">
      <c r="A67" s="1310" t="s">
        <v>55</v>
      </c>
      <c r="B67" s="1310" t="s">
        <v>58</v>
      </c>
      <c r="C67" s="1311">
        <v>0</v>
      </c>
      <c r="D67" s="1311">
        <v>0</v>
      </c>
      <c r="E67" s="1311">
        <v>0</v>
      </c>
      <c r="F67" s="1311">
        <v>0</v>
      </c>
    </row>
    <row r="68" spans="1:6">
      <c r="A68" s="1305" t="s">
        <v>55</v>
      </c>
      <c r="B68" s="1305" t="s">
        <v>59</v>
      </c>
      <c r="C68" s="1313">
        <v>5</v>
      </c>
      <c r="D68" s="1313">
        <v>403212.99377544603</v>
      </c>
      <c r="E68" s="1313">
        <v>9</v>
      </c>
      <c r="F68" s="1313">
        <v>372123.73241358099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31085250</v>
      </c>
      <c r="E73" s="445"/>
      <c r="F73" s="326"/>
    </row>
    <row r="74" spans="1:6">
      <c r="A74" s="1310" t="s">
        <v>63</v>
      </c>
      <c r="B74" s="1310" t="s">
        <v>632</v>
      </c>
      <c r="C74" s="1323" t="s">
        <v>634</v>
      </c>
      <c r="D74" s="1311">
        <v>3386603.9669522322</v>
      </c>
      <c r="E74" s="445"/>
      <c r="F74" s="326"/>
    </row>
    <row r="75" spans="1:6">
      <c r="A75" s="1310" t="s">
        <v>64</v>
      </c>
      <c r="B75" s="1310" t="s">
        <v>631</v>
      </c>
      <c r="C75" s="1323" t="s">
        <v>635</v>
      </c>
      <c r="D75" s="1311">
        <v>18837529</v>
      </c>
      <c r="E75" s="445"/>
      <c r="F75" s="326"/>
    </row>
    <row r="76" spans="1:6">
      <c r="A76" s="1310" t="s">
        <v>64</v>
      </c>
      <c r="B76" s="1310" t="s">
        <v>632</v>
      </c>
      <c r="C76" s="1323" t="s">
        <v>636</v>
      </c>
      <c r="D76" s="1311">
        <v>1694276.9669522319</v>
      </c>
      <c r="E76" s="445"/>
      <c r="F76" s="326"/>
    </row>
    <row r="77" spans="1:6">
      <c r="A77" s="1310" t="s">
        <v>65</v>
      </c>
      <c r="B77" s="1310" t="s">
        <v>631</v>
      </c>
      <c r="C77" s="1323" t="s">
        <v>637</v>
      </c>
      <c r="D77" s="1311">
        <v>85811092</v>
      </c>
      <c r="E77" s="445"/>
      <c r="F77" s="326"/>
    </row>
    <row r="78" spans="1:6">
      <c r="A78" s="1305" t="s">
        <v>65</v>
      </c>
      <c r="B78" s="1305" t="s">
        <v>632</v>
      </c>
      <c r="C78" s="1305" t="s">
        <v>638</v>
      </c>
      <c r="D78" s="1313">
        <v>21926698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348180.06609553599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17200.876264341499</v>
      </c>
      <c r="C90" s="326"/>
      <c r="D90" s="326"/>
      <c r="E90" s="326"/>
      <c r="F90" s="326"/>
    </row>
    <row r="91" spans="1:6">
      <c r="A91" s="1310" t="s">
        <v>67</v>
      </c>
      <c r="B91" s="1311">
        <v>4924.0675604610806</v>
      </c>
      <c r="C91" s="326"/>
      <c r="D91" s="326"/>
      <c r="E91" s="326"/>
      <c r="F91" s="326"/>
    </row>
    <row r="92" spans="1:6">
      <c r="A92" s="1305" t="s">
        <v>68</v>
      </c>
      <c r="B92" s="1306">
        <v>2016.2375343328906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3655</v>
      </c>
      <c r="C97" s="326"/>
      <c r="D97" s="326"/>
      <c r="E97" s="326"/>
      <c r="F97" s="326"/>
    </row>
    <row r="98" spans="1:6">
      <c r="A98" s="1310" t="s">
        <v>71</v>
      </c>
      <c r="B98" s="1311">
        <v>0</v>
      </c>
      <c r="C98" s="326"/>
      <c r="D98" s="326"/>
      <c r="E98" s="326"/>
      <c r="F98" s="326"/>
    </row>
    <row r="99" spans="1:6">
      <c r="A99" s="1310" t="s">
        <v>72</v>
      </c>
      <c r="B99" s="1311">
        <v>30</v>
      </c>
      <c r="C99" s="326"/>
      <c r="D99" s="326"/>
      <c r="E99" s="326"/>
      <c r="F99" s="326"/>
    </row>
    <row r="100" spans="1:6">
      <c r="A100" s="1310" t="s">
        <v>73</v>
      </c>
      <c r="B100" s="1311">
        <v>641</v>
      </c>
      <c r="C100" s="326"/>
      <c r="D100" s="326"/>
      <c r="E100" s="326"/>
      <c r="F100" s="326"/>
    </row>
    <row r="101" spans="1:6">
      <c r="A101" s="1310" t="s">
        <v>74</v>
      </c>
      <c r="B101" s="1311">
        <v>139</v>
      </c>
      <c r="C101" s="326"/>
      <c r="D101" s="326"/>
      <c r="E101" s="326"/>
      <c r="F101" s="326"/>
    </row>
    <row r="102" spans="1:6">
      <c r="A102" s="1310" t="s">
        <v>75</v>
      </c>
      <c r="B102" s="1311">
        <v>145</v>
      </c>
      <c r="C102" s="326"/>
      <c r="D102" s="326"/>
      <c r="E102" s="326"/>
      <c r="F102" s="326"/>
    </row>
    <row r="103" spans="1:6">
      <c r="A103" s="1310" t="s">
        <v>76</v>
      </c>
      <c r="B103" s="1311">
        <v>202</v>
      </c>
      <c r="C103" s="326"/>
      <c r="D103" s="326"/>
      <c r="E103" s="326"/>
      <c r="F103" s="326"/>
    </row>
    <row r="104" spans="1:6">
      <c r="A104" s="1310" t="s">
        <v>77</v>
      </c>
      <c r="B104" s="1311">
        <v>883</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41</v>
      </c>
      <c r="C123" s="1311">
        <v>41</v>
      </c>
      <c r="D123" s="326"/>
      <c r="E123" s="326"/>
      <c r="F123" s="326"/>
    </row>
    <row r="124" spans="1:6">
      <c r="A124" s="1310" t="s">
        <v>88</v>
      </c>
      <c r="B124" s="1311">
        <v>0</v>
      </c>
      <c r="C124" s="1311">
        <v>1</v>
      </c>
      <c r="D124" s="326"/>
      <c r="E124" s="326"/>
      <c r="F124" s="326"/>
    </row>
    <row r="125" spans="1:6">
      <c r="A125" s="1305" t="s">
        <v>780</v>
      </c>
      <c r="B125" s="1311">
        <v>4</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164</v>
      </c>
      <c r="C129" s="326"/>
      <c r="D129" s="326"/>
      <c r="E129" s="326"/>
      <c r="F129" s="326"/>
    </row>
    <row r="130" spans="1:6">
      <c r="A130" s="1310" t="s">
        <v>284</v>
      </c>
      <c r="B130" s="1311">
        <v>2</v>
      </c>
      <c r="C130" s="326"/>
      <c r="D130" s="326"/>
      <c r="E130" s="326"/>
      <c r="F130" s="326"/>
    </row>
    <row r="131" spans="1:6">
      <c r="A131" s="1310" t="s">
        <v>285</v>
      </c>
      <c r="B131" s="1311">
        <v>0</v>
      </c>
      <c r="C131" s="326"/>
      <c r="D131" s="326"/>
      <c r="E131" s="326"/>
      <c r="F131" s="326"/>
    </row>
    <row r="132" spans="1:6">
      <c r="A132" s="1305" t="s">
        <v>286</v>
      </c>
      <c r="B132" s="1306">
        <v>24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53718.713146449219</v>
      </c>
      <c r="C3" s="43" t="s">
        <v>163</v>
      </c>
      <c r="D3" s="43"/>
      <c r="E3" s="154"/>
      <c r="F3" s="43"/>
      <c r="G3" s="43"/>
      <c r="H3" s="43"/>
      <c r="I3" s="43"/>
      <c r="J3" s="43"/>
      <c r="K3" s="96"/>
    </row>
    <row r="4" spans="1:11">
      <c r="A4" s="352" t="s">
        <v>164</v>
      </c>
      <c r="B4" s="49">
        <f>IF(ISERROR('SEAP template'!B78+'SEAP template'!C78),0,'SEAP template'!B78+'SEAP template'!C78)</f>
        <v>26844.806359135469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270.75425778424062</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0.11560008224417137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314.56199704201418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3141.0685328185332</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0.10014490093272574</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1093.604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1093.604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0.11560008224417137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126.42071234255479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23547.771220818999</v>
      </c>
      <c r="C5" s="17">
        <f>IF(ISERROR('Eigen informatie GS &amp; warmtenet'!B59),0,'Eigen informatie GS &amp; warmtenet'!B59)</f>
        <v>0</v>
      </c>
      <c r="D5" s="30">
        <f>(SUM(HH_hh_gas_kWh,HH_rest_gas_kWh)/1000)*0.903</f>
        <v>72922.175869185317</v>
      </c>
      <c r="E5" s="17">
        <f>B32*B41</f>
        <v>904.73805364604914</v>
      </c>
      <c r="F5" s="17">
        <f>B36*B45</f>
        <v>19819.73941895532</v>
      </c>
      <c r="G5" s="18"/>
      <c r="H5" s="17"/>
      <c r="I5" s="17"/>
      <c r="J5" s="17">
        <f>B35*B44+C35*C44</f>
        <v>112.95486270801412</v>
      </c>
      <c r="K5" s="17"/>
      <c r="L5" s="17"/>
      <c r="M5" s="17"/>
      <c r="N5" s="17">
        <f>B34*B43+C34*C43</f>
        <v>8509.0627893743385</v>
      </c>
      <c r="O5" s="17">
        <f>B52*B53*B54</f>
        <v>408.69539319372859</v>
      </c>
      <c r="P5" s="17">
        <f>B60*B61*B62/1000-B60*B61*B62/1000/B63</f>
        <v>684.70735499952639</v>
      </c>
    </row>
    <row r="6" spans="1:16">
      <c r="A6" s="16" t="s">
        <v>597</v>
      </c>
      <c r="B6" s="778">
        <f>kWh_PV_kleiner_dan_10kW</f>
        <v>4924.0675604610806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28471.838781280079</v>
      </c>
      <c r="C8" s="21">
        <f>C5</f>
        <v>0</v>
      </c>
      <c r="D8" s="21">
        <f>D5</f>
        <v>72922.175869185317</v>
      </c>
      <c r="E8" s="21">
        <f>E5</f>
        <v>904.73805364604914</v>
      </c>
      <c r="F8" s="21">
        <f>F5</f>
        <v>19819.73941895532</v>
      </c>
      <c r="G8" s="21"/>
      <c r="H8" s="21"/>
      <c r="I8" s="21"/>
      <c r="J8" s="21">
        <f>J5</f>
        <v>112.95486270801412</v>
      </c>
      <c r="K8" s="21"/>
      <c r="L8" s="21">
        <f>L5</f>
        <v>0</v>
      </c>
      <c r="M8" s="21">
        <f>M5</f>
        <v>0</v>
      </c>
      <c r="N8" s="21">
        <f>N5</f>
        <v>8509.0627893743385</v>
      </c>
      <c r="O8" s="21">
        <f>O5</f>
        <v>408.69539319372859</v>
      </c>
      <c r="P8" s="21">
        <f>P5</f>
        <v>684.70735499952639</v>
      </c>
    </row>
    <row r="9" spans="1:16">
      <c r="B9" s="19"/>
      <c r="C9" s="19"/>
      <c r="D9" s="254"/>
      <c r="E9" s="19"/>
      <c r="F9" s="19"/>
      <c r="G9" s="19"/>
      <c r="H9" s="19"/>
      <c r="I9" s="19"/>
      <c r="J9" s="19"/>
      <c r="K9" s="19"/>
      <c r="L9" s="19"/>
      <c r="M9" s="19"/>
      <c r="N9" s="19"/>
      <c r="O9" s="19"/>
      <c r="P9" s="19"/>
    </row>
    <row r="10" spans="1:16">
      <c r="A10" s="24" t="s">
        <v>207</v>
      </c>
      <c r="B10" s="25">
        <f ca="1">'EF ele_warmte'!B12</f>
        <v>0.11560008224417137</v>
      </c>
      <c r="C10" s="25">
        <f ca="1">'EF ele_warmte'!B22</f>
        <v>0.10014490093272574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3291.346904758765</v>
      </c>
      <c r="C12" s="23">
        <f ca="1">C10*C8</f>
        <v>0</v>
      </c>
      <c r="D12" s="23">
        <f>D8*D10</f>
        <v>14730.279525575435</v>
      </c>
      <c r="E12" s="23">
        <f>E10*E8</f>
        <v>205.37553817765317</v>
      </c>
      <c r="F12" s="23">
        <f>F10*F8</f>
        <v>5291.8704248610711</v>
      </c>
      <c r="G12" s="23"/>
      <c r="H12" s="23"/>
      <c r="I12" s="23"/>
      <c r="J12" s="23">
        <f>J10*J8</f>
        <v>39.986021398636993</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6835</v>
      </c>
      <c r="C26" s="36"/>
      <c r="D26" s="225"/>
    </row>
    <row r="27" spans="1:5" s="15" customFormat="1">
      <c r="A27" s="227" t="s">
        <v>860</v>
      </c>
      <c r="B27" s="37">
        <f>SUM(HH_hh_gas_aantal,HH_rest_gas_aantal)</f>
        <v>5626</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5344.7</v>
      </c>
      <c r="C31" s="34" t="s">
        <v>104</v>
      </c>
      <c r="D31" s="171"/>
    </row>
    <row r="32" spans="1:5">
      <c r="A32" s="168" t="s">
        <v>72</v>
      </c>
      <c r="B32" s="33">
        <f>IF((B21*($B$26-($B$27-0.05*$B$27)-$B$60))&lt;0,0,(B21*($B$26-($B$27-0.05*$B$27)-$B$60)))</f>
        <v>22.626920698465128</v>
      </c>
      <c r="C32" s="34" t="s">
        <v>104</v>
      </c>
      <c r="D32" s="171"/>
    </row>
    <row r="33" spans="1:6">
      <c r="A33" s="168" t="s">
        <v>73</v>
      </c>
      <c r="B33" s="33">
        <f>IF((B22*($B$26-($B$27-0.05*$B$27)-$B$60))&lt;0,0,B22*($B$26-($B$27-0.05*$B$27)-$B$60))</f>
        <v>367.41637903476669</v>
      </c>
      <c r="C33" s="34" t="s">
        <v>104</v>
      </c>
      <c r="D33" s="171"/>
    </row>
    <row r="34" spans="1:6">
      <c r="A34" s="168" t="s">
        <v>74</v>
      </c>
      <c r="B34" s="33">
        <f>IF((B24*($B$26-($B$27-0.05*$B$27)-$B$60))&lt;0,0,B24*($B$26-($B$27-0.05*$B$27)-$B$60))</f>
        <v>70.438636797465463</v>
      </c>
      <c r="C34" s="33">
        <f>B26*C24</f>
        <v>1400.5320985777294</v>
      </c>
      <c r="D34" s="230"/>
    </row>
    <row r="35" spans="1:6">
      <c r="A35" s="168" t="s">
        <v>76</v>
      </c>
      <c r="B35" s="33">
        <f>IF((B19*($B$26-($B$27-0.05*$B$27)-$B$60))&lt;0,0,B19*($B$26-($B$27-0.05*$B$27)-$B$60))</f>
        <v>9.8358684835673227</v>
      </c>
      <c r="C35" s="33">
        <f>B35/2</f>
        <v>4.9179342417836613</v>
      </c>
      <c r="D35" s="230"/>
    </row>
    <row r="36" spans="1:6">
      <c r="A36" s="168" t="s">
        <v>77</v>
      </c>
      <c r="B36" s="33">
        <f>IF((B18*($B$26-($B$27-0.05*$B$27)-$B$60))&lt;0,0,B18*($B$26-($B$27-0.05*$B$27)-$B$60))</f>
        <v>954.9821949857353</v>
      </c>
      <c r="C36" s="34" t="s">
        <v>104</v>
      </c>
      <c r="D36" s="171"/>
    </row>
    <row r="37" spans="1:6">
      <c r="A37" s="168" t="s">
        <v>78</v>
      </c>
      <c r="B37" s="33">
        <f>B60</f>
        <v>65</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206</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65</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14561.057876374147</v>
      </c>
      <c r="C5" s="17">
        <f>IF(ISERROR('Eigen informatie GS &amp; warmtenet'!B60),0,'Eigen informatie GS &amp; warmtenet'!B60)</f>
        <v>0</v>
      </c>
      <c r="D5" s="30">
        <f>SUM(D6:D12)</f>
        <v>15586.826143002503</v>
      </c>
      <c r="E5" s="17">
        <f>SUM(E6:E12)</f>
        <v>81.152779372485412</v>
      </c>
      <c r="F5" s="17">
        <f>SUM(F6:F12)</f>
        <v>2859.0914121477285</v>
      </c>
      <c r="G5" s="18"/>
      <c r="H5" s="17"/>
      <c r="I5" s="17"/>
      <c r="J5" s="17">
        <f>SUM(J6:J12)</f>
        <v>1.8534320948533061E-2</v>
      </c>
      <c r="K5" s="17"/>
      <c r="L5" s="17"/>
      <c r="M5" s="17"/>
      <c r="N5" s="17">
        <f>SUM(N6:N12)</f>
        <v>710.19809077573643</v>
      </c>
      <c r="O5" s="17">
        <f>B38*B39*B40</f>
        <v>9.7945215316823084</v>
      </c>
      <c r="P5" s="17">
        <f>B46*B47*B48/1000-B46*B47*B48/1000/B49</f>
        <v>262.69569153247511</v>
      </c>
      <c r="R5" s="32"/>
    </row>
    <row r="6" spans="1:18">
      <c r="A6" s="32" t="s">
        <v>53</v>
      </c>
      <c r="B6" s="37">
        <f>B26</f>
        <v>3113.4326701957602</v>
      </c>
      <c r="C6" s="33"/>
      <c r="D6" s="37">
        <f>IF(ISERROR(TER_kantoor_gas_kWh/1000),0,TER_kantoor_gas_kWh/1000)*0.903</f>
        <v>6488.921743304456</v>
      </c>
      <c r="E6" s="33">
        <f>$C$26*'E Balans VL '!I12/100/3.6*1000000</f>
        <v>0.74183923788310546</v>
      </c>
      <c r="F6" s="33">
        <f>$C$26*('E Balans VL '!L12+'E Balans VL '!N12)/100/3.6*1000000</f>
        <v>270.43212705668344</v>
      </c>
      <c r="G6" s="34"/>
      <c r="H6" s="33"/>
      <c r="I6" s="33"/>
      <c r="J6" s="33">
        <f>$C$26*('E Balans VL '!D12+'E Balans VL '!E12)/100/3.6*1000000</f>
        <v>0</v>
      </c>
      <c r="K6" s="33"/>
      <c r="L6" s="33"/>
      <c r="M6" s="33"/>
      <c r="N6" s="33">
        <f>$C$26*'E Balans VL '!Y12/100/3.6*1000000</f>
        <v>4.1615383335669263</v>
      </c>
      <c r="O6" s="33"/>
      <c r="P6" s="33"/>
      <c r="R6" s="32"/>
    </row>
    <row r="7" spans="1:18">
      <c r="A7" s="32" t="s">
        <v>52</v>
      </c>
      <c r="B7" s="37">
        <f t="shared" ref="B7:B12" si="0">B27</f>
        <v>2204.9062181981003</v>
      </c>
      <c r="C7" s="33"/>
      <c r="D7" s="37">
        <f>IF(ISERROR(TER_horeca_gas_kWh/1000),0,TER_horeca_gas_kWh/1000)*0.903</f>
        <v>3779.9327212704679</v>
      </c>
      <c r="E7" s="33">
        <f>$C$27*'E Balans VL '!I9/100/3.6*1000000</f>
        <v>0</v>
      </c>
      <c r="F7" s="33">
        <f>$C$27*('E Balans VL '!L9+'E Balans VL '!N9)/100/3.6*1000000</f>
        <v>179.65995368062454</v>
      </c>
      <c r="G7" s="34"/>
      <c r="H7" s="33"/>
      <c r="I7" s="33"/>
      <c r="J7" s="33">
        <f>$C$27*('E Balans VL '!D9+'E Balans VL '!E9)/100/3.6*1000000</f>
        <v>0</v>
      </c>
      <c r="K7" s="33"/>
      <c r="L7" s="33"/>
      <c r="M7" s="33"/>
      <c r="N7" s="33">
        <f>$C$27*'E Balans VL '!Y9/100/3.6*1000000</f>
        <v>0.6107179729283887</v>
      </c>
      <c r="O7" s="33"/>
      <c r="P7" s="33"/>
      <c r="R7" s="32"/>
    </row>
    <row r="8" spans="1:18">
      <c r="A8" s="6" t="s">
        <v>51</v>
      </c>
      <c r="B8" s="37">
        <f t="shared" si="0"/>
        <v>7087.32638347388</v>
      </c>
      <c r="C8" s="33"/>
      <c r="D8" s="37">
        <f>IF(ISERROR(TER_handel_gas_kWh/1000),0,TER_handel_gas_kWh/1000)*0.903</f>
        <v>2749.1821726173339</v>
      </c>
      <c r="E8" s="33">
        <f>$C$28*'E Balans VL '!I13/100/3.6*1000000</f>
        <v>56.653355644118058</v>
      </c>
      <c r="F8" s="33">
        <f>$C$28*('E Balans VL '!L13+'E Balans VL '!N13)/100/3.6*1000000</f>
        <v>704.08181880680991</v>
      </c>
      <c r="G8" s="34"/>
      <c r="H8" s="33"/>
      <c r="I8" s="33"/>
      <c r="J8" s="33">
        <f>$C$28*('E Balans VL '!D13+'E Balans VL '!E13)/100/3.6*1000000</f>
        <v>0</v>
      </c>
      <c r="K8" s="33"/>
      <c r="L8" s="33"/>
      <c r="M8" s="33"/>
      <c r="N8" s="33">
        <f>$C$28*'E Balans VL '!Y13/100/3.6*1000000</f>
        <v>2.6475382699746977</v>
      </c>
      <c r="O8" s="33"/>
      <c r="P8" s="33"/>
      <c r="R8" s="32"/>
    </row>
    <row r="9" spans="1:18">
      <c r="A9" s="32" t="s">
        <v>50</v>
      </c>
      <c r="B9" s="37">
        <f t="shared" si="0"/>
        <v>223.093383350572</v>
      </c>
      <c r="C9" s="33"/>
      <c r="D9" s="37">
        <f>IF(ISERROR(TER_gezond_gas_kWh/1000),0,TER_gezond_gas_kWh/1000)*0.903</f>
        <v>388.88492445216281</v>
      </c>
      <c r="E9" s="33">
        <f>$C$29*'E Balans VL '!I10/100/3.6*1000000</f>
        <v>0</v>
      </c>
      <c r="F9" s="33">
        <f>$C$29*('E Balans VL '!L10+'E Balans VL '!N10)/100/3.6*1000000</f>
        <v>20.338597354505158</v>
      </c>
      <c r="G9" s="34"/>
      <c r="H9" s="33"/>
      <c r="I9" s="33"/>
      <c r="J9" s="33">
        <f>$C$29*('E Balans VL '!D10+'E Balans VL '!E10)/100/3.6*1000000</f>
        <v>0</v>
      </c>
      <c r="K9" s="33"/>
      <c r="L9" s="33"/>
      <c r="M9" s="33"/>
      <c r="N9" s="33">
        <f>$C$29*'E Balans VL '!Y10/100/3.6*1000000</f>
        <v>1.6306127049164998</v>
      </c>
      <c r="O9" s="33"/>
      <c r="P9" s="33"/>
      <c r="R9" s="32"/>
    </row>
    <row r="10" spans="1:18">
      <c r="A10" s="32" t="s">
        <v>49</v>
      </c>
      <c r="B10" s="37">
        <f t="shared" si="0"/>
        <v>1832.5099408001699</v>
      </c>
      <c r="C10" s="33"/>
      <c r="D10" s="37">
        <f>IF(ISERROR(TER_ander_gas_kWh/1000),0,TER_ander_gas_kWh/1000)*0.903</f>
        <v>1306.3114544331727</v>
      </c>
      <c r="E10" s="33">
        <f>$C$30*'E Balans VL '!I14/100/3.6*1000000</f>
        <v>23.757584490484252</v>
      </c>
      <c r="F10" s="33">
        <f>$C$30*('E Balans VL '!L14+'E Balans VL '!N14)/100/3.6*1000000</f>
        <v>1680.6689049946492</v>
      </c>
      <c r="G10" s="34"/>
      <c r="H10" s="33"/>
      <c r="I10" s="33"/>
      <c r="J10" s="33">
        <f>$C$30*('E Balans VL '!D14+'E Balans VL '!E14)/100/3.6*1000000</f>
        <v>1.8534320948533061E-2</v>
      </c>
      <c r="K10" s="33"/>
      <c r="L10" s="33"/>
      <c r="M10" s="33"/>
      <c r="N10" s="33">
        <f>$C$30*'E Balans VL '!Y14/100/3.6*1000000</f>
        <v>700.83342239529043</v>
      </c>
      <c r="O10" s="33"/>
      <c r="P10" s="33"/>
      <c r="R10" s="32"/>
    </row>
    <row r="11" spans="1:18">
      <c r="A11" s="32" t="s">
        <v>54</v>
      </c>
      <c r="B11" s="37">
        <f t="shared" si="0"/>
        <v>99.789280355666506</v>
      </c>
      <c r="C11" s="33"/>
      <c r="D11" s="37">
        <f>IF(ISERROR(TER_onderwijs_gas_kWh/1000),0,TER_onderwijs_gas_kWh/1000)*0.903</f>
        <v>873.59312692491085</v>
      </c>
      <c r="E11" s="33">
        <f>$C$31*'E Balans VL '!I11/100/3.6*1000000</f>
        <v>0</v>
      </c>
      <c r="F11" s="33">
        <f>$C$31*('E Balans VL '!L11+'E Balans VL '!N11)/100/3.6*1000000</f>
        <v>3.9100102544566373</v>
      </c>
      <c r="G11" s="34"/>
      <c r="H11" s="33"/>
      <c r="I11" s="33"/>
      <c r="J11" s="33">
        <f>$C$31*('E Balans VL '!D11+'E Balans VL '!E11)/100/3.6*1000000</f>
        <v>0</v>
      </c>
      <c r="K11" s="33"/>
      <c r="L11" s="33"/>
      <c r="M11" s="33"/>
      <c r="N11" s="33">
        <f>$C$31*'E Balans VL '!Y11/100/3.6*1000000</f>
        <v>0.31426109905953525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energieproductie'!N41+'lokale energieproductie'!N34</f>
        <v>8.5</v>
      </c>
      <c r="C13" s="243">
        <f ca="1">'lokale energieproductie'!O41+'lokale energieproductie'!O34</f>
        <v>12.175675675675675</v>
      </c>
      <c r="D13" s="304">
        <f ca="1">('lokale energieproductie'!P34+'lokale energieproductie'!P41)*(-1)</f>
        <v>-22.972972972972972</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14569.557876374147</v>
      </c>
      <c r="C16" s="21">
        <f t="shared" ca="1" si="1"/>
        <v>12.175675675675675</v>
      </c>
      <c r="D16" s="21">
        <f t="shared" ca="1" si="1"/>
        <v>15563.85317002953</v>
      </c>
      <c r="E16" s="21">
        <f t="shared" si="1"/>
        <v>81.152779372485412</v>
      </c>
      <c r="F16" s="21">
        <f t="shared" ca="1" si="1"/>
        <v>2859.0914121477285</v>
      </c>
      <c r="G16" s="21">
        <f t="shared" si="1"/>
        <v>0</v>
      </c>
      <c r="H16" s="21">
        <f t="shared" si="1"/>
        <v>0</v>
      </c>
      <c r="I16" s="21">
        <f t="shared" si="1"/>
        <v>0</v>
      </c>
      <c r="J16" s="21">
        <f t="shared" si="1"/>
        <v>1.8534320948533061E-2</v>
      </c>
      <c r="K16" s="21">
        <f t="shared" si="1"/>
        <v>0</v>
      </c>
      <c r="L16" s="21">
        <f t="shared" ca="1" si="1"/>
        <v>0</v>
      </c>
      <c r="M16" s="21">
        <f t="shared" si="1"/>
        <v>0</v>
      </c>
      <c r="N16" s="21">
        <f t="shared" ca="1" si="1"/>
        <v>710.19809077573643</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0.11560008224417137</v>
      </c>
      <c r="C18" s="25">
        <f ca="1">'EF ele_warmte'!B22</f>
        <v>0.10014490093272574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1684.2420887700662</v>
      </c>
      <c r="C20" s="23">
        <f t="shared" ref="C20:P20" ca="1" si="2">C16*C18</f>
        <v>1.219331834329539</v>
      </c>
      <c r="D20" s="23">
        <f t="shared" ca="1" si="2"/>
        <v>3143.8983403459652</v>
      </c>
      <c r="E20" s="23">
        <f t="shared" si="2"/>
        <v>18.421680917554188</v>
      </c>
      <c r="F20" s="23">
        <f t="shared" ca="1" si="2"/>
        <v>763.37740704344355</v>
      </c>
      <c r="G20" s="23">
        <f t="shared" si="2"/>
        <v>0</v>
      </c>
      <c r="H20" s="23">
        <f t="shared" si="2"/>
        <v>0</v>
      </c>
      <c r="I20" s="23">
        <f t="shared" si="2"/>
        <v>0</v>
      </c>
      <c r="J20" s="23">
        <f t="shared" si="2"/>
        <v>6.561149615780703E-3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3113.4326701957602</v>
      </c>
      <c r="C26" s="39">
        <f>IF(ISERROR(B26*3.6/1000000/'E Balans VL '!Z12*100),0,B26*3.6/1000000/'E Balans VL '!Z12*100)</f>
        <v>8.932409031800384E-2</v>
      </c>
      <c r="D26" s="233" t="s">
        <v>835</v>
      </c>
      <c r="F26" s="6"/>
    </row>
    <row r="27" spans="1:18" ht="30">
      <c r="A27" s="228" t="s">
        <v>52</v>
      </c>
      <c r="B27" s="33">
        <f>IF(ISERROR(TER_horeca_ele_kWh/1000),0,TER_horeca_ele_kWh/1000)</f>
        <v>2204.9062181981003</v>
      </c>
      <c r="C27" s="39">
        <f>IF(ISERROR(B27*3.6/1000000/'E Balans VL '!Z9*100),0,B27*3.6/1000000/'E Balans VL '!Z9*100)</f>
        <v>0.16153221016040062</v>
      </c>
      <c r="D27" s="233" t="s">
        <v>835</v>
      </c>
      <c r="F27" s="6"/>
    </row>
    <row r="28" spans="1:18" ht="30">
      <c r="A28" s="168" t="s">
        <v>51</v>
      </c>
      <c r="B28" s="33">
        <f>IF(ISERROR(TER_handel_ele_kWh/1000),0,TER_handel_ele_kWh/1000)</f>
        <v>7087.32638347388</v>
      </c>
      <c r="C28" s="39">
        <f>IF(ISERROR(B28*3.6/1000000/'E Balans VL '!Z13*100),0,B28*3.6/1000000/'E Balans VL '!Z13*100)</f>
        <v>0.21900436306425464</v>
      </c>
      <c r="D28" s="233" t="s">
        <v>835</v>
      </c>
      <c r="F28" s="6"/>
    </row>
    <row r="29" spans="1:18" ht="30">
      <c r="A29" s="228" t="s">
        <v>50</v>
      </c>
      <c r="B29" s="33">
        <f>IF(ISERROR(TER_gezond_ele_kWh/1000),0,TER_gezond_ele_kWh/1000)</f>
        <v>223.093383350572</v>
      </c>
      <c r="C29" s="39">
        <f>IF(ISERROR(B29*3.6/1000000/'E Balans VL '!Z10*100),0,B29*3.6/1000000/'E Balans VL '!Z10*100)</f>
        <v>2.1864523359530798E-2</v>
      </c>
      <c r="D29" s="233" t="s">
        <v>835</v>
      </c>
      <c r="F29" s="6"/>
    </row>
    <row r="30" spans="1:18" ht="30">
      <c r="A30" s="228" t="s">
        <v>49</v>
      </c>
      <c r="B30" s="33">
        <f>IF(ISERROR(TER_ander_ele_kWh/1000),0,TER_ander_ele_kWh/1000)</f>
        <v>1832.5099408001699</v>
      </c>
      <c r="C30" s="39">
        <f>IF(ISERROR(B30*3.6/1000000/'E Balans VL '!Z14*100),0,B30*3.6/1000000/'E Balans VL '!Z14*100)</f>
        <v>7.5908481700476704E-2</v>
      </c>
      <c r="D30" s="233" t="s">
        <v>835</v>
      </c>
      <c r="F30" s="6"/>
    </row>
    <row r="31" spans="1:18" ht="30">
      <c r="A31" s="228" t="s">
        <v>54</v>
      </c>
      <c r="B31" s="33">
        <f>IF(ISERROR(TER_onderwijs_ele_kWh/1000),0,TER_onderwijs_ele_kWh/1000)</f>
        <v>99.789280355666506</v>
      </c>
      <c r="C31" s="39">
        <f>IF(ISERROR(B31*3.6/1000000/'E Balans VL '!Z11*100),0,B31*3.6/1000000/'E Balans VL '!Z11*100)</f>
        <v>3.0662211997717067E-2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5</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5283.3114931635346</v>
      </c>
      <c r="C5" s="17">
        <f>IF(ISERROR('Eigen informatie GS &amp; warmtenet'!B61),0,'Eigen informatie GS &amp; warmtenet'!B61)</f>
        <v>0</v>
      </c>
      <c r="D5" s="30">
        <f>SUM(D6:D15)</f>
        <v>3436.8171079587059</v>
      </c>
      <c r="E5" s="17">
        <f>SUM(E6:E15)</f>
        <v>103.72588942339435</v>
      </c>
      <c r="F5" s="17">
        <f>SUM(F6:F15)</f>
        <v>1170.8469203389502</v>
      </c>
      <c r="G5" s="18"/>
      <c r="H5" s="17"/>
      <c r="I5" s="17"/>
      <c r="J5" s="17">
        <f>SUM(J6:J15)</f>
        <v>1.1329084314676126</v>
      </c>
      <c r="K5" s="17"/>
      <c r="L5" s="17"/>
      <c r="M5" s="17"/>
      <c r="N5" s="17">
        <f>SUM(N6:N15)</f>
        <v>173.69862567907467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974.220097580828</v>
      </c>
      <c r="C8" s="33"/>
      <c r="D8" s="37">
        <f>IF( ISERROR(IND_metaal_Gas_kWH/1000),0,IND_metaal_Gas_kWH/1000)*0.903</f>
        <v>704.12477860865579</v>
      </c>
      <c r="E8" s="33">
        <f>C30*'E Balans VL '!I18/100/3.6*1000000</f>
        <v>5.310625688816704</v>
      </c>
      <c r="F8" s="33">
        <f>C30*'E Balans VL '!L18/100/3.6*1000000+C30*'E Balans VL '!N18/100/3.6*1000000</f>
        <v>62.739848697768252</v>
      </c>
      <c r="G8" s="34"/>
      <c r="H8" s="33"/>
      <c r="I8" s="33"/>
      <c r="J8" s="40">
        <f>C30*'E Balans VL '!D18/100/3.6*1000000+C30*'E Balans VL '!E18/100/3.6*1000000</f>
        <v>0.79800509373525452</v>
      </c>
      <c r="K8" s="33"/>
      <c r="L8" s="33"/>
      <c r="M8" s="33"/>
      <c r="N8" s="33">
        <f>C30*'E Balans VL '!Y18/100/3.6*1000000</f>
        <v>21.047381446615848</v>
      </c>
      <c r="O8" s="33"/>
      <c r="P8" s="33"/>
      <c r="R8" s="32"/>
    </row>
    <row r="9" spans="1:18">
      <c r="A9" s="6" t="s">
        <v>32</v>
      </c>
      <c r="B9" s="37">
        <f t="shared" si="0"/>
        <v>1629.3994354405602</v>
      </c>
      <c r="C9" s="33"/>
      <c r="D9" s="37">
        <f>IF( ISERROR(IND_andere_gas_kWh/1000),0,IND_andere_gas_kWh/1000)*0.903</f>
        <v>1685.6720488753124</v>
      </c>
      <c r="E9" s="33">
        <f>C31*'E Balans VL '!I19/100/3.6*1000000</f>
        <v>5.2599788652313402</v>
      </c>
      <c r="F9" s="33">
        <f>C31*'E Balans VL '!L19/100/3.6*1000000+C31*'E Balans VL '!N19/100/3.6*1000000</f>
        <v>1053.5824658415102</v>
      </c>
      <c r="G9" s="34"/>
      <c r="H9" s="33"/>
      <c r="I9" s="33"/>
      <c r="J9" s="40">
        <f>C31*'E Balans VL '!D19/100/3.6*1000000+C31*'E Balans VL '!E19/100/3.6*1000000</f>
        <v>0</v>
      </c>
      <c r="K9" s="33"/>
      <c r="L9" s="33"/>
      <c r="M9" s="33"/>
      <c r="N9" s="33">
        <f>C31*'E Balans VL '!Y19/100/3.6*1000000</f>
        <v>65.842149064743225</v>
      </c>
      <c r="O9" s="33"/>
      <c r="P9" s="33"/>
      <c r="R9" s="32"/>
    </row>
    <row r="10" spans="1:18">
      <c r="A10" s="6" t="s">
        <v>40</v>
      </c>
      <c r="B10" s="37">
        <f t="shared" si="0"/>
        <v>2130.69715687897</v>
      </c>
      <c r="C10" s="33"/>
      <c r="D10" s="37">
        <f>IF( ISERROR(IND_voed_gas_kWh/1000),0,IND_voed_gas_kWh/1000)*0.903</f>
        <v>823.27382983993209</v>
      </c>
      <c r="E10" s="33">
        <f>C32*'E Balans VL '!I20/100/3.6*1000000</f>
        <v>4.4664634183544454</v>
      </c>
      <c r="F10" s="33">
        <f>C32*'E Balans VL '!L20/100/3.6*1000000+C32*'E Balans VL '!N20/100/3.6*1000000</f>
        <v>41.513344043633779</v>
      </c>
      <c r="G10" s="34"/>
      <c r="H10" s="33"/>
      <c r="I10" s="33"/>
      <c r="J10" s="40">
        <f>C32*'E Balans VL '!D20/100/3.6*1000000+C32*'E Balans VL '!E20/100/3.6*1000000</f>
        <v>0</v>
      </c>
      <c r="K10" s="33"/>
      <c r="L10" s="33"/>
      <c r="M10" s="33"/>
      <c r="N10" s="33">
        <f>C32*'E Balans VL '!Y20/100/3.6*1000000</f>
        <v>84.753225742385567</v>
      </c>
      <c r="O10" s="33"/>
      <c r="P10" s="33"/>
      <c r="R10" s="32"/>
    </row>
    <row r="11" spans="1:18">
      <c r="A11" s="6" t="s">
        <v>39</v>
      </c>
      <c r="B11" s="37">
        <f t="shared" si="0"/>
        <v>50.552685317962101</v>
      </c>
      <c r="C11" s="33"/>
      <c r="D11" s="37">
        <f>IF( ISERROR(IND_textiel_gas_kWh/1000),0,IND_textiel_gas_kWh/1000)*0.903</f>
        <v>0</v>
      </c>
      <c r="E11" s="33">
        <f>C33*'E Balans VL '!I21/100/3.6*1000000</f>
        <v>4.3438402856005864E-2</v>
      </c>
      <c r="F11" s="33">
        <f>C33*'E Balans VL '!L21/100/3.6*1000000+C33*'E Balans VL '!N21/100/3.6*1000000</f>
        <v>1.0598895154206109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30.462985478025999</v>
      </c>
      <c r="C13" s="33"/>
      <c r="D13" s="37">
        <f>IF( ISERROR(IND_papier_gas_kWh/1000),0,IND_papier_gas_kWh/1000)*0.903</f>
        <v>128.1678027822654</v>
      </c>
      <c r="E13" s="33">
        <f>C35*'E Balans VL '!I23/100/3.6*1000000</f>
        <v>0</v>
      </c>
      <c r="F13" s="33">
        <f>C35*'E Balans VL '!L23/100/3.6*1000000+C35*'E Balans VL '!N23/100/3.6*1000000</f>
        <v>4.0806129443745577E-3</v>
      </c>
      <c r="G13" s="34"/>
      <c r="H13" s="33"/>
      <c r="I13" s="33"/>
      <c r="J13" s="40">
        <f>C35*'E Balans VL '!D23/100/3.6*1000000+C35*'E Balans VL '!E23/100/3.6*1000000</f>
        <v>6.0257701997631415E-3</v>
      </c>
      <c r="K13" s="33"/>
      <c r="L13" s="33"/>
      <c r="M13" s="33"/>
      <c r="N13" s="33">
        <f>C35*'E Balans VL '!Y23/100/3.6*1000000</f>
        <v>0</v>
      </c>
      <c r="O13" s="33"/>
      <c r="P13" s="33"/>
      <c r="R13" s="32"/>
    </row>
    <row r="14" spans="1:18">
      <c r="A14" s="6" t="s">
        <v>33</v>
      </c>
      <c r="B14" s="37">
        <f t="shared" si="0"/>
        <v>407.406982381999</v>
      </c>
      <c r="C14" s="33"/>
      <c r="D14" s="37">
        <f>IF( ISERROR(IND_chemie_gas_kWh/1000),0,IND_chemie_gas_kWh/1000)*0.903</f>
        <v>0</v>
      </c>
      <c r="E14" s="33">
        <f>C36*'E Balans VL '!I24/100/3.6*1000000</f>
        <v>85.079349832806358</v>
      </c>
      <c r="F14" s="33">
        <f>C36*'E Balans VL '!L24/100/3.6*1000000+C36*'E Balans VL '!N24/100/3.6*1000000</f>
        <v>2.7067963043893011</v>
      </c>
      <c r="G14" s="34"/>
      <c r="H14" s="33"/>
      <c r="I14" s="33"/>
      <c r="J14" s="40">
        <f>C36*'E Balans VL '!D24/100/3.6*1000000+C36*'E Balans VL '!E24/100/3.6*1000000</f>
        <v>0</v>
      </c>
      <c r="K14" s="33"/>
      <c r="L14" s="33"/>
      <c r="M14" s="33"/>
      <c r="N14" s="33">
        <f>C36*'E Balans VL '!Y24/100/3.6*1000000</f>
        <v>0.14216600809536659</v>
      </c>
      <c r="O14" s="33"/>
      <c r="P14" s="33"/>
      <c r="R14" s="32"/>
    </row>
    <row r="15" spans="1:18">
      <c r="A15" s="6" t="s">
        <v>259</v>
      </c>
      <c r="B15" s="37">
        <f t="shared" si="0"/>
        <v>60.572150085189996</v>
      </c>
      <c r="C15" s="33"/>
      <c r="D15" s="37">
        <f>IF( ISERROR(IND_rest_gas_kWh/1000),0,IND_rest_gas_kWh/1000)*0.903</f>
        <v>95.578647852540286</v>
      </c>
      <c r="E15" s="33">
        <f>C37*'E Balans VL '!I15/100/3.6*1000000</f>
        <v>3.5660332153294978</v>
      </c>
      <c r="F15" s="33">
        <f>C37*'E Balans VL '!L15/100/3.6*1000000+C37*'E Balans VL '!N15/100/3.6*1000000</f>
        <v>9.2404953232834366</v>
      </c>
      <c r="G15" s="34"/>
      <c r="H15" s="33"/>
      <c r="I15" s="33"/>
      <c r="J15" s="40">
        <f>C37*'E Balans VL '!D15/100/3.6*1000000+C37*'E Balans VL '!E15/100/3.6*1000000</f>
        <v>0.32887756753259489</v>
      </c>
      <c r="K15" s="33"/>
      <c r="L15" s="33"/>
      <c r="M15" s="33"/>
      <c r="N15" s="33">
        <f>C37*'E Balans VL '!Y15/100/3.6*1000000</f>
        <v>1.913703417234673</v>
      </c>
      <c r="O15" s="33"/>
      <c r="P15" s="33"/>
      <c r="R15" s="32"/>
    </row>
    <row r="16" spans="1:18">
      <c r="A16" s="16" t="s">
        <v>467</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5283.3114931635346</v>
      </c>
      <c r="C18" s="21">
        <f>C5+C16</f>
        <v>0</v>
      </c>
      <c r="D18" s="21">
        <f>MAX((D5+D16),0)</f>
        <v>3436.8171079587059</v>
      </c>
      <c r="E18" s="21">
        <f>MAX((E5+E16),0)</f>
        <v>103.72588942339435</v>
      </c>
      <c r="F18" s="21">
        <f>MAX((F5+F16),0)</f>
        <v>1170.8469203389502</v>
      </c>
      <c r="G18" s="21"/>
      <c r="H18" s="21"/>
      <c r="I18" s="21"/>
      <c r="J18" s="21">
        <f>MAX((J5+J16),0)</f>
        <v>1.1329084314676126</v>
      </c>
      <c r="K18" s="21"/>
      <c r="L18" s="21">
        <f>MAX((L5+L16),0)</f>
        <v>0</v>
      </c>
      <c r="M18" s="21"/>
      <c r="N18" s="21">
        <f>MAX((N5+N16),0)</f>
        <v>173.69862567907467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0.11560008224417137</v>
      </c>
      <c r="C20" s="25">
        <f ca="1">'EF ele_warmte'!B22</f>
        <v>0.10014490093272574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610.75124313128049</v>
      </c>
      <c r="C22" s="23">
        <f ca="1">C18*C20</f>
        <v>0</v>
      </c>
      <c r="D22" s="23">
        <f>D18*D20</f>
        <v>694.23705580765863</v>
      </c>
      <c r="E22" s="23">
        <f>E18*E20</f>
        <v>23.545776899110518</v>
      </c>
      <c r="F22" s="23">
        <f>F18*F20</f>
        <v>312.61612773049973</v>
      </c>
      <c r="G22" s="23"/>
      <c r="H22" s="23"/>
      <c r="I22" s="23"/>
      <c r="J22" s="23">
        <f>J18*J20</f>
        <v>0.40104958473953484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974.220097580828</v>
      </c>
      <c r="C30" s="39">
        <f>IF(ISERROR(B30*3.6/1000000/'E Balans VL '!Z18*100),0,B30*3.6/1000000/'E Balans VL '!Z18*100)</f>
        <v>5.8664862925197576E-2</v>
      </c>
      <c r="D30" s="233" t="s">
        <v>835</v>
      </c>
    </row>
    <row r="31" spans="1:18" ht="30">
      <c r="A31" s="6" t="s">
        <v>32</v>
      </c>
      <c r="B31" s="37">
        <f>IF( ISERROR(IND_ander_ele_kWh/1000),0,IND_ander_ele_kWh/1000)</f>
        <v>1629.3994354405602</v>
      </c>
      <c r="C31" s="39">
        <f>IF(ISERROR(B31*3.6/1000000/'E Balans VL '!Z19*100),0,B31*3.6/1000000/'E Balans VL '!Z19*100)</f>
        <v>6.6385106244877132E-2</v>
      </c>
      <c r="D31" s="233" t="s">
        <v>835</v>
      </c>
    </row>
    <row r="32" spans="1:18" ht="30">
      <c r="A32" s="168" t="s">
        <v>40</v>
      </c>
      <c r="B32" s="37">
        <f>IF( ISERROR(IND_voed_ele_kWh/1000),0,IND_voed_ele_kWh/1000)</f>
        <v>2130.69715687897</v>
      </c>
      <c r="C32" s="39">
        <f>IF(ISERROR(B32*3.6/1000000/'E Balans VL '!Z20*100),0,B32*3.6/1000000/'E Balans VL '!Z20*100)</f>
        <v>6.1607029371445667E-2</v>
      </c>
      <c r="D32" s="233" t="s">
        <v>835</v>
      </c>
    </row>
    <row r="33" spans="1:5" ht="30">
      <c r="A33" s="168" t="s">
        <v>39</v>
      </c>
      <c r="B33" s="37">
        <f>IF( ISERROR(IND_textiel_ele_kWh/1000),0,IND_textiel_ele_kWh/1000)</f>
        <v>50.552685317962101</v>
      </c>
      <c r="C33" s="39">
        <f>IF(ISERROR(B33*3.6/1000000/'E Balans VL '!Z21*100),0,B33*3.6/1000000/'E Balans VL '!Z21*100)</f>
        <v>8.3135699245944234E-3</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30.462985478025999</v>
      </c>
      <c r="C35" s="39">
        <f>IF(ISERROR(B35*3.6/1000000/'E Balans VL '!Z22*100),0,B35*3.6/1000000/'E Balans VL '!Z22*100)</f>
        <v>1.3007411729481716E-2</v>
      </c>
      <c r="D35" s="233" t="s">
        <v>835</v>
      </c>
    </row>
    <row r="36" spans="1:5" ht="30">
      <c r="A36" s="168" t="s">
        <v>33</v>
      </c>
      <c r="B36" s="37">
        <f>IF( ISERROR(IND_chemie_ele_kWh/1000),0,IND_chemie_ele_kWh/1000)</f>
        <v>407.406982381999</v>
      </c>
      <c r="C36" s="39">
        <f>IF(ISERROR(B36*3.6/1000000/'E Balans VL '!Z24*100),0,B36*3.6/1000000/'E Balans VL '!Z24*100)</f>
        <v>1.2362261573510207E-2</v>
      </c>
      <c r="D36" s="233" t="s">
        <v>835</v>
      </c>
    </row>
    <row r="37" spans="1:5" ht="30">
      <c r="A37" s="168" t="s">
        <v>259</v>
      </c>
      <c r="B37" s="37">
        <f>IF( ISERROR(IND_rest_ele_kWh/1000),0,IND_rest_ele_kWh/1000)</f>
        <v>60.572150085189996</v>
      </c>
      <c r="C37" s="39">
        <f>IF(ISERROR(B37*3.6/1000000/'E Balans VL '!Z15*100),0,B37*3.6/1000000/'E Balans VL '!Z15*100)</f>
        <v>4.9734323085249936E-4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2361.5431606233001</v>
      </c>
      <c r="C5" s="17">
        <f>'Eigen informatie GS &amp; warmtenet'!B62</f>
        <v>0</v>
      </c>
      <c r="D5" s="30">
        <f>IF(ISERROR(SUM(LB_lb_gas_kWh,LB_rest_gas_kWh)/1000),0,SUM(LB_lb_gas_kWh,LB_rest_gas_kWh)/1000)*0.903</f>
        <v>3226.1947271699401</v>
      </c>
      <c r="E5" s="17">
        <f>B17*'E Balans VL '!I25/3.6*1000000/100</f>
        <v>67.6385925829493</v>
      </c>
      <c r="F5" s="17">
        <f>B17*('E Balans VL '!L25/3.6*1000000+'E Balans VL '!N25/3.6*1000000)/100</f>
        <v>7475.4257611493031</v>
      </c>
      <c r="G5" s="18"/>
      <c r="H5" s="17"/>
      <c r="I5" s="17"/>
      <c r="J5" s="17">
        <f>('E Balans VL '!D25+'E Balans VL '!E25)/3.6*1000000*landbouw!B17/100</f>
        <v>600.46626764245775</v>
      </c>
      <c r="K5" s="17"/>
      <c r="L5" s="17">
        <f>L6*(-1)</f>
        <v>4455</v>
      </c>
      <c r="M5" s="17"/>
      <c r="N5" s="17">
        <f>N6*(-1)</f>
        <v>0</v>
      </c>
      <c r="O5" s="17"/>
      <c r="P5" s="17"/>
      <c r="R5" s="32"/>
    </row>
    <row r="6" spans="1:18">
      <c r="A6" s="16" t="s">
        <v>467</v>
      </c>
      <c r="B6" s="17" t="s">
        <v>204</v>
      </c>
      <c r="C6" s="17">
        <f>'lokale energieproductie'!O42+'lokale energieproductie'!O35</f>
        <v>3128.8928571428573</v>
      </c>
      <c r="D6" s="304">
        <f>('lokale energieproductie'!P35+'lokale energieproductie'!P42)*(-1)</f>
        <v>-911.78571428571433</v>
      </c>
      <c r="E6" s="244"/>
      <c r="F6" s="304">
        <f>('lokale energieproductie'!S35+'lokale energieproductie'!S42)*(-1)</f>
        <v>-1485</v>
      </c>
      <c r="G6" s="245"/>
      <c r="H6" s="244"/>
      <c r="I6" s="244"/>
      <c r="J6" s="244"/>
      <c r="K6" s="244"/>
      <c r="L6" s="304">
        <f>('lokale energieproductie'!T35+'lokale energieproductie'!U35+'lokale energieproductie'!T42+'lokale energieproductie'!U42)*(-1)</f>
        <v>-4455</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2361.5431606233001</v>
      </c>
      <c r="C8" s="21">
        <f>C5+C6</f>
        <v>3128.8928571428573</v>
      </c>
      <c r="D8" s="21">
        <f>MAX((D5+D6),0)</f>
        <v>2314.4090128842258</v>
      </c>
      <c r="E8" s="21">
        <f>MAX((E5+E6),0)</f>
        <v>67.6385925829493</v>
      </c>
      <c r="F8" s="21">
        <f>MAX((F5+F6),0)</f>
        <v>5990.4257611493031</v>
      </c>
      <c r="G8" s="21"/>
      <c r="H8" s="21"/>
      <c r="I8" s="21"/>
      <c r="J8" s="21">
        <f>MAX((J5+J6),0)</f>
        <v>600.46626764245775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0.11560008224417137</v>
      </c>
      <c r="C10" s="31">
        <f ca="1">'EF ele_warmte'!B22</f>
        <v>0.10014490093272574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272.99458359121388</v>
      </c>
      <c r="C12" s="23">
        <f ca="1">C8*C10</f>
        <v>313.34266520768466</v>
      </c>
      <c r="D12" s="23">
        <f>D8*D10</f>
        <v>467.51062060261364</v>
      </c>
      <c r="E12" s="23">
        <f>E8*E10</f>
        <v>15.353960516329492</v>
      </c>
      <c r="F12" s="23">
        <f>F8*F10</f>
        <v>1599.443678226864</v>
      </c>
      <c r="G12" s="23"/>
      <c r="H12" s="23"/>
      <c r="I12" s="23"/>
      <c r="J12" s="23">
        <f>J8*J10</f>
        <v>212.56505874543004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0.32702015495953529</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335.37792877867383</v>
      </c>
      <c r="C26" s="243">
        <f>B26*'GWP N2O_CH4'!B5</f>
        <v>7042.9365043521502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166.42392061914006</v>
      </c>
      <c r="C27" s="243">
        <f>B27*'GWP N2O_CH4'!B5</f>
        <v>3494.9023330019413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4.4031440239594932</v>
      </c>
      <c r="C28" s="243">
        <f>B28*'GWP N2O_CH4'!B4</f>
        <v>1364.974647427443</v>
      </c>
      <c r="D28" s="50"/>
    </row>
    <row r="29" spans="1:4">
      <c r="A29" s="41" t="s">
        <v>266</v>
      </c>
      <c r="B29" s="243">
        <f>B34*'ha_N2O bodem landbouw'!B4</f>
        <v>10.727939694981355</v>
      </c>
      <c r="C29" s="243">
        <f>B29*'GWP N2O_CH4'!B4</f>
        <v>3325.66130544422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2.4371958977839779E-3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1.1004487406311679E-3</v>
      </c>
      <c r="C5" s="432" t="s">
        <v>204</v>
      </c>
      <c r="D5" s="417">
        <f>SUM(D6:D11)</f>
        <v>1.747839067372161E-3</v>
      </c>
      <c r="E5" s="417">
        <f>SUM(E6:E11)</f>
        <v>7.7430482689817479E-4</v>
      </c>
      <c r="F5" s="430" t="s">
        <v>204</v>
      </c>
      <c r="G5" s="417">
        <f>SUM(G6:G11)</f>
        <v>0.46822069511149622</v>
      </c>
      <c r="H5" s="417">
        <f>SUM(H6:H11)</f>
        <v>8.8011691912135953E-2</v>
      </c>
      <c r="I5" s="432" t="s">
        <v>204</v>
      </c>
      <c r="J5" s="432" t="s">
        <v>204</v>
      </c>
      <c r="K5" s="432" t="s">
        <v>204</v>
      </c>
      <c r="L5" s="432" t="s">
        <v>204</v>
      </c>
      <c r="M5" s="417">
        <f>SUM(M6:M11)</f>
        <v>3.3123619428068192E-2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2.1797615827313536E-4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3.6342865540275367E-4</v>
      </c>
      <c r="E6" s="884">
        <f>vkm_GW_PW*SUMIFS(TableVerdeelsleutelVkm[LPG],TableVerdeelsleutelVkm[Voertuigtype],"Lichte voertuigen")*SUMIFS(TableECFTransport[EnergieConsumptieFactor (PJ per km)],TableECFTransport[Index],CONCATENATE($A6,"_LPG_LPG"))</f>
        <v>1.4408468043138214E-4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4.3301065940234605E-2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1.7823177350552472E-2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3.7497920650699573E-3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8.2395492794004579E-7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3.2662092691177404E-2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2.4099896727895496E-7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1.8754021260189155E-3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1.6482714354124767E-4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3.7637507172877258E-4</v>
      </c>
      <c r="E8" s="420">
        <f>vkm_NGW_PW*SUMIFS(TableVerdeelsleutelVkm[LPG],TableVerdeelsleutelVkm[Voertuigtype],"Lichte voertuigen")*SUMIFS(TableECFTransport[EnergieConsumptieFactor (PJ per km)],TableECFTransport[Index],CONCATENATE($A8,"_LPG_LPG"))</f>
        <v>1.4287391493041175E-4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3.9330342949233633E-2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1.8285745026624355E-2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3.5545948110507438E-3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4.1221467577501845E-7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2.104265917803633E-2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1.4552969590107382E-7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1.2082332137106852E-3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7.1107454125348139E-4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1.0080353402406347E-3</v>
      </c>
      <c r="E10" s="420">
        <f>vkm_SW_PW*SUMIFS(TableVerdeelsleutelVkm[LPG],TableVerdeelsleutelVkm[Voertuigtype],"Lichte voertuigen")*SUMIFS(TableECFTransport[EnergieConsumptieFactor (PJ per km)],TableECFTransport[Index],CONCATENATE($A10,"_LPG_LPG"))</f>
        <v>4.8734623153638093E-4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0.13287348184023032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5.1900776973375556E-2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1.130870937706163E-2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5.3347279595884247E-6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0.19901105251258391</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1.6060329204066361E-6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1.1426887835156262E-2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305.68020573088</v>
      </c>
      <c r="C14" s="21"/>
      <c r="D14" s="21">
        <f t="shared" ref="D14:M14" si="0">((D5)*10^9/3600)+D12</f>
        <v>485.51085204782248</v>
      </c>
      <c r="E14" s="21">
        <f t="shared" si="0"/>
        <v>215.0846741383819</v>
      </c>
      <c r="F14" s="21"/>
      <c r="G14" s="21">
        <f t="shared" si="0"/>
        <v>130061.30419763783</v>
      </c>
      <c r="H14" s="21">
        <f t="shared" si="0"/>
        <v>24447.692197815544</v>
      </c>
      <c r="I14" s="21"/>
      <c r="J14" s="21"/>
      <c r="K14" s="21"/>
      <c r="L14" s="21"/>
      <c r="M14" s="21">
        <f t="shared" si="0"/>
        <v>9201.0053966856085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0.11560008224417137</v>
      </c>
      <c r="C16" s="56">
        <f ca="1">'EF ele_warmte'!B22</f>
        <v>0.10014490093272574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35.33665692290495</v>
      </c>
      <c r="C18" s="23"/>
      <c r="D18" s="23">
        <f t="shared" ref="D18:M18" si="1">D14*D16</f>
        <v>98.073192113660141</v>
      </c>
      <c r="E18" s="23">
        <f t="shared" si="1"/>
        <v>48.824221029412691</v>
      </c>
      <c r="F18" s="23"/>
      <c r="G18" s="23">
        <f t="shared" si="1"/>
        <v>34726.368220769305</v>
      </c>
      <c r="H18" s="23">
        <f t="shared" si="1"/>
        <v>6087.4753572560703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6.7201172600673048E-5</v>
      </c>
      <c r="C50" s="315">
        <f t="shared" ref="C50:P50" si="2">SUM(C51:C52)</f>
        <v>0</v>
      </c>
      <c r="D50" s="315">
        <f t="shared" si="2"/>
        <v>0</v>
      </c>
      <c r="E50" s="315">
        <f t="shared" si="2"/>
        <v>0</v>
      </c>
      <c r="F50" s="315">
        <f t="shared" si="2"/>
        <v>0</v>
      </c>
      <c r="G50" s="315">
        <f t="shared" si="2"/>
        <v>4.2069965681757219E-3</v>
      </c>
      <c r="H50" s="315">
        <f t="shared" si="2"/>
        <v>0</v>
      </c>
      <c r="I50" s="315">
        <f t="shared" si="2"/>
        <v>0</v>
      </c>
      <c r="J50" s="315">
        <f t="shared" si="2"/>
        <v>0</v>
      </c>
      <c r="K50" s="315">
        <f t="shared" si="2"/>
        <v>0</v>
      </c>
      <c r="L50" s="315">
        <f t="shared" si="2"/>
        <v>0</v>
      </c>
      <c r="M50" s="315">
        <f t="shared" si="2"/>
        <v>2.4155642767467663E-4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6.7201172600673048E-5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4.2069965681757219E-3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2.4155642767467663E-4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18.666992389075848</v>
      </c>
      <c r="C54" s="21">
        <f t="shared" ref="C54:P54" si="3">(C50)*10^9/3600</f>
        <v>0</v>
      </c>
      <c r="D54" s="21">
        <f t="shared" si="3"/>
        <v>0</v>
      </c>
      <c r="E54" s="21">
        <f t="shared" si="3"/>
        <v>0</v>
      </c>
      <c r="F54" s="21">
        <f t="shared" si="3"/>
        <v>0</v>
      </c>
      <c r="G54" s="21">
        <f t="shared" si="3"/>
        <v>1168.6101578265893</v>
      </c>
      <c r="H54" s="21">
        <f t="shared" si="3"/>
        <v>0</v>
      </c>
      <c r="I54" s="21">
        <f t="shared" si="3"/>
        <v>0</v>
      </c>
      <c r="J54" s="21">
        <f t="shared" si="3"/>
        <v>0</v>
      </c>
      <c r="K54" s="21">
        <f t="shared" si="3"/>
        <v>0</v>
      </c>
      <c r="L54" s="21">
        <f t="shared" si="3"/>
        <v>0</v>
      </c>
      <c r="M54" s="21">
        <f t="shared" si="3"/>
        <v>67.099007687410179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0.11560008224417137</v>
      </c>
      <c r="C56" s="56">
        <f ca="1">'EF ele_warmte'!B22</f>
        <v>0.10014490093272574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2.1579058554284889</v>
      </c>
      <c r="C58" s="23">
        <f t="shared" ref="C58:P58" ca="1" si="4">C54*C56</f>
        <v>0</v>
      </c>
      <c r="D58" s="23">
        <f t="shared" si="4"/>
        <v>0</v>
      </c>
      <c r="E58" s="23">
        <f t="shared" si="4"/>
        <v>0</v>
      </c>
      <c r="F58" s="23">
        <f t="shared" si="4"/>
        <v>0</v>
      </c>
      <c r="G58" s="23">
        <f t="shared" si="4"/>
        <v>312.01891213969935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17200.876264341499</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6940.305094793971</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N32</f>
        <v>2703.625</v>
      </c>
      <c r="C8" s="543">
        <f>B51</f>
        <v>432.39854094129703</v>
      </c>
      <c r="D8" s="544"/>
      <c r="E8" s="544">
        <f>E51</f>
        <v>686.92791203782258</v>
      </c>
      <c r="F8" s="545"/>
      <c r="G8" s="546"/>
      <c r="H8" s="544">
        <f>I51</f>
        <v>0</v>
      </c>
      <c r="I8" s="544">
        <f>G51+F51</f>
        <v>2060.783736113468</v>
      </c>
      <c r="J8" s="544">
        <f>H51+D51+C51</f>
        <v>0</v>
      </c>
      <c r="K8" s="544"/>
      <c r="L8" s="544"/>
      <c r="M8" s="544"/>
      <c r="N8" s="547"/>
      <c r="O8" s="548">
        <f>C8*$C$12+D8*$D$12+E8*$E$12+F8*$F$12+G8*$G$12+H8*$H$12+I8*$I$12+J8*$J$12</f>
        <v>270.75425778424062</v>
      </c>
      <c r="P8" s="1256"/>
      <c r="Q8" s="1257"/>
      <c r="S8" s="538"/>
      <c r="T8" s="1244"/>
      <c r="U8" s="1244"/>
    </row>
    <row r="9" spans="1:21" s="529" customFormat="1" ht="17.45" customHeight="1" thickBot="1">
      <c r="A9" s="549" t="s">
        <v>237</v>
      </c>
      <c r="B9" s="550">
        <f>N39+'Eigen informatie GS &amp; warmtenet'!B12</f>
        <v>0</v>
      </c>
      <c r="C9" s="551">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26844.806359135469</v>
      </c>
      <c r="C10" s="558">
        <f t="shared" ref="C10:L10" si="0">SUM(C8:C9)</f>
        <v>432.39854094129703</v>
      </c>
      <c r="D10" s="558">
        <f t="shared" si="0"/>
        <v>0</v>
      </c>
      <c r="E10" s="558">
        <f t="shared" si="0"/>
        <v>686.92791203782258</v>
      </c>
      <c r="F10" s="558">
        <f t="shared" si="0"/>
        <v>0</v>
      </c>
      <c r="G10" s="558">
        <f t="shared" si="0"/>
        <v>0</v>
      </c>
      <c r="H10" s="558">
        <f t="shared" si="0"/>
        <v>0</v>
      </c>
      <c r="I10" s="558">
        <f t="shared" si="0"/>
        <v>2060.783736113468</v>
      </c>
      <c r="J10" s="558">
        <f t="shared" si="0"/>
        <v>0</v>
      </c>
      <c r="K10" s="558">
        <f t="shared" si="0"/>
        <v>0</v>
      </c>
      <c r="L10" s="558">
        <f t="shared" si="0"/>
        <v>0</v>
      </c>
      <c r="M10" s="959"/>
      <c r="N10" s="959"/>
      <c r="O10" s="559">
        <f>SUM(O4:O9)</f>
        <v>270.75425778424062</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O32</f>
        <v>3141.0685328185332</v>
      </c>
      <c r="C17" s="574">
        <f>B52</f>
        <v>502.36014631739027</v>
      </c>
      <c r="D17" s="575"/>
      <c r="E17" s="575">
        <f>E52</f>
        <v>798.07208796217731</v>
      </c>
      <c r="F17" s="576"/>
      <c r="G17" s="577"/>
      <c r="H17" s="574">
        <f>I52</f>
        <v>0</v>
      </c>
      <c r="I17" s="575">
        <f>G52+F52</f>
        <v>2394.216263886532</v>
      </c>
      <c r="J17" s="575">
        <f>H52+D52+C52</f>
        <v>0</v>
      </c>
      <c r="K17" s="575"/>
      <c r="L17" s="575"/>
      <c r="M17" s="575"/>
      <c r="N17" s="960"/>
      <c r="O17" s="578">
        <f>C17*$C$22+E17*$E$22+H17*$H$22+I17*$I$22+J17*$J$22+D17*$D$22+F17*$F$22+G17*$G$22+K17*$K$22+L17*$L$22</f>
        <v>314.56199704201418</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3141.0685328185332</v>
      </c>
      <c r="C20" s="557">
        <f>SUM(C17:C19)</f>
        <v>502.36014631739027</v>
      </c>
      <c r="D20" s="557">
        <f t="shared" ref="D20:L20" si="1">SUM(D17:D19)</f>
        <v>0</v>
      </c>
      <c r="E20" s="557">
        <f t="shared" si="1"/>
        <v>798.07208796217731</v>
      </c>
      <c r="F20" s="557">
        <f t="shared" si="1"/>
        <v>0</v>
      </c>
      <c r="G20" s="557">
        <f t="shared" si="1"/>
        <v>0</v>
      </c>
      <c r="H20" s="557">
        <f t="shared" si="1"/>
        <v>0</v>
      </c>
      <c r="I20" s="557">
        <f t="shared" si="1"/>
        <v>2394.216263886532</v>
      </c>
      <c r="J20" s="557">
        <f t="shared" si="1"/>
        <v>0</v>
      </c>
      <c r="K20" s="557">
        <f t="shared" si="1"/>
        <v>0</v>
      </c>
      <c r="L20" s="557">
        <f t="shared" si="1"/>
        <v>0</v>
      </c>
      <c r="M20" s="557"/>
      <c r="N20" s="557"/>
      <c r="O20" s="583">
        <f>SUM(O17:O19)</f>
        <v>314.56199704201418</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38.25" hidden="1">
      <c r="A28" s="587"/>
      <c r="B28" s="785">
        <v>46013</v>
      </c>
      <c r="C28" s="785">
        <v>9150</v>
      </c>
      <c r="D28" s="635"/>
      <c r="E28" s="634"/>
      <c r="F28" s="634"/>
      <c r="G28" s="634" t="s">
        <v>868</v>
      </c>
      <c r="H28" s="634" t="s">
        <v>869</v>
      </c>
      <c r="I28" s="634"/>
      <c r="J28" s="784"/>
      <c r="K28" s="784"/>
      <c r="L28" s="634" t="s">
        <v>870</v>
      </c>
      <c r="M28" s="634">
        <v>528</v>
      </c>
      <c r="N28" s="634">
        <v>2376</v>
      </c>
      <c r="O28" s="634">
        <v>2673</v>
      </c>
      <c r="P28" s="634">
        <v>0</v>
      </c>
      <c r="Q28" s="634">
        <v>0</v>
      </c>
      <c r="R28" s="634">
        <v>0</v>
      </c>
      <c r="S28" s="634">
        <v>1485</v>
      </c>
      <c r="T28" s="634">
        <v>4455</v>
      </c>
      <c r="U28" s="634">
        <v>0</v>
      </c>
      <c r="V28" s="634">
        <v>0</v>
      </c>
      <c r="W28" s="634">
        <v>0</v>
      </c>
      <c r="X28" s="634">
        <v>10</v>
      </c>
      <c r="Y28" s="634" t="s">
        <v>105</v>
      </c>
      <c r="Z28" s="636" t="s">
        <v>105</v>
      </c>
    </row>
    <row r="29" spans="1:26" s="588" customFormat="1" ht="25.5" hidden="1">
      <c r="A29" s="587"/>
      <c r="B29" s="785">
        <v>46013</v>
      </c>
      <c r="C29" s="785">
        <v>9150</v>
      </c>
      <c r="D29" s="635"/>
      <c r="E29" s="634"/>
      <c r="F29" s="634"/>
      <c r="G29" s="634" t="s">
        <v>868</v>
      </c>
      <c r="H29" s="634" t="s">
        <v>871</v>
      </c>
      <c r="I29" s="634"/>
      <c r="J29" s="784"/>
      <c r="K29" s="784"/>
      <c r="L29" s="634" t="s">
        <v>872</v>
      </c>
      <c r="M29" s="634">
        <v>140</v>
      </c>
      <c r="N29" s="634">
        <v>0</v>
      </c>
      <c r="O29" s="634">
        <v>0</v>
      </c>
      <c r="P29" s="634">
        <v>0</v>
      </c>
      <c r="Q29" s="634">
        <v>0</v>
      </c>
      <c r="R29" s="634">
        <v>0</v>
      </c>
      <c r="S29" s="634">
        <v>0</v>
      </c>
      <c r="T29" s="634">
        <v>0</v>
      </c>
      <c r="U29" s="634">
        <v>0</v>
      </c>
      <c r="V29" s="634">
        <v>0</v>
      </c>
      <c r="W29" s="634">
        <v>0</v>
      </c>
      <c r="X29" s="634">
        <v>10</v>
      </c>
      <c r="Y29" s="634" t="s">
        <v>105</v>
      </c>
      <c r="Z29" s="636" t="s">
        <v>105</v>
      </c>
    </row>
    <row r="30" spans="1:26" s="588" customFormat="1" ht="12.75" hidden="1">
      <c r="A30" s="587"/>
      <c r="B30" s="785">
        <v>46013</v>
      </c>
      <c r="C30" s="785">
        <v>9150</v>
      </c>
      <c r="D30" s="635"/>
      <c r="E30" s="634"/>
      <c r="F30" s="634"/>
      <c r="G30" s="634" t="s">
        <v>873</v>
      </c>
      <c r="H30" s="634" t="s">
        <v>874</v>
      </c>
      <c r="I30" s="634"/>
      <c r="J30" s="784"/>
      <c r="K30" s="784"/>
      <c r="L30" s="634" t="s">
        <v>875</v>
      </c>
      <c r="M30" s="634">
        <v>1.7</v>
      </c>
      <c r="N30" s="634">
        <v>8.5</v>
      </c>
      <c r="O30" s="634">
        <v>12.175675675675675</v>
      </c>
      <c r="P30" s="634">
        <v>22.972972972972972</v>
      </c>
      <c r="Q30" s="634">
        <v>0</v>
      </c>
      <c r="R30" s="634">
        <v>0</v>
      </c>
      <c r="S30" s="634">
        <v>0</v>
      </c>
      <c r="T30" s="634">
        <v>0</v>
      </c>
      <c r="U30" s="634">
        <v>0</v>
      </c>
      <c r="V30" s="634">
        <v>0</v>
      </c>
      <c r="W30" s="634">
        <v>0</v>
      </c>
      <c r="X30" s="634">
        <v>1100</v>
      </c>
      <c r="Y30" s="634" t="s">
        <v>154</v>
      </c>
      <c r="Z30" s="636" t="s">
        <v>149</v>
      </c>
    </row>
    <row r="31" spans="1:26" s="588" customFormat="1" ht="25.5" hidden="1">
      <c r="A31" s="587"/>
      <c r="B31" s="785">
        <v>46013</v>
      </c>
      <c r="C31" s="785">
        <v>9150</v>
      </c>
      <c r="D31" s="635"/>
      <c r="E31" s="634"/>
      <c r="F31" s="634"/>
      <c r="G31" s="634" t="s">
        <v>876</v>
      </c>
      <c r="H31" s="634" t="s">
        <v>871</v>
      </c>
      <c r="I31" s="634"/>
      <c r="J31" s="784"/>
      <c r="K31" s="784"/>
      <c r="L31" s="634" t="s">
        <v>875</v>
      </c>
      <c r="M31" s="634">
        <v>851</v>
      </c>
      <c r="N31" s="634">
        <v>319.125</v>
      </c>
      <c r="O31" s="634">
        <v>455.89285714285717</v>
      </c>
      <c r="P31" s="634">
        <v>911.78571428571433</v>
      </c>
      <c r="Q31" s="634">
        <v>0</v>
      </c>
      <c r="R31" s="634">
        <v>0</v>
      </c>
      <c r="S31" s="634">
        <v>0</v>
      </c>
      <c r="T31" s="634">
        <v>0</v>
      </c>
      <c r="U31" s="634">
        <v>0</v>
      </c>
      <c r="V31" s="634">
        <v>0</v>
      </c>
      <c r="W31" s="634">
        <v>0</v>
      </c>
      <c r="X31" s="634">
        <v>10</v>
      </c>
      <c r="Y31" s="634" t="s">
        <v>105</v>
      </c>
      <c r="Z31" s="636" t="s">
        <v>105</v>
      </c>
    </row>
    <row r="32" spans="1:26" s="568" customFormat="1" hidden="1">
      <c r="A32" s="590" t="s">
        <v>269</v>
      </c>
      <c r="B32" s="591"/>
      <c r="C32" s="591"/>
      <c r="D32" s="591"/>
      <c r="E32" s="591"/>
      <c r="F32" s="591"/>
      <c r="G32" s="591"/>
      <c r="H32" s="591"/>
      <c r="I32" s="591"/>
      <c r="J32" s="591"/>
      <c r="K32" s="591"/>
      <c r="L32" s="592"/>
      <c r="M32" s="592">
        <f>SUM(M28:M31)</f>
        <v>1520.7</v>
      </c>
      <c r="N32" s="592">
        <f>SUM(N28:N31)</f>
        <v>2703.625</v>
      </c>
      <c r="O32" s="592">
        <f>SUM(O28:O31)</f>
        <v>3141.0685328185332</v>
      </c>
      <c r="P32" s="592">
        <f>SUM(P28:P31)</f>
        <v>934.75868725868736</v>
      </c>
      <c r="Q32" s="592">
        <f>SUM(Q28:Q31)</f>
        <v>0</v>
      </c>
      <c r="R32" s="592">
        <f>SUM(R28:R31)</f>
        <v>0</v>
      </c>
      <c r="S32" s="592">
        <f>SUM(S28:S31)</f>
        <v>1485</v>
      </c>
      <c r="T32" s="592">
        <f>SUM(T28:T31)</f>
        <v>4455</v>
      </c>
      <c r="U32" s="592">
        <f>SUM(U28:U31)</f>
        <v>0</v>
      </c>
      <c r="V32" s="592">
        <f>SUM(V28:V31)</f>
        <v>0</v>
      </c>
      <c r="W32" s="592">
        <f>SUM(W28:W31)</f>
        <v>0</v>
      </c>
      <c r="X32" s="593"/>
      <c r="Y32" s="593"/>
      <c r="Z32" s="594"/>
    </row>
    <row r="33" spans="1:27" s="568" customFormat="1">
      <c r="A33" s="590" t="s">
        <v>276</v>
      </c>
      <c r="B33" s="591"/>
      <c r="C33" s="591"/>
      <c r="D33" s="591"/>
      <c r="E33" s="591"/>
      <c r="F33" s="591"/>
      <c r="G33" s="591"/>
      <c r="H33" s="591"/>
      <c r="I33" s="591"/>
      <c r="J33" s="591"/>
      <c r="K33" s="591"/>
      <c r="L33" s="592"/>
      <c r="M33" s="592">
        <f>SUMIF($Z$28:$Z$31,"industrie",M28:M31)</f>
        <v>0</v>
      </c>
      <c r="N33" s="592">
        <f>SUMIF($Z$28:$Z$31,"industrie",N28:N31)</f>
        <v>0</v>
      </c>
      <c r="O33" s="592">
        <f>SUMIF($Z$28:$Z$31,"industrie",O28:O31)</f>
        <v>0</v>
      </c>
      <c r="P33" s="592">
        <f>SUMIF($Z$28:$Z$31,"industrie",P28:P31)</f>
        <v>0</v>
      </c>
      <c r="Q33" s="592">
        <f>SUMIF($Z$28:$Z$31,"industrie",Q28:Q31)</f>
        <v>0</v>
      </c>
      <c r="R33" s="592">
        <f>SUMIF($Z$28:$Z$31,"industrie",R28:R31)</f>
        <v>0</v>
      </c>
      <c r="S33" s="592">
        <f>SUMIF($Z$28:$Z$31,"industrie",S28:S31)</f>
        <v>0</v>
      </c>
      <c r="T33" s="592">
        <f>SUMIF($Z$28:$Z$31,"industrie",T28:T31)</f>
        <v>0</v>
      </c>
      <c r="U33" s="592">
        <f>SUMIF($Z$28:$Z$31,"industrie",U28:U31)</f>
        <v>0</v>
      </c>
      <c r="V33" s="592">
        <f>SUMIF($Z$28:$Z$31,"industrie",V28:V31)</f>
        <v>0</v>
      </c>
      <c r="W33" s="592">
        <f>SUMIF($Z$28:$Z$31,"industrie",W28:W31)</f>
        <v>0</v>
      </c>
      <c r="X33" s="593"/>
      <c r="Y33" s="593"/>
      <c r="Z33" s="594"/>
    </row>
    <row r="34" spans="1:27" s="568" customFormat="1">
      <c r="A34" s="590" t="s">
        <v>277</v>
      </c>
      <c r="B34" s="591"/>
      <c r="C34" s="591"/>
      <c r="D34" s="591"/>
      <c r="E34" s="591"/>
      <c r="F34" s="591"/>
      <c r="G34" s="591"/>
      <c r="H34" s="591"/>
      <c r="I34" s="591"/>
      <c r="J34" s="591"/>
      <c r="K34" s="591"/>
      <c r="L34" s="592"/>
      <c r="M34" s="592">
        <f ca="1">SUMIF($Z$28:AC31,"tertiair",M28:M31)</f>
        <v>1.7</v>
      </c>
      <c r="N34" s="592">
        <f ca="1">SUMIF($Z$28:AD31,"tertiair",N28:N31)</f>
        <v>8.5</v>
      </c>
      <c r="O34" s="592">
        <f ca="1">SUMIF($Z$28:AE31,"tertiair",O28:O31)</f>
        <v>12.175675675675675</v>
      </c>
      <c r="P34" s="592">
        <f ca="1">SUMIF($Z$28:AF31,"tertiair",P28:P31)</f>
        <v>22.972972972972972</v>
      </c>
      <c r="Q34" s="592">
        <f ca="1">SUMIF($Z$28:AG31,"tertiair",Q28:Q31)</f>
        <v>0</v>
      </c>
      <c r="R34" s="592">
        <f ca="1">SUMIF($Z$28:AH31,"tertiair",R28:R31)</f>
        <v>0</v>
      </c>
      <c r="S34" s="592">
        <f ca="1">SUMIF($Z$28:AI31,"tertiair",S28:S31)</f>
        <v>0</v>
      </c>
      <c r="T34" s="592">
        <f ca="1">SUMIF($Z$28:AJ31,"tertiair",T28:T31)</f>
        <v>0</v>
      </c>
      <c r="U34" s="592">
        <f ca="1">SUMIF($Z$28:AK31,"tertiair",U28:U31)</f>
        <v>0</v>
      </c>
      <c r="V34" s="592">
        <f ca="1">SUMIF($Z$28:AL31,"tertiair",V28:V31)</f>
        <v>0</v>
      </c>
      <c r="W34" s="592">
        <f ca="1">SUMIF($Z$28:AM31,"tertiair",W28:W31)</f>
        <v>0</v>
      </c>
      <c r="X34" s="593"/>
      <c r="Y34" s="593"/>
      <c r="Z34" s="594"/>
    </row>
    <row r="35" spans="1:27" s="568" customFormat="1" ht="15.75" thickBot="1">
      <c r="A35" s="595" t="s">
        <v>278</v>
      </c>
      <c r="B35" s="596"/>
      <c r="C35" s="596"/>
      <c r="D35" s="596"/>
      <c r="E35" s="596"/>
      <c r="F35" s="596"/>
      <c r="G35" s="596"/>
      <c r="H35" s="596"/>
      <c r="I35" s="596"/>
      <c r="J35" s="596"/>
      <c r="K35" s="596"/>
      <c r="L35" s="597"/>
      <c r="M35" s="597">
        <f>SUMIF($Z$28:$Z$31,"landbouw",M28:M31)</f>
        <v>1519</v>
      </c>
      <c r="N35" s="597">
        <f>SUMIF($Z$28:$Z$31,"landbouw",N28:N31)</f>
        <v>2695.125</v>
      </c>
      <c r="O35" s="597">
        <f>SUMIF($Z$28:$Z$31,"landbouw",O28:O31)</f>
        <v>3128.8928571428573</v>
      </c>
      <c r="P35" s="597">
        <f>SUMIF($Z$28:$Z$31,"landbouw",P28:P31)</f>
        <v>911.78571428571433</v>
      </c>
      <c r="Q35" s="597">
        <f>SUMIF($Z$28:$Z$31,"landbouw",Q28:Q31)</f>
        <v>0</v>
      </c>
      <c r="R35" s="597">
        <f>SUMIF($Z$28:$Z$31,"landbouw",R28:R31)</f>
        <v>0</v>
      </c>
      <c r="S35" s="597">
        <f>SUMIF($Z$28:$Z$31,"landbouw",S28:S31)</f>
        <v>1485</v>
      </c>
      <c r="T35" s="597">
        <f>SUMIF($Z$28:$Z$31,"landbouw",T28:T31)</f>
        <v>4455</v>
      </c>
      <c r="U35" s="597">
        <f>SUMIF($Z$28:$Z$31,"landbouw",U28:U31)</f>
        <v>0</v>
      </c>
      <c r="V35" s="597">
        <f>SUMIF($Z$28:$Z$31,"landbouw",V28:V31)</f>
        <v>0</v>
      </c>
      <c r="W35" s="597">
        <f>SUMIF($Z$28:$Z$31,"landbouw",W28:W31)</f>
        <v>0</v>
      </c>
      <c r="X35" s="598"/>
      <c r="Y35" s="598"/>
      <c r="Z35" s="599"/>
    </row>
    <row r="36" spans="1:27" s="529" customFormat="1" ht="15.75" thickBot="1">
      <c r="A36" s="600"/>
      <c r="B36" s="601"/>
      <c r="C36" s="601"/>
      <c r="D36" s="601"/>
      <c r="E36" s="601"/>
      <c r="F36" s="601"/>
      <c r="G36" s="601"/>
      <c r="H36" s="601"/>
      <c r="I36" s="601"/>
      <c r="J36" s="601"/>
      <c r="K36" s="601"/>
      <c r="L36" s="584"/>
      <c r="M36" s="584"/>
      <c r="N36" s="584"/>
      <c r="O36" s="585"/>
      <c r="P36" s="585"/>
    </row>
    <row r="37" spans="1:27" s="529" customFormat="1" ht="45">
      <c r="A37" s="602" t="s">
        <v>270</v>
      </c>
      <c r="B37" s="631" t="s">
        <v>89</v>
      </c>
      <c r="C37" s="631" t="s">
        <v>90</v>
      </c>
      <c r="D37" s="631"/>
      <c r="E37" s="631"/>
      <c r="F37" s="631"/>
      <c r="G37" s="631" t="s">
        <v>91</v>
      </c>
      <c r="H37" s="631" t="s">
        <v>92</v>
      </c>
      <c r="I37" s="631"/>
      <c r="J37" s="631"/>
      <c r="K37" s="631"/>
      <c r="L37" s="631" t="s">
        <v>93</v>
      </c>
      <c r="M37" s="632" t="s">
        <v>287</v>
      </c>
      <c r="N37" s="632" t="s">
        <v>94</v>
      </c>
      <c r="O37" s="632" t="s">
        <v>95</v>
      </c>
      <c r="P37" s="632" t="s">
        <v>511</v>
      </c>
      <c r="Q37" s="632" t="s">
        <v>96</v>
      </c>
      <c r="R37" s="632" t="s">
        <v>97</v>
      </c>
      <c r="S37" s="632" t="s">
        <v>98</v>
      </c>
      <c r="T37" s="632" t="s">
        <v>99</v>
      </c>
      <c r="U37" s="632" t="s">
        <v>100</v>
      </c>
      <c r="V37" s="632" t="s">
        <v>101</v>
      </c>
      <c r="W37" s="631" t="s">
        <v>102</v>
      </c>
      <c r="X37" s="631" t="s">
        <v>288</v>
      </c>
      <c r="Y37" s="631" t="s">
        <v>103</v>
      </c>
      <c r="Z37" s="633" t="s">
        <v>289</v>
      </c>
    </row>
    <row r="38" spans="1:27" s="603" customFormat="1" ht="12.75" hidden="1">
      <c r="A38" s="589"/>
      <c r="B38" s="785"/>
      <c r="C38" s="785"/>
      <c r="D38" s="637"/>
      <c r="E38" s="637"/>
      <c r="F38" s="637"/>
      <c r="G38" s="637"/>
      <c r="H38" s="637"/>
      <c r="I38" s="637"/>
      <c r="J38" s="784"/>
      <c r="K38" s="784"/>
      <c r="L38" s="637"/>
      <c r="M38" s="637"/>
      <c r="N38" s="637"/>
      <c r="O38" s="637"/>
      <c r="P38" s="637"/>
      <c r="Q38" s="637"/>
      <c r="R38" s="637"/>
      <c r="S38" s="637"/>
      <c r="T38" s="637"/>
      <c r="U38" s="637"/>
      <c r="V38" s="637"/>
      <c r="W38" s="637"/>
      <c r="X38" s="637"/>
      <c r="Y38" s="637"/>
      <c r="Z38" s="638"/>
    </row>
    <row r="39" spans="1:27" s="568" customFormat="1" hidden="1">
      <c r="A39" s="590" t="s">
        <v>269</v>
      </c>
      <c r="B39" s="591"/>
      <c r="C39" s="591"/>
      <c r="D39" s="591"/>
      <c r="E39" s="591"/>
      <c r="F39" s="591"/>
      <c r="G39" s="591"/>
      <c r="H39" s="591"/>
      <c r="I39" s="591"/>
      <c r="J39" s="591"/>
      <c r="K39" s="591"/>
      <c r="L39" s="592"/>
      <c r="M39" s="592">
        <f>SUM(M38:M38)</f>
        <v>0</v>
      </c>
      <c r="N39" s="592">
        <f>SUM(N38:N38)</f>
        <v>0</v>
      </c>
      <c r="O39" s="592">
        <f>SUM(O38:O38)</f>
        <v>0</v>
      </c>
      <c r="P39" s="592">
        <f>SUM(P38:P38)</f>
        <v>0</v>
      </c>
      <c r="Q39" s="592">
        <f>SUM(Q38:Q38)</f>
        <v>0</v>
      </c>
      <c r="R39" s="592">
        <f>SUM(R38:R38)</f>
        <v>0</v>
      </c>
      <c r="S39" s="592">
        <f>SUM(S38:S38)</f>
        <v>0</v>
      </c>
      <c r="T39" s="592">
        <f>SUM(T38:T38)</f>
        <v>0</v>
      </c>
      <c r="U39" s="592">
        <f>SUM(U38:U38)</f>
        <v>0</v>
      </c>
      <c r="V39" s="592">
        <f>SUM(V38:V38)</f>
        <v>0</v>
      </c>
      <c r="W39" s="592">
        <f>SUM(W38:W38)</f>
        <v>0</v>
      </c>
      <c r="X39" s="593"/>
      <c r="Y39" s="593"/>
      <c r="Z39" s="594"/>
    </row>
    <row r="40" spans="1:27" s="568" customFormat="1">
      <c r="A40" s="590" t="s">
        <v>276</v>
      </c>
      <c r="B40" s="591"/>
      <c r="C40" s="591"/>
      <c r="D40" s="591"/>
      <c r="E40" s="591"/>
      <c r="F40" s="591"/>
      <c r="G40" s="591"/>
      <c r="H40" s="591"/>
      <c r="I40" s="591"/>
      <c r="J40" s="591"/>
      <c r="K40" s="591"/>
      <c r="L40" s="592"/>
      <c r="M40" s="592">
        <f>SUMIF($Z$38:$Z$38,"industrie",M38:M38)</f>
        <v>0</v>
      </c>
      <c r="N40" s="592">
        <f>SUMIF($Z$38:$Z$38,"industrie",N38:N38)</f>
        <v>0</v>
      </c>
      <c r="O40" s="592">
        <f>SUMIF($Z$38:$Z$38,"industrie",O38:O38)</f>
        <v>0</v>
      </c>
      <c r="P40" s="592">
        <f>SUMIF($Z$38:$Z$38,"industrie",P38:P38)</f>
        <v>0</v>
      </c>
      <c r="Q40" s="592">
        <f>SUMIF($Z$38:$Z$38,"industrie",Q38:Q38)</f>
        <v>0</v>
      </c>
      <c r="R40" s="592">
        <f>SUMIF($Z$38:$Z$38,"industrie",R38:R38)</f>
        <v>0</v>
      </c>
      <c r="S40" s="592">
        <f>SUMIF($Z$38:$Z$38,"industrie",S38:S38)</f>
        <v>0</v>
      </c>
      <c r="T40" s="592">
        <f>SUMIF($Z$38:$Z$38,"industrie",T38:T38)</f>
        <v>0</v>
      </c>
      <c r="U40" s="592">
        <f>SUMIF($Z$38:$Z$38,"industrie",U38:U38)</f>
        <v>0</v>
      </c>
      <c r="V40" s="592">
        <f>SUMIF($Z$38:$Z$38,"industrie",V38:V38)</f>
        <v>0</v>
      </c>
      <c r="W40" s="592">
        <f>SUMIF($Z$38:$Z$38,"industrie",W38:W38)</f>
        <v>0</v>
      </c>
      <c r="X40" s="593"/>
      <c r="Y40" s="593"/>
      <c r="Z40" s="594"/>
    </row>
    <row r="41" spans="1:27" s="568" customFormat="1">
      <c r="A41" s="590" t="s">
        <v>277</v>
      </c>
      <c r="B41" s="591"/>
      <c r="C41" s="591"/>
      <c r="D41" s="591"/>
      <c r="E41" s="591"/>
      <c r="F41" s="591"/>
      <c r="G41" s="591"/>
      <c r="H41" s="591"/>
      <c r="I41" s="591"/>
      <c r="J41" s="591"/>
      <c r="K41" s="591"/>
      <c r="L41" s="592"/>
      <c r="M41" s="592">
        <f>SUMIF($Z$38:$Z$39,"tertiair",M38:M39)</f>
        <v>0</v>
      </c>
      <c r="N41" s="592">
        <f>SUMIF($Z$38:$Z$39,"tertiair",N38:N39)</f>
        <v>0</v>
      </c>
      <c r="O41" s="592">
        <f>SUMIF($Z$38:$Z$39,"tertiair",O38:O39)</f>
        <v>0</v>
      </c>
      <c r="P41" s="592">
        <f>SUMIF($Z$38:$Z$39,"tertiair",P38:P39)</f>
        <v>0</v>
      </c>
      <c r="Q41" s="592">
        <f>SUMIF($Z$38:$Z$39,"tertiair",Q38:Q39)</f>
        <v>0</v>
      </c>
      <c r="R41" s="592">
        <f>SUMIF($Z$38:$Z$39,"tertiair",R38:R39)</f>
        <v>0</v>
      </c>
      <c r="S41" s="592">
        <f>SUMIF($Z$38:$Z$39,"tertiair",S38:S39)</f>
        <v>0</v>
      </c>
      <c r="T41" s="592">
        <f>SUMIF($Z$38:$Z$39,"tertiair",T38:T39)</f>
        <v>0</v>
      </c>
      <c r="U41" s="592">
        <f>SUMIF($Z$38:$Z$39,"tertiair",U38:U39)</f>
        <v>0</v>
      </c>
      <c r="V41" s="592">
        <f>SUMIF($Z$38:$Z$39,"tertiair",V38:V39)</f>
        <v>0</v>
      </c>
      <c r="W41" s="592">
        <f>SUMIF($Z$38:$Z$39,"tertiair",W38:W39)</f>
        <v>0</v>
      </c>
      <c r="X41" s="593"/>
      <c r="Y41" s="593"/>
      <c r="Z41" s="594"/>
    </row>
    <row r="42" spans="1:27" s="568" customFormat="1" ht="15.75" thickBot="1">
      <c r="A42" s="595" t="s">
        <v>278</v>
      </c>
      <c r="B42" s="596"/>
      <c r="C42" s="596"/>
      <c r="D42" s="596"/>
      <c r="E42" s="596"/>
      <c r="F42" s="596"/>
      <c r="G42" s="596"/>
      <c r="H42" s="596"/>
      <c r="I42" s="596"/>
      <c r="J42" s="596"/>
      <c r="K42" s="596"/>
      <c r="L42" s="597"/>
      <c r="M42" s="597">
        <f>SUMIF($Z$38:$Z$40,"landbouw",M38:M40)</f>
        <v>0</v>
      </c>
      <c r="N42" s="597">
        <f>SUMIF($Z$38:$Z$40,"landbouw",N38:N40)</f>
        <v>0</v>
      </c>
      <c r="O42" s="597">
        <f>SUMIF($Z$38:$Z$40,"landbouw",O38:O40)</f>
        <v>0</v>
      </c>
      <c r="P42" s="597">
        <f>SUMIF($Z$38:$Z$40,"landbouw",P38:P40)</f>
        <v>0</v>
      </c>
      <c r="Q42" s="597">
        <f>SUMIF($Z$38:$Z$40,"landbouw",Q38:Q40)</f>
        <v>0</v>
      </c>
      <c r="R42" s="597">
        <f>SUMIF($Z$38:$Z$40,"landbouw",R38:R40)</f>
        <v>0</v>
      </c>
      <c r="S42" s="597">
        <f>SUMIF($Z$38:$Z$40,"landbouw",S38:S40)</f>
        <v>0</v>
      </c>
      <c r="T42" s="597">
        <f>SUMIF($Z$38:$Z$40,"landbouw",T38:T40)</f>
        <v>0</v>
      </c>
      <c r="U42" s="597">
        <f>SUMIF($Z$38:$Z$40,"landbouw",U38:U40)</f>
        <v>0</v>
      </c>
      <c r="V42" s="597">
        <f>SUMIF($Z$38:$Z$40,"landbouw",V38:V40)</f>
        <v>0</v>
      </c>
      <c r="W42" s="597">
        <f>SUMIF($Z$38:$Z$40,"landbouw",W38:W40)</f>
        <v>0</v>
      </c>
      <c r="X42" s="598"/>
      <c r="Y42" s="598"/>
      <c r="Z42" s="599"/>
    </row>
    <row r="43" spans="1:27" s="604" customForma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row>
    <row r="44" spans="1:27" s="604" customFormat="1" ht="15.75" thickBo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row>
    <row r="45" spans="1:27">
      <c r="A45" s="605" t="s">
        <v>271</v>
      </c>
      <c r="B45" s="606"/>
      <c r="C45" s="606"/>
      <c r="D45" s="606"/>
      <c r="E45" s="606"/>
      <c r="F45" s="606"/>
      <c r="G45" s="606"/>
      <c r="H45" s="606"/>
      <c r="I45" s="607"/>
      <c r="J45" s="608"/>
      <c r="K45" s="608"/>
      <c r="L45" s="609"/>
      <c r="M45" s="609"/>
      <c r="N45" s="609"/>
      <c r="O45" s="609"/>
      <c r="P45" s="609"/>
    </row>
    <row r="46" spans="1:27">
      <c r="A46" s="611"/>
      <c r="B46" s="601"/>
      <c r="C46" s="601"/>
      <c r="D46" s="601"/>
      <c r="E46" s="601"/>
      <c r="F46" s="601"/>
      <c r="G46" s="601"/>
      <c r="H46" s="601"/>
      <c r="I46" s="612"/>
      <c r="J46" s="601"/>
      <c r="K46" s="601"/>
      <c r="L46" s="609"/>
      <c r="M46" s="609"/>
      <c r="N46" s="609"/>
      <c r="O46" s="609"/>
      <c r="P46" s="609"/>
    </row>
    <row r="47" spans="1:27">
      <c r="A47" s="613"/>
      <c r="B47" s="614" t="s">
        <v>272</v>
      </c>
      <c r="C47" s="614" t="s">
        <v>273</v>
      </c>
      <c r="D47" s="614"/>
      <c r="E47" s="614"/>
      <c r="F47" s="614"/>
      <c r="G47" s="614"/>
      <c r="H47" s="614"/>
      <c r="I47" s="615"/>
      <c r="J47" s="614"/>
      <c r="K47" s="614"/>
      <c r="L47" s="614"/>
      <c r="M47" s="614"/>
      <c r="N47" s="614"/>
      <c r="O47" s="614"/>
      <c r="P47" s="609"/>
    </row>
    <row r="48" spans="1:27">
      <c r="A48" s="611" t="s">
        <v>269</v>
      </c>
      <c r="B48" s="616">
        <f>IF(ISERROR(O32/(O32+N32)),0,O32/(O32+N32))</f>
        <v>0.53742228145601167</v>
      </c>
      <c r="C48" s="617">
        <f>IF(ISERROR(N32/(O32+N32)),0,N32/(N32+O32))</f>
        <v>0.46257771854398827</v>
      </c>
      <c r="D48" s="584"/>
      <c r="E48" s="584"/>
      <c r="F48" s="584"/>
      <c r="G48" s="584"/>
      <c r="H48" s="584"/>
      <c r="I48" s="618"/>
      <c r="J48" s="584"/>
      <c r="K48" s="584"/>
      <c r="L48" s="619"/>
      <c r="M48" s="619"/>
      <c r="N48" s="619"/>
      <c r="O48" s="619"/>
      <c r="P48" s="609"/>
    </row>
    <row r="49" spans="1:16">
      <c r="A49" s="611"/>
      <c r="B49" s="620"/>
      <c r="C49" s="620"/>
      <c r="D49" s="620"/>
      <c r="E49" s="620"/>
      <c r="F49" s="620"/>
      <c r="G49" s="620"/>
      <c r="H49" s="620"/>
      <c r="I49" s="621"/>
      <c r="J49" s="620"/>
      <c r="K49" s="620"/>
      <c r="L49" s="622"/>
      <c r="M49" s="622"/>
      <c r="N49" s="622"/>
      <c r="O49" s="622"/>
      <c r="P49" s="609"/>
    </row>
    <row r="50" spans="1:16" ht="30">
      <c r="A50" s="623"/>
      <c r="B50" s="624" t="s">
        <v>511</v>
      </c>
      <c r="C50" s="624" t="s">
        <v>96</v>
      </c>
      <c r="D50" s="624" t="s">
        <v>97</v>
      </c>
      <c r="E50" s="624" t="s">
        <v>98</v>
      </c>
      <c r="F50" s="624" t="s">
        <v>99</v>
      </c>
      <c r="G50" s="624" t="s">
        <v>100</v>
      </c>
      <c r="H50" s="624" t="s">
        <v>101</v>
      </c>
      <c r="I50" s="625" t="s">
        <v>102</v>
      </c>
      <c r="J50" s="614"/>
      <c r="K50" s="614"/>
      <c r="L50" s="622"/>
      <c r="M50" s="622"/>
      <c r="N50" s="622"/>
      <c r="O50" s="609"/>
      <c r="P50" s="609"/>
    </row>
    <row r="51" spans="1:16">
      <c r="A51" s="613" t="s">
        <v>274</v>
      </c>
      <c r="B51" s="626">
        <f t="shared" ref="B51:I51" si="2">$C$48*P32</f>
        <v>432.39854094129703</v>
      </c>
      <c r="C51" s="626">
        <f t="shared" si="2"/>
        <v>0</v>
      </c>
      <c r="D51" s="626">
        <f t="shared" si="2"/>
        <v>0</v>
      </c>
      <c r="E51" s="626">
        <f t="shared" si="2"/>
        <v>686.92791203782258</v>
      </c>
      <c r="F51" s="626">
        <f t="shared" si="2"/>
        <v>2060.783736113468</v>
      </c>
      <c r="G51" s="626">
        <f t="shared" si="2"/>
        <v>0</v>
      </c>
      <c r="H51" s="626">
        <f t="shared" si="2"/>
        <v>0</v>
      </c>
      <c r="I51" s="627">
        <f t="shared" si="2"/>
        <v>0</v>
      </c>
      <c r="J51" s="584"/>
      <c r="K51" s="584"/>
      <c r="L51" s="622"/>
      <c r="M51" s="622"/>
      <c r="N51" s="622"/>
      <c r="O51" s="609"/>
      <c r="P51" s="609"/>
    </row>
    <row r="52" spans="1:16" ht="15.75" thickBot="1">
      <c r="A52" s="628" t="s">
        <v>275</v>
      </c>
      <c r="B52" s="629">
        <f t="shared" ref="B52:I52" si="3">$B$48*P32</f>
        <v>502.36014631739027</v>
      </c>
      <c r="C52" s="629">
        <f t="shared" si="3"/>
        <v>0</v>
      </c>
      <c r="D52" s="629">
        <f t="shared" si="3"/>
        <v>0</v>
      </c>
      <c r="E52" s="629">
        <f t="shared" si="3"/>
        <v>798.07208796217731</v>
      </c>
      <c r="F52" s="629">
        <f t="shared" si="3"/>
        <v>2394.216263886532</v>
      </c>
      <c r="G52" s="629">
        <f t="shared" si="3"/>
        <v>0</v>
      </c>
      <c r="H52" s="629">
        <f t="shared" si="3"/>
        <v>0</v>
      </c>
      <c r="I52" s="630">
        <f t="shared" si="3"/>
        <v>0</v>
      </c>
      <c r="J52" s="584"/>
      <c r="K52" s="584"/>
      <c r="L52" s="622"/>
      <c r="M52" s="622"/>
      <c r="N52" s="622"/>
      <c r="O52" s="609"/>
      <c r="P52" s="609"/>
    </row>
    <row r="53" spans="1:16">
      <c r="J53" s="564"/>
      <c r="K53" s="564"/>
      <c r="L53" s="564"/>
      <c r="M53" s="564"/>
      <c r="N53" s="564"/>
    </row>
    <row r="54" spans="1:16">
      <c r="J54" s="564"/>
      <c r="K54" s="564"/>
      <c r="L54" s="564"/>
      <c r="M54" s="564"/>
      <c r="N54"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2021-11-11T12:20:29Z</dcterms:modified>
</cp:coreProperties>
</file>