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71AEB0B-AE56-4810-84F4-02CE2541863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6" i="22" s="1"/>
  <c r="A8" i="23"/>
  <c r="A9" i="23"/>
  <c r="A10" i="23"/>
  <c r="A11" i="23"/>
  <c r="A12" i="23"/>
  <c r="D8" i="22" s="1"/>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<sst xmlns="http://schemas.openxmlformats.org/spreadsheetml/2006/main" count="2417" uniqueCount="868">
  <si>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</si>
  <si>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</si>
  <si>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</si>
  <si>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</si>
  <si>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</si>
  <si>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</si>
  <si>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</si>
  <si>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</si>
  <si>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</si>
  <si>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</si>
  <si>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</si>
  <si>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</si>
  <si>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</si>
  <si>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</si>
  <si>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</si>
  <si>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</si>
  <si>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</si>
  <si>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</si>
  <si>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</si>
  <si>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</si>
  <si>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</si>
  <si>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</si>
  <si>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</si>
  <si>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</si>
  <si>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</si>
  <si>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</si>
  <si>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</si>
  <si>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</si>
  <si>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</si>
  <si>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</si>
  <si>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</si>
  <si>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</si>
  <si>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</si>
  <si>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</si>
  <si>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</si>
  <si>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</si>
  <si>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</si>
  <si>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</si>
  <si>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</si>
  <si>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</si>
  <si>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</si>
  <si>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</si>
  <si>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</si>
  <si>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</si>
  <si>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</si>
  <si>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</si>
  <si>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</si>
  <si>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</si>
  <si>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</si>
  <si>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</si>
  <si>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</si>
  <si>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</si>
  <si>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</si>
  <si>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</si>
  <si>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</si>
  <si>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</si>
  <si>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</si>
  <si>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</si>
  <si>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</si>
  <si>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</si>
  <si>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</si>
  <si>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</si>
  <si>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</si>
  <si>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</si>
  <si>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</si>
  <si>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</si>
  <si>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</si>
  <si>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</si>
  <si>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</si>
  <si>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</si>
  <si>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</si>
  <si>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</si>
  <si>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</si>
  <si>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</si>
  <si>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</si>
  <si>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</si>
  <si>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</si>
  <si>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</si>
  <si>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</si>
  <si>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</si>
  <si>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</si>
  <si>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</si>
  <si>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</si>
  <si>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</si>
  <si>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</si>
  <si>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</si>
  <si>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</si>
  <si>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</si>
  <si>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</si>
  <si>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</si>
  <si>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</si>
  <si>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</si>
  <si>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</si>
  <si>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</si>
  <si>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</si>
  <si>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</si>
  <si>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</si>
  <si>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</si>
  <si>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</si>
  <si>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</si>
  <si>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</si>
  <si>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</si>
  <si>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</si>
  <si>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</si>
  <si>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</si>
  <si>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</si>
  <si>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</si>
  <si>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</si>
  <si>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</si>
  <si>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</si>
  <si>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</si>
  <si>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</si>
  <si>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</si>
  <si>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</si>
  <si>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</si>
  <si>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</si>
  <si>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</si>
  <si>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</si>
  <si>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</si>
  <si>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</si>
  <si>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</si>
  <si>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</si>
  <si>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</si>
  <si>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</si>
  <si>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</si>
  <si>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</si>
  <si>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</si>
  <si>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</si>
  <si>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</si>
  <si>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</si>
  <si>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</si>
  <si>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</si>
  <si>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</si>
  <si>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</si>
  <si>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</si>
  <si>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</si>
  <si>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</si>
  <si>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</si>
  <si>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</si>
  <si>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</si>
  <si>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</si>
  <si>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</si>
  <si>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</si>
  <si>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</si>
  <si>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</si>
  <si>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</si>
  <si>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</si>
  <si>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</si>
  <si>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</si>
  <si>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</si>
  <si>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</si>
  <si>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</si>
  <si>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</si>
  <si>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</si>
  <si>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</si>
  <si>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</si>
  <si>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</si>
  <si>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</si>
  <si>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</si>
  <si>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</si>
  <si>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</si>
  <si>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</si>
  <si>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</si>
  <si>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</si>
  <si>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</si>
  <si>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</si>
  <si>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</si>
  <si>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</si>
  <si>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</si>
  <si>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</si>
  <si>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</si>
  <si>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</si>
  <si>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</si>
  <si>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</si>
  <si>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</si>
  <si>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</si>
  <si>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</si>
  <si>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</si>
  <si>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</si>
  <si>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</si>
  <si>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</si>
  <si>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</si>
  <si>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</si>
  <si>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</si>
  <si>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</si>
  <si>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</si>
  <si>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</si>
  <si>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</si>
  <si>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</si>
  <si>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</si>
  <si>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</si>
  <si>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</si>
  <si>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</si>
  <si>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</si>
  <si>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</si>
  <si>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</si>
  <si>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</si>
  <si>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</si>
  <si>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</si>
  <si>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</si>
  <si>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</si>
  <si>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</si>
  <si>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</si>
  <si>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</si>
  <si>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</si>
  <si>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</si>
  <si>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</si>
  <si>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</si>
  <si>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</si>
  <si>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</si>
  <si>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</si>
  <si>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</si>
  <si>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</si>
  <si>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</si>
  <si>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</si>
  <si>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</si>
  <si>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</si>
  <si>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</si>
  <si>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</si>
  <si>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</si>
  <si>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</si>
  <si>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</si>
  <si>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</si>
  <si>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</si>
  <si>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</si>
  <si>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</si>
  <si>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</si>
  <si>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</si>
  <si>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</si>
  <si>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</si>
  <si>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</si>
  <si>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</si>
  <si>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</si>
  <si>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</si>
  <si>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</si>
  <si>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</si>
  <si>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</si>
  <si>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</si>
  <si>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</si>
  <si>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</si>
  <si>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</si>
  <si>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</si>
  <si>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</si>
  <si>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</si>
  <si>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</si>
  <si>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</si>
  <si>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</si>
  <si>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</si>
  <si>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</si>
  <si>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</si>
  <si>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</si>
  <si>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</si>
  <si>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</si>
  <si>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</si>
  <si>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</si>
  <si>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</si>
  <si>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</si>
  <si>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</si>
  <si>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</si>
  <si>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</si>
  <si>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</si>
  <si>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</si>
  <si>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</si>
  <si>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</si>
  <si>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</si>
  <si>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</si>
  <si>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</si>
  <si>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</si>
  <si>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</si>
  <si>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</si>
  <si>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</si>
  <si>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</si>
  <si>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</si>
  <si>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</si>
  <si>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</si>
  <si>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</si>
  <si>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</si>
  <si>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</si>
  <si>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</si>
  <si>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</si>
  <si>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</si>
  <si>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</si>
  <si>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</si>
  <si>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</si>
  <si>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</si>
  <si>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</si>
  <si>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</si>
  <si>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</si>
  <si>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</si>
  <si>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</si>
  <si>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</si>
  <si>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</si>
  <si>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</si>
  <si>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</si>
  <si>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</si>
  <si>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</si>
  <si>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</si>
  <si>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</si>
  <si>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</si>
  <si>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</si>
  <si>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</si>
  <si>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</si>
  <si>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</si>
  <si>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</si>
  <si>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</si>
  <si>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</si>
  <si>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</si>
  <si>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</si>
  <si>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</si>
  <si>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</si>
  <si>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</si>
  <si>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</si>
  <si>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</si>
  <si>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</si>
  <si>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</si>
  <si>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</si>
  <si>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</si>
  <si>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</si>
  <si>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</si>
  <si>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</si>
  <si>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</si>
  <si>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</si>
  <si>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</si>
  <si>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</si>
  <si>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</si>
  <si>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</si>
  <si>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</si>
  <si>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</si>
  <si>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</si>
  <si>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</si>
  <si>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</si>
  <si>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</si>
  <si>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</si>
  <si>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</si>
  <si>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</si>
  <si>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</si>
  <si>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</si>
  <si>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</si>
  <si>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</si>
  <si>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</si>
  <si>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</si>
  <si>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</si>
  <si>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</si>
  <si>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</si>
  <si>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</si>
  <si>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</si>
  <si>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</si>
  <si>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</si>
  <si>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</si>
  <si>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</si>
  <si>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</si>
  <si>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</si>
  <si>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</si>
  <si>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</si>
  <si>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</si>
  <si>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</si>
  <si>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</si>
  <si>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</si>
  <si>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</si>
  <si>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</si>
  <si>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</si>
  <si>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</si>
  <si>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</si>
  <si>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</si>
  <si>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</si>
  <si>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</si>
  <si>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</si>
  <si>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</si>
  <si>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</si>
  <si>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</si>
  <si>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</si>
  <si>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</si>
  <si>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</si>
  <si>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</si>
  <si>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</si>
  <si>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</si>
  <si>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</si>
  <si>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</si>
  <si>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</si>
  <si>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</si>
  <si>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</si>
  <si>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</si>
  <si>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</si>
  <si>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</si>
  <si>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</si>
  <si>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</si>
  <si>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</si>
  <si>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</si>
  <si>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</si>
  <si>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</si>
  <si>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</si>
  <si>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</si>
  <si>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</si>
  <si>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</si>
  <si>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</si>
  <si>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</si>
  <si>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</si>
  <si>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</si>
  <si>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</si>
  <si>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</si>
  <si>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</si>
  <si>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</si>
  <si>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</si>
  <si>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</si>
  <si>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</si>
  <si>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</si>
  <si>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</si>
  <si>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</si>
  <si>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</si>
  <si>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</si>
  <si>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</si>
  <si>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</si>
  <si>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</si>
  <si>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</si>
  <si>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</si>
  <si>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</si>
  <si>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</si>
  <si>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</si>
  <si>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</si>
  <si>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</si>
  <si>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</si>
  <si>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</si>
  <si>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</si>
  <si>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</si>
  <si>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</si>
  <si>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</si>
  <si>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</si>
  <si>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</si>
  <si>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</si>
  <si>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</si>
  <si>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</si>
  <si>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</si>
  <si>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</si>
  <si>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</si>
  <si>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</si>
  <si>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</si>
  <si>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</si>
  <si>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</si>
  <si>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</si>
  <si>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</si>
  <si>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</si>
  <si>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</si>
  <si>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</si>
  <si>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</si>
  <si>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</si>
  <si>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</si>
  <si>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</si>
  <si>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</si>
  <si>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</si>
  <si>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</si>
  <si>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</si>
  <si>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</si>
  <si>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</si>
  <si>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</si>
  <si>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</si>
  <si>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</si>
  <si>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</si>
  <si>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</si>
  <si>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</si>
  <si>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</si>
  <si>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</si>
  <si>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</si>
  <si>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</si>
  <si>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</si>
  <si>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</si>
  <si>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</si>
  <si>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</si>
  <si>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</si>
  <si>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</si>
  <si>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</si>
  <si>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</si>
  <si>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</si>
  <si>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</si>
  <si>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</si>
  <si>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</si>
  <si>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</si>
  <si>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</si>
  <si>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</si>
  <si>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</si>
  <si>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</si>
  <si>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</si>
  <si>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</si>
  <si>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</si>
  <si>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</si>
  <si>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</si>
  <si>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</si>
  <si>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</si>
  <si>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</si>
  <si>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</si>
  <si>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</si>
  <si>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</si>
  <si>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</si>
  <si>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</si>
  <si>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</si>
  <si>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</si>
  <si>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</si>
  <si>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</si>
  <si>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</si>
  <si>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</si>
  <si>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</si>
  <si>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</si>
  <si>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</si>
  <si>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</si>
  <si>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</si>
  <si>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</si>
  <si>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</si>
  <si>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</si>
  <si>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</si>
  <si>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</si>
  <si>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</si>
  <si>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</si>
  <si>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</si>
  <si>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</si>
  <si>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</si>
  <si>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</si>
  <si>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</si>
  <si>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</si>
  <si>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</si>
  <si>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</si>
  <si>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</si>
  <si>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</si>
  <si>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</si>
  <si>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</si>
  <si>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</si>
  <si>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</si>
  <si>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</si>
  <si>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</si>
  <si>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</si>
  <si>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</si>
  <si>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</si>
  <si>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</si>
  <si>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</si>
  <si>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</si>
  <si>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</si>
  <si>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</si>
  <si>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</si>
  <si>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</si>
  <si>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</si>
  <si>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</si>
  <si>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</si>
  <si>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</si>
  <si>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</si>
  <si>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</si>
  <si>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</si>
  <si>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</si>
  <si>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</si>
  <si>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</si>
  <si>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</si>
  <si>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</si>
  <si>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</si>
  <si>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</si>
  <si>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</si>
  <si>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</si>
  <si>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</si>
  <si>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</si>
  <si>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</si>
  <si>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</si>
  <si>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</si>
  <si>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</si>
  <si>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</si>
  <si>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</si>
  <si>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</si>
  <si>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</si>
  <si>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</si>
  <si>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</si>
  <si>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</si>
  <si>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</si>
  <si>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</si>
  <si>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</si>
  <si>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</si>
  <si>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</si>
  <si>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</si>
  <si>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</si>
  <si>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</si>
  <si>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</si>
  <si>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</si>
  <si>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</si>
  <si>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</si>
  <si>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</si>
  <si>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</si>
  <si>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</si>
  <si>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</si>
  <si>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</si>
  <si>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</si>
  <si>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</si>
  <si>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</si>
  <si>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</si>
  <si>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</si>
  <si>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</si>
  <si>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</si>
  <si>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</si>
  <si>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</si>
  <si>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</si>
  <si>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</si>
  <si>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</si>
  <si>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</si>
  <si>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</si>
  <si>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</si>
  <si>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</si>
  <si>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</si>
  <si>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</si>
  <si>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</si>
  <si>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</si>
  <si>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</si>
  <si>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</si>
  <si>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</si>
  <si>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</si>
  <si>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</si>
  <si>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</si>
  <si>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</si>
  <si>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</si>
  <si>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</si>
  <si>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</si>
  <si>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</si>
  <si>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</si>
  <si>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</si>
  <si>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</si>
  <si>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</si>
  <si>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</si>
  <si>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</si>
  <si>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</si>
  <si>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</si>
  <si>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</si>
  <si>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</si>
  <si>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</si>
  <si>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</si>
  <si>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</si>
  <si>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</si>
  <si>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</si>
  <si>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</si>
  <si>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</si>
  <si>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</si>
  <si>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</si>
  <si>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</si>
  <si>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</si>
  <si>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</si>
  <si>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</si>
  <si>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</si>
  <si>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</si>
  <si>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</si>
  <si>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</si>
  <si>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</si>
  <si>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</si>
  <si>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</si>
  <si>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</si>
  <si>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</si>
  <si>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</si>
  <si>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</si>
  <si>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</si>
  <si>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</si>
  <si>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</si>
  <si>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</si>
  <si>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</si>
  <si>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</si>
  <si>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</si>
  <si>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</si>
  <si>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</si>
  <si>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</si>
  <si>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</si>
  <si>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</si>
  <si>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</si>
  <si>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</si>
  <si>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</si>
  <si>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</si>
  <si>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</si>
  <si>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</si>
  <si>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</si>
  <si>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</si>
  <si>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</si>
  <si>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</si>
  <si>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</si>
  <si>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</si>
  <si>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</si>
  <si>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</si>
  <si>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</si>
  <si>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</si>
  <si>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</si>
  <si>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</si>
  <si>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</si>
  <si>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</si>
  <si>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</si>
  <si>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</si>
  <si>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</si>
  <si>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</si>
  <si>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</si>
  <si>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</si>
  <si>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</si>
  <si>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</si>
  <si>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</si>
  <si>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</si>
  <si>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</si>
  <si>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</si>
  <si>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</si>
  <si>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</si>
  <si>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</si>
  <si>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</si>
  <si>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</si>
  <si>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</si>
  <si>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</si>
  <si>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</si>
  <si>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</si>
  <si>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</si>
  <si>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</si>
  <si>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</si>
  <si>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</si>
  <si>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</si>
  <si>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</si>
  <si>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</si>
  <si>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</si>
  <si>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</si>
  <si>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</si>
  <si>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</si>
  <si>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</si>
  <si>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</si>
  <si>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</si>
  <si>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</si>
  <si>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</si>
  <si>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</si>
  <si>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</si>
  <si>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</si>
  <si>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</si>
  <si>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</si>
  <si>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</si>
  <si>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</si>
  <si>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</si>
  <si>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</si>
  <si>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</si>
  <si>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</si>
  <si>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</si>
  <si>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</si>
  <si>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</si>
  <si>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</si>
  <si>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</si>
  <si>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</si>
  <si>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</si>
  <si>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</si>
  <si>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</si>
  <si>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</si>
  <si>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</si>
  <si>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</si>
  <si>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</si>
  <si>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</si>
  <si>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</si>
  <si>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</si>
  <si>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</si>
  <si>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</si>
  <si>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</si>
  <si>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</si>
  <si>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</si>
  <si>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</si>
  <si>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</si>
  <si>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</si>
  <si>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</si>
  <si>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</si>
  <si>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</si>
  <si>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</si>
  <si>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</si>
  <si>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</si>
  <si>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</si>
  <si>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</si>
  <si>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</si>
  <si>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</si>
  <si>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</si>
  <si>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</si>
  <si>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</si>
  <si>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</si>
  <si>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</si>
  <si>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</si>
  <si>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</si>
  <si>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</si>
  <si>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</si>
  <si>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</si>
  <si>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</si>
  <si>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</si>
  <si>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</si>
  <si>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</si>
  <si>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</si>
  <si>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</si>
  <si>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</si>
  <si>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</si>
  <si>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</si>
  <si>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</si>
  <si>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</si>
  <si>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</si>
  <si>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</si>
  <si>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</si>
  <si>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</si>
  <si>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</si>
  <si>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</si>
  <si>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</si>
  <si>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</si>
  <si>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</si>
  <si>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</si>
  <si>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</si>
  <si>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</si>
  <si>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</si>
  <si>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</si>
  <si>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</si>
  <si>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</si>
  <si>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</si>
  <si>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</si>
  <si>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</si>
  <si>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</si>
  <si>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</si>
  <si>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</si>
  <si>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</si>
  <si>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</si>
  <si>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</si>
  <si>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</si>
  <si>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</si>
  <si>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</si>
  <si>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</si>
  <si>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</si>
  <si>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</si>
  <si>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</si>
  <si>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</si>
  <si>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</si>
  <si>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</si>
  <si>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</si>
  <si>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</si>
  <si>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</si>
  <si>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</si>
  <si>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</si>
  <si>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</si>
  <si>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</si>
  <si>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</si>
  <si>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</si>
  <si>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</si>
  <si>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</si>
  <si>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</si>
  <si>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</si>
  <si>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</si>
  <si>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</si>
  <si>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</si>
  <si>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</si>
  <si>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</si>
  <si>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</si>
  <si>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</si>
  <si>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</si>
  <si>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</si>
  <si>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</si>
  <si>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</si>
  <si>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</si>
  <si>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</si>
  <si>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</si>
  <si>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</si>
  <si>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</si>
  <si>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</si>
  <si>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</si>
  <si>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</si>
  <si>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</si>
  <si>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</si>
  <si>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</si>
  <si>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</si>
  <si>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</si>
  <si>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</si>
  <si>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</si>
  <si>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</si>
  <si>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</si>
  <si>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</si>
  <si>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</si>
  <si>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</si>
  <si>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</si>
  <si>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</si>
  <si>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45060</t>
  </si>
  <si>
    <t>KLUISBERGEN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</si>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</sst>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FB941C1-A340-4B46-8596-121E3871DD8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54354.040273538623</c:v>
                </c:pt>
                <c:pt idx="1">
                  <c:v>14889.508663214265</c:v>
                </c:pt>
                <c:pt idx="2">
                  <c:v>654.024</c:v>
                </c:pt>
                <c:pt idx="3">
                  <c:v>4804.2264568217943</c:v>
                </c:pt>
                <c:pt idx="4">
                  <c:v>39951.106479183421</c:v>
                </c:pt>
                <c:pt idx="5">
                  <c:v>35716.298265975274</c:v>
                </c:pt>
                <c:pt idx="6">
                  <c:v>384.4189932169291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54354.040273538623</c:v>
                </c:pt>
                <c:pt idx="1">
                  <c:v>14889.508663214265</c:v>
                </c:pt>
                <c:pt idx="2">
                  <c:v>654.024</c:v>
                </c:pt>
                <c:pt idx="3">
                  <c:v>4804.2264568217943</c:v>
                </c:pt>
                <c:pt idx="4">
                  <c:v>39951.106479183421</c:v>
                </c:pt>
                <c:pt idx="5">
                  <c:v>35716.298265975274</c:v>
                </c:pt>
                <c:pt idx="6">
                  <c:v>384.4189932169291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11458.940578620251</c:v>
                </c:pt>
                <c:pt idx="1">
                  <c:v>3039.9153807555126</c:v>
                </c:pt>
                <c:pt idx="2">
                  <c:v>135.68378419665245</c:v>
                </c:pt>
                <c:pt idx="3">
                  <c:v>1238.7489672797349</c:v>
                </c:pt>
                <c:pt idx="4">
                  <c:v>8356.2326235396013</c:v>
                </c:pt>
                <c:pt idx="5">
                  <c:v>8859.8897199554522</c:v>
                </c:pt>
                <c:pt idx="6">
                  <c:v>96.808853362217576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11458.940578620251</c:v>
                </c:pt>
                <c:pt idx="1">
                  <c:v>3039.9153807555126</c:v>
                </c:pt>
                <c:pt idx="2">
                  <c:v>135.68378419665245</c:v>
                </c:pt>
                <c:pt idx="3">
                  <c:v>1238.7489672797349</c:v>
                </c:pt>
                <c:pt idx="4">
                  <c:v>8356.2326235396013</c:v>
                </c:pt>
                <c:pt idx="5">
                  <c:v>8859.8897199554522</c:v>
                </c:pt>
                <c:pt idx="6">
                  <c:v>96.808853362217576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45060</v>
      </c>
      <c r="B6" s="384"/>
      <c r="C6" s="385"/>
    </row>
    <row r="7" spans="1:7" s="382" customFormat="1" ht="15.75" customHeight="1">
      <c r="A7" s="386" t="str">
        <f>txtMunicipality</f>
        <v>KLUISBERGEN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8197.2680715497936</v>
      </c>
      <c r="D10" s="681">
        <f ca="1">tertiair!C16</f>
        <v>0</v>
      </c>
      <c r="E10" s="681">
        <f ca="1">tertiair!D16</f>
        <v>5607.8261829982312</v>
      </c>
      <c r="F10" s="681">
        <f>tertiair!E16</f>
        <v>27.147107075441024</v>
      </c>
      <c r="G10" s="681">
        <f ca="1">tertiair!F16</f>
        <v>1258.6087414139554</v>
      </c>
      <c r="H10" s="681">
        <f>tertiair!G16</f>
        <v>0</v>
      </c>
      <c r="I10" s="681">
        <f>tertiair!H16</f>
        <v>0</v>
      </c>
      <c r="J10" s="681">
        <f>tertiair!I16</f>
        <v>0</v>
      </c>
      <c r="K10" s="681">
        <f>tertiair!J16</f>
        <v>7.2070942133234377E-3</v>
      </c>
      <c r="L10" s="681">
        <f>tertiair!K16</f>
        <v>0</v>
      </c>
      <c r="M10" s="681">
        <f ca="1">tertiair!L16</f>
        <v>0</v>
      </c>
      <c r="N10" s="681">
        <f>tertiair!M16</f>
        <v>0</v>
      </c>
      <c r="O10" s="681">
        <f ca="1">tertiair!N16</f>
        <v>285.26341663146354</v>
      </c>
      <c r="P10" s="681">
        <f>tertiair!O16</f>
        <v>9.7945215316823084</v>
      </c>
      <c r="Q10" s="682">
        <f>tertiair!P16</f>
        <v>157.61741491948504</v>
      </c>
      <c r="R10" s="684">
        <f ca="1">SUM(C10:Q10)</f>
        <v>15543.532663214266</v>
      </c>
      <c r="S10" s="67"/>
    </row>
    <row r="11" spans="1:19" s="443" customFormat="1">
      <c r="A11" s="802" t="s">
        <v>214</v>
      </c>
      <c r="B11" s="807"/>
      <c r="C11" s="681">
        <f>huishoudens!B8</f>
        <v>12064.057713314938</v>
      </c>
      <c r="D11" s="681">
        <f>huishoudens!C8</f>
        <v>0</v>
      </c>
      <c r="E11" s="681">
        <f>huishoudens!D8</f>
        <v>17507.028870219161</v>
      </c>
      <c r="F11" s="681">
        <f>huishoudens!E8</f>
        <v>885.53625323715755</v>
      </c>
      <c r="G11" s="681">
        <f>huishoudens!F8</f>
        <v>19399.093156818646</v>
      </c>
      <c r="H11" s="681">
        <f>huishoudens!G8</f>
        <v>0</v>
      </c>
      <c r="I11" s="681">
        <f>huishoudens!H8</f>
        <v>0</v>
      </c>
      <c r="J11" s="681">
        <f>huishoudens!I8</f>
        <v>0</v>
      </c>
      <c r="K11" s="681">
        <f>huishoudens!J8</f>
        <v>110.55755365243463</v>
      </c>
      <c r="L11" s="681">
        <f>huishoudens!K8</f>
        <v>0</v>
      </c>
      <c r="M11" s="681">
        <f>huishoudens!L8</f>
        <v>0</v>
      </c>
      <c r="N11" s="681">
        <f>huishoudens!M8</f>
        <v>0</v>
      </c>
      <c r="O11" s="681">
        <f>huishoudens!N8</f>
        <v>3798.244619964597</v>
      </c>
      <c r="P11" s="681">
        <f>huishoudens!O8</f>
        <v>210.29957125502537</v>
      </c>
      <c r="Q11" s="682">
        <f>huishoudens!P8</f>
        <v>379.22253507666085</v>
      </c>
      <c r="R11" s="684">
        <f>SUM(C11:Q11)</f>
        <v>54354.040273538623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23950.596281166796</v>
      </c>
      <c r="D13" s="681">
        <f>industrie!C18</f>
        <v>0</v>
      </c>
      <c r="E13" s="681">
        <f>industrie!D18</f>
        <v>11030.580266010156</v>
      </c>
      <c r="F13" s="681">
        <f>industrie!E18</f>
        <v>111.30887324381672</v>
      </c>
      <c r="G13" s="681">
        <f>industrie!F18</f>
        <v>4238.8332350759129</v>
      </c>
      <c r="H13" s="681">
        <f>industrie!G18</f>
        <v>0</v>
      </c>
      <c r="I13" s="681">
        <f>industrie!H18</f>
        <v>0</v>
      </c>
      <c r="J13" s="681">
        <f>industrie!I18</f>
        <v>0</v>
      </c>
      <c r="K13" s="681">
        <f>industrie!J18</f>
        <v>6.3005460426693363</v>
      </c>
      <c r="L13" s="681">
        <f>industrie!K18</f>
        <v>0</v>
      </c>
      <c r="M13" s="681">
        <f>industrie!L18</f>
        <v>0</v>
      </c>
      <c r="N13" s="681">
        <f>industrie!M18</f>
        <v>0</v>
      </c>
      <c r="O13" s="681">
        <f>industrie!N18</f>
        <v>613.48727764406192</v>
      </c>
      <c r="P13" s="681">
        <f>industrie!O18</f>
        <v>0</v>
      </c>
      <c r="Q13" s="682">
        <f>industrie!P18</f>
        <v>0</v>
      </c>
      <c r="R13" s="684">
        <f>SUM(C13:Q13)</f>
        <v>39951.106479183421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44211.922066031533</v>
      </c>
      <c r="D16" s="717">
        <f t="shared" ref="D16:R16" ca="1" si="0">SUM(D9:D15)</f>
        <v>0</v>
      </c>
      <c r="E16" s="717">
        <f t="shared" ca="1" si="0"/>
        <v>34145.435319227545</v>
      </c>
      <c r="F16" s="717">
        <f t="shared" si="0"/>
        <v>1023.9922335564153</v>
      </c>
      <c r="G16" s="717">
        <f t="shared" ca="1" si="0"/>
        <v>24896.535133308513</v>
      </c>
      <c r="H16" s="717">
        <f t="shared" si="0"/>
        <v>0</v>
      </c>
      <c r="I16" s="717">
        <f t="shared" si="0"/>
        <v>0</v>
      </c>
      <c r="J16" s="717">
        <f t="shared" si="0"/>
        <v>0</v>
      </c>
      <c r="K16" s="717">
        <f t="shared" si="0"/>
        <v>116.8653067893173</v>
      </c>
      <c r="L16" s="717">
        <f t="shared" si="0"/>
        <v>0</v>
      </c>
      <c r="M16" s="717">
        <f t="shared" ca="1" si="0"/>
        <v>0</v>
      </c>
      <c r="N16" s="717">
        <f t="shared" si="0"/>
        <v>0</v>
      </c>
      <c r="O16" s="717">
        <f t="shared" ca="1" si="0"/>
        <v>4696.9953142401218</v>
      </c>
      <c r="P16" s="717">
        <f t="shared" si="0"/>
        <v>220.09409278670768</v>
      </c>
      <c r="Q16" s="717">
        <f t="shared" si="0"/>
        <v>536.83994999614583</v>
      </c>
      <c r="R16" s="717">
        <f t="shared" ca="1" si="0"/>
        <v>109848.67941593631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5.7207292847406732</v>
      </c>
      <c r="D19" s="681">
        <f>transport!C54</f>
        <v>0</v>
      </c>
      <c r="E19" s="681">
        <f>transport!D54</f>
        <v>0</v>
      </c>
      <c r="F19" s="681">
        <f>transport!E54</f>
        <v>0</v>
      </c>
      <c r="G19" s="681">
        <f>transport!F54</f>
        <v>0</v>
      </c>
      <c r="H19" s="681">
        <f>transport!G54</f>
        <v>358.13494820067058</v>
      </c>
      <c r="I19" s="681">
        <f>transport!H54</f>
        <v>0</v>
      </c>
      <c r="J19" s="681">
        <f>transport!I54</f>
        <v>0</v>
      </c>
      <c r="K19" s="681">
        <f>transport!J54</f>
        <v>0</v>
      </c>
      <c r="L19" s="681">
        <f>transport!K54</f>
        <v>0</v>
      </c>
      <c r="M19" s="681">
        <f>transport!L54</f>
        <v>0</v>
      </c>
      <c r="N19" s="681">
        <f>transport!M54</f>
        <v>20.563315731517829</v>
      </c>
      <c r="O19" s="681">
        <f>transport!N54</f>
        <v>0</v>
      </c>
      <c r="P19" s="681">
        <f>transport!O54</f>
        <v>0</v>
      </c>
      <c r="Q19" s="682">
        <f>transport!P54</f>
        <v>0</v>
      </c>
      <c r="R19" s="684">
        <f>SUM(C19:Q19)</f>
        <v>384.4189932169291</v>
      </c>
      <c r="S19" s="67"/>
    </row>
    <row r="20" spans="1:19" s="443" customFormat="1">
      <c r="A20" s="802" t="s">
        <v>296</v>
      </c>
      <c r="B20" s="807"/>
      <c r="C20" s="681">
        <f>transport!B14</f>
        <v>76.549340210881795</v>
      </c>
      <c r="D20" s="681">
        <f>transport!C14</f>
        <v>0</v>
      </c>
      <c r="E20" s="681">
        <f>transport!D14</f>
        <v>140.13705361965509</v>
      </c>
      <c r="F20" s="681">
        <f>transport!E14</f>
        <v>54.750370626721534</v>
      </c>
      <c r="G20" s="681">
        <f>transport!F14</f>
        <v>0</v>
      </c>
      <c r="H20" s="681">
        <f>transport!G14</f>
        <v>26582.219079740236</v>
      </c>
      <c r="I20" s="681">
        <f>transport!H14</f>
        <v>6850.6838741341971</v>
      </c>
      <c r="J20" s="681">
        <f>transport!I14</f>
        <v>0</v>
      </c>
      <c r="K20" s="681">
        <f>transport!J14</f>
        <v>0</v>
      </c>
      <c r="L20" s="681">
        <f>transport!K14</f>
        <v>0</v>
      </c>
      <c r="M20" s="681">
        <f>transport!L14</f>
        <v>0</v>
      </c>
      <c r="N20" s="681">
        <f>transport!M14</f>
        <v>2011.9585476435843</v>
      </c>
      <c r="O20" s="681">
        <f>transport!N14</f>
        <v>0</v>
      </c>
      <c r="P20" s="681">
        <f>transport!O14</f>
        <v>0</v>
      </c>
      <c r="Q20" s="682">
        <f>transport!P14</f>
        <v>0</v>
      </c>
      <c r="R20" s="684">
        <f>SUM(C20:Q20)</f>
        <v>35716.298265975274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82.270069495622465</v>
      </c>
      <c r="D22" s="805">
        <f t="shared" ref="D22:R22" si="1">SUM(D18:D21)</f>
        <v>0</v>
      </c>
      <c r="E22" s="805">
        <f t="shared" si="1"/>
        <v>140.13705361965509</v>
      </c>
      <c r="F22" s="805">
        <f t="shared" si="1"/>
        <v>54.750370626721534</v>
      </c>
      <c r="G22" s="805">
        <f t="shared" si="1"/>
        <v>0</v>
      </c>
      <c r="H22" s="805">
        <f t="shared" si="1"/>
        <v>26940.354027940906</v>
      </c>
      <c r="I22" s="805">
        <f t="shared" si="1"/>
        <v>6850.6838741341971</v>
      </c>
      <c r="J22" s="805">
        <f t="shared" si="1"/>
        <v>0</v>
      </c>
      <c r="K22" s="805">
        <f t="shared" si="1"/>
        <v>0</v>
      </c>
      <c r="L22" s="805">
        <f t="shared" si="1"/>
        <v>0</v>
      </c>
      <c r="M22" s="805">
        <f t="shared" si="1"/>
        <v>0</v>
      </c>
      <c r="N22" s="805">
        <f t="shared" si="1"/>
        <v>2032.5218633751022</v>
      </c>
      <c r="O22" s="805">
        <f t="shared" si="1"/>
        <v>0</v>
      </c>
      <c r="P22" s="805">
        <f t="shared" si="1"/>
        <v>0</v>
      </c>
      <c r="Q22" s="805">
        <f t="shared" si="1"/>
        <v>0</v>
      </c>
      <c r="R22" s="805">
        <f t="shared" si="1"/>
        <v>36100.717259192206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1070.6915799698399</v>
      </c>
      <c r="D24" s="681">
        <f>+landbouw!C8</f>
        <v>0</v>
      </c>
      <c r="E24" s="681">
        <f>+landbouw!D8</f>
        <v>41.368748822716277</v>
      </c>
      <c r="F24" s="681">
        <f>+landbouw!E8</f>
        <v>30.66641879221886</v>
      </c>
      <c r="G24" s="681">
        <f>+landbouw!F8</f>
        <v>3389.2564627273914</v>
      </c>
      <c r="H24" s="681">
        <f>+landbouw!G8</f>
        <v>0</v>
      </c>
      <c r="I24" s="681">
        <f>+landbouw!H8</f>
        <v>0</v>
      </c>
      <c r="J24" s="681">
        <f>+landbouw!I8</f>
        <v>0</v>
      </c>
      <c r="K24" s="681">
        <f>+landbouw!J8</f>
        <v>272.24324650962831</v>
      </c>
      <c r="L24" s="681">
        <f>+landbouw!K8</f>
        <v>0</v>
      </c>
      <c r="M24" s="681">
        <f>+landbouw!L8</f>
        <v>0</v>
      </c>
      <c r="N24" s="681">
        <f>+landbouw!M8</f>
        <v>0</v>
      </c>
      <c r="O24" s="681">
        <f>+landbouw!N8</f>
        <v>0</v>
      </c>
      <c r="P24" s="681">
        <f>+landbouw!O8</f>
        <v>0</v>
      </c>
      <c r="Q24" s="682">
        <f>+landbouw!P8</f>
        <v>0</v>
      </c>
      <c r="R24" s="684">
        <f>SUM(C24:Q24)</f>
        <v>4804.2264568217943</v>
      </c>
      <c r="S24" s="67"/>
    </row>
    <row r="25" spans="1:19" s="443" customFormat="1" ht="15" thickBot="1">
      <c r="A25" s="824" t="s">
        <v>690</v>
      </c>
      <c r="B25" s="937"/>
      <c r="C25" s="938">
        <f>IF(Onbekend_ele_kWh="---",0,Onbekend_ele_kWh)/1000+IF(REST_rest_ele_kWh="---",0,REST_rest_ele_kWh)/1000</f>
        <v>253.15879258036898</v>
      </c>
      <c r="D25" s="938"/>
      <c r="E25" s="938">
        <f>IF(onbekend_gas_kWh="---",0,onbekend_gas_kWh)/1000+IF(REST_rest_gas_kWh="---",0,REST_rest_gas_kWh)/1000</f>
        <v>202.86620990740101</v>
      </c>
      <c r="F25" s="938"/>
      <c r="G25" s="938"/>
      <c r="H25" s="938"/>
      <c r="I25" s="938"/>
      <c r="J25" s="938"/>
      <c r="K25" s="938"/>
      <c r="L25" s="938"/>
      <c r="M25" s="938"/>
      <c r="N25" s="938"/>
      <c r="O25" s="938"/>
      <c r="P25" s="938"/>
      <c r="Q25" s="939"/>
      <c r="R25" s="684">
        <f>SUM(C25:Q25)</f>
        <v>456.02500248777</v>
      </c>
      <c r="S25" s="67"/>
    </row>
    <row r="26" spans="1:19" s="443" customFormat="1" ht="15.75" thickBot="1">
      <c r="A26" s="689" t="s">
        <v>691</v>
      </c>
      <c r="B26" s="810"/>
      <c r="C26" s="805">
        <f>SUM(C24:C25)</f>
        <v>1323.8503725502089</v>
      </c>
      <c r="D26" s="805">
        <f t="shared" ref="D26:R26" si="2">SUM(D24:D25)</f>
        <v>0</v>
      </c>
      <c r="E26" s="805">
        <f t="shared" si="2"/>
        <v>244.23495873011728</v>
      </c>
      <c r="F26" s="805">
        <f t="shared" si="2"/>
        <v>30.66641879221886</v>
      </c>
      <c r="G26" s="805">
        <f t="shared" si="2"/>
        <v>3389.2564627273914</v>
      </c>
      <c r="H26" s="805">
        <f t="shared" si="2"/>
        <v>0</v>
      </c>
      <c r="I26" s="805">
        <f t="shared" si="2"/>
        <v>0</v>
      </c>
      <c r="J26" s="805">
        <f t="shared" si="2"/>
        <v>0</v>
      </c>
      <c r="K26" s="805">
        <f t="shared" si="2"/>
        <v>272.24324650962831</v>
      </c>
      <c r="L26" s="805">
        <f t="shared" si="2"/>
        <v>0</v>
      </c>
      <c r="M26" s="805">
        <f t="shared" si="2"/>
        <v>0</v>
      </c>
      <c r="N26" s="805">
        <f t="shared" si="2"/>
        <v>0</v>
      </c>
      <c r="O26" s="805">
        <f t="shared" si="2"/>
        <v>0</v>
      </c>
      <c r="P26" s="805">
        <f t="shared" si="2"/>
        <v>0</v>
      </c>
      <c r="Q26" s="805">
        <f t="shared" si="2"/>
        <v>0</v>
      </c>
      <c r="R26" s="805">
        <f t="shared" si="2"/>
        <v>5260.2514593095639</v>
      </c>
      <c r="S26" s="67"/>
    </row>
    <row r="27" spans="1:19" s="443" customFormat="1" ht="17.25" thickTop="1" thickBot="1">
      <c r="A27" s="690" t="s">
        <v>109</v>
      </c>
      <c r="B27" s="797"/>
      <c r="C27" s="691">
        <f ca="1">C22+C16+C26</f>
        <v>45618.042508077364</v>
      </c>
      <c r="D27" s="691">
        <f t="shared" ref="D27:R27" ca="1" si="3">D22+D16+D26</f>
        <v>0</v>
      </c>
      <c r="E27" s="691">
        <f t="shared" ca="1" si="3"/>
        <v>34529.807331577314</v>
      </c>
      <c r="F27" s="691">
        <f t="shared" si="3"/>
        <v>1109.4090229753556</v>
      </c>
      <c r="G27" s="691">
        <f t="shared" ca="1" si="3"/>
        <v>28285.791596035902</v>
      </c>
      <c r="H27" s="691">
        <f t="shared" si="3"/>
        <v>26940.354027940906</v>
      </c>
      <c r="I27" s="691">
        <f t="shared" si="3"/>
        <v>6850.6838741341971</v>
      </c>
      <c r="J27" s="691">
        <f t="shared" si="3"/>
        <v>0</v>
      </c>
      <c r="K27" s="691">
        <f t="shared" si="3"/>
        <v>389.10855329894559</v>
      </c>
      <c r="L27" s="691">
        <f t="shared" si="3"/>
        <v>0</v>
      </c>
      <c r="M27" s="691">
        <f t="shared" ca="1" si="3"/>
        <v>0</v>
      </c>
      <c r="N27" s="691">
        <f t="shared" si="3"/>
        <v>2032.5218633751022</v>
      </c>
      <c r="O27" s="691">
        <f t="shared" ca="1" si="3"/>
        <v>4696.9953142401218</v>
      </c>
      <c r="P27" s="691">
        <f t="shared" si="3"/>
        <v>220.09409278670768</v>
      </c>
      <c r="Q27" s="691">
        <f t="shared" si="3"/>
        <v>536.83994999614583</v>
      </c>
      <c r="R27" s="691">
        <f t="shared" ca="1" si="3"/>
        <v>151209.64813443809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1700.6047974115193</v>
      </c>
      <c r="D40" s="681">
        <f ca="1">tertiair!C20</f>
        <v>0</v>
      </c>
      <c r="E40" s="681">
        <f ca="1">tertiair!D20</f>
        <v>1132.7808889656428</v>
      </c>
      <c r="F40" s="681">
        <f>tertiair!E20</f>
        <v>6.1623933061251126</v>
      </c>
      <c r="G40" s="681">
        <f ca="1">tertiair!F20</f>
        <v>336.0485339575261</v>
      </c>
      <c r="H40" s="681">
        <f>tertiair!G20</f>
        <v>0</v>
      </c>
      <c r="I40" s="681">
        <f>tertiair!H20</f>
        <v>0</v>
      </c>
      <c r="J40" s="681">
        <f>tertiair!I20</f>
        <v>0</v>
      </c>
      <c r="K40" s="681">
        <f>tertiair!J20</f>
        <v>2.551311351516497E-3</v>
      </c>
      <c r="L40" s="681">
        <f>tertiair!K20</f>
        <v>0</v>
      </c>
      <c r="M40" s="681">
        <f ca="1">tertiair!L20</f>
        <v>0</v>
      </c>
      <c r="N40" s="681">
        <f>tertiair!M20</f>
        <v>0</v>
      </c>
      <c r="O40" s="681">
        <f ca="1">tertiair!N20</f>
        <v>0</v>
      </c>
      <c r="P40" s="681">
        <f>tertiair!O20</f>
        <v>0</v>
      </c>
      <c r="Q40" s="764">
        <f>tertiair!P20</f>
        <v>0</v>
      </c>
      <c r="R40" s="843">
        <f t="shared" ca="1" si="4"/>
        <v>3175.5991649521648</v>
      </c>
    </row>
    <row r="41" spans="1:18">
      <c r="A41" s="815" t="s">
        <v>214</v>
      </c>
      <c r="B41" s="822"/>
      <c r="C41" s="681">
        <f ca="1">huishoudens!B12</f>
        <v>2502.8087704876034</v>
      </c>
      <c r="D41" s="681">
        <f ca="1">huishoudens!C12</f>
        <v>0</v>
      </c>
      <c r="E41" s="681">
        <f>huishoudens!D12</f>
        <v>3536.4198317842706</v>
      </c>
      <c r="F41" s="681">
        <f>huishoudens!E12</f>
        <v>201.01672948483477</v>
      </c>
      <c r="G41" s="681">
        <f>huishoudens!F12</f>
        <v>5179.5578728705786</v>
      </c>
      <c r="H41" s="681">
        <f>huishoudens!G12</f>
        <v>0</v>
      </c>
      <c r="I41" s="681">
        <f>huishoudens!H12</f>
        <v>0</v>
      </c>
      <c r="J41" s="681">
        <f>huishoudens!I12</f>
        <v>0</v>
      </c>
      <c r="K41" s="681">
        <f>huishoudens!J12</f>
        <v>39.137373992961855</v>
      </c>
      <c r="L41" s="681">
        <f>huishoudens!K12</f>
        <v>0</v>
      </c>
      <c r="M41" s="681">
        <f>huishoudens!L12</f>
        <v>0</v>
      </c>
      <c r="N41" s="681">
        <f>huishoudens!M12</f>
        <v>0</v>
      </c>
      <c r="O41" s="681">
        <f>huishoudens!N12</f>
        <v>0</v>
      </c>
      <c r="P41" s="681">
        <f>huishoudens!O12</f>
        <v>0</v>
      </c>
      <c r="Q41" s="764">
        <f>huishoudens!P12</f>
        <v>0</v>
      </c>
      <c r="R41" s="843">
        <f t="shared" ca="1" si="4"/>
        <v>11458.940578620251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4968.7894285148286</v>
      </c>
      <c r="D43" s="681">
        <f ca="1">industrie!C22</f>
        <v>0</v>
      </c>
      <c r="E43" s="681">
        <f>industrie!D22</f>
        <v>2228.1772137340517</v>
      </c>
      <c r="F43" s="681">
        <f>industrie!E22</f>
        <v>25.267114226346397</v>
      </c>
      <c r="G43" s="681">
        <f>industrie!F22</f>
        <v>1131.7684737652687</v>
      </c>
      <c r="H43" s="681">
        <f>industrie!G22</f>
        <v>0</v>
      </c>
      <c r="I43" s="681">
        <f>industrie!H22</f>
        <v>0</v>
      </c>
      <c r="J43" s="681">
        <f>industrie!I22</f>
        <v>0</v>
      </c>
      <c r="K43" s="681">
        <f>industrie!J22</f>
        <v>2.2303932991049451</v>
      </c>
      <c r="L43" s="681">
        <f>industrie!K22</f>
        <v>0</v>
      </c>
      <c r="M43" s="681">
        <f>industrie!L22</f>
        <v>0</v>
      </c>
      <c r="N43" s="681">
        <f>industrie!M22</f>
        <v>0</v>
      </c>
      <c r="O43" s="681">
        <f>industrie!N22</f>
        <v>0</v>
      </c>
      <c r="P43" s="681">
        <f>industrie!O22</f>
        <v>0</v>
      </c>
      <c r="Q43" s="764">
        <f>industrie!P22</f>
        <v>0</v>
      </c>
      <c r="R43" s="842">
        <f t="shared" ca="1" si="4"/>
        <v>8356.2326235396013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9172.202996413951</v>
      </c>
      <c r="D46" s="717">
        <f t="shared" ref="D46:Q46" ca="1" si="5">SUM(D39:D45)</f>
        <v>0</v>
      </c>
      <c r="E46" s="717">
        <f t="shared" ca="1" si="5"/>
        <v>6897.3779344839659</v>
      </c>
      <c r="F46" s="717">
        <f t="shared" si="5"/>
        <v>232.44623701730629</v>
      </c>
      <c r="G46" s="717">
        <f t="shared" ca="1" si="5"/>
        <v>6647.3748805933737</v>
      </c>
      <c r="H46" s="717">
        <f t="shared" si="5"/>
        <v>0</v>
      </c>
      <c r="I46" s="717">
        <f t="shared" si="5"/>
        <v>0</v>
      </c>
      <c r="J46" s="717">
        <f t="shared" si="5"/>
        <v>0</v>
      </c>
      <c r="K46" s="717">
        <f t="shared" si="5"/>
        <v>41.370318603418319</v>
      </c>
      <c r="L46" s="717">
        <f t="shared" si="5"/>
        <v>0</v>
      </c>
      <c r="M46" s="717">
        <f t="shared" ca="1" si="5"/>
        <v>0</v>
      </c>
      <c r="N46" s="717">
        <f t="shared" si="5"/>
        <v>0</v>
      </c>
      <c r="O46" s="717">
        <f t="shared" ca="1" si="5"/>
        <v>0</v>
      </c>
      <c r="P46" s="717">
        <f t="shared" si="5"/>
        <v>0</v>
      </c>
      <c r="Q46" s="717">
        <f t="shared" si="5"/>
        <v>0</v>
      </c>
      <c r="R46" s="717">
        <f ca="1">SUM(R39:R45)</f>
        <v>22990.772367112018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1.1868221926385323</v>
      </c>
      <c r="D49" s="681">
        <f ca="1">transport!C58</f>
        <v>0</v>
      </c>
      <c r="E49" s="681">
        <f>transport!D58</f>
        <v>0</v>
      </c>
      <c r="F49" s="681">
        <f>transport!E58</f>
        <v>0</v>
      </c>
      <c r="G49" s="681">
        <f>transport!F58</f>
        <v>0</v>
      </c>
      <c r="H49" s="681">
        <f>transport!G58</f>
        <v>95.622031169579046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96.808853362217576</v>
      </c>
    </row>
    <row r="50" spans="1:18">
      <c r="A50" s="818" t="s">
        <v>296</v>
      </c>
      <c r="B50" s="828"/>
      <c r="C50" s="687">
        <f ca="1">transport!B18</f>
        <v>15.88092204195781</v>
      </c>
      <c r="D50" s="687">
        <f>transport!C18</f>
        <v>0</v>
      </c>
      <c r="E50" s="687">
        <f>transport!D18</f>
        <v>28.307684831170331</v>
      </c>
      <c r="F50" s="687">
        <f>transport!E18</f>
        <v>12.428334132265789</v>
      </c>
      <c r="G50" s="687">
        <f>transport!F18</f>
        <v>0</v>
      </c>
      <c r="H50" s="687">
        <f>transport!G18</f>
        <v>7097.4524942906437</v>
      </c>
      <c r="I50" s="687">
        <f>transport!H18</f>
        <v>1705.8202846594152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8859.8897199554522</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17.067744234596343</v>
      </c>
      <c r="D52" s="717">
        <f t="shared" ref="D52:Q52" ca="1" si="6">SUM(D48:D51)</f>
        <v>0</v>
      </c>
      <c r="E52" s="717">
        <f t="shared" si="6"/>
        <v>28.307684831170331</v>
      </c>
      <c r="F52" s="717">
        <f t="shared" si="6"/>
        <v>12.428334132265789</v>
      </c>
      <c r="G52" s="717">
        <f t="shared" si="6"/>
        <v>0</v>
      </c>
      <c r="H52" s="717">
        <f t="shared" si="6"/>
        <v>7193.0745254602225</v>
      </c>
      <c r="I52" s="717">
        <f t="shared" si="6"/>
        <v>1705.8202846594152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8956.6985733176698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222.12561813909062</v>
      </c>
      <c r="D54" s="687">
        <f ca="1">+landbouw!C12</f>
        <v>0</v>
      </c>
      <c r="E54" s="687">
        <f>+landbouw!D12</f>
        <v>8.3564872621886881</v>
      </c>
      <c r="F54" s="687">
        <f>+landbouw!E12</f>
        <v>6.9612770658336816</v>
      </c>
      <c r="G54" s="687">
        <f>+landbouw!F12</f>
        <v>904.9314755482136</v>
      </c>
      <c r="H54" s="687">
        <f>+landbouw!G12</f>
        <v>0</v>
      </c>
      <c r="I54" s="687">
        <f>+landbouw!H12</f>
        <v>0</v>
      </c>
      <c r="J54" s="687">
        <f>+landbouw!I12</f>
        <v>0</v>
      </c>
      <c r="K54" s="687">
        <f>+landbouw!J12</f>
        <v>96.374109264408418</v>
      </c>
      <c r="L54" s="687">
        <f>+landbouw!K12</f>
        <v>0</v>
      </c>
      <c r="M54" s="687">
        <f>+landbouw!L12</f>
        <v>0</v>
      </c>
      <c r="N54" s="687">
        <f>+landbouw!M12</f>
        <v>0</v>
      </c>
      <c r="O54" s="687">
        <f>+landbouw!N12</f>
        <v>0</v>
      </c>
      <c r="P54" s="687">
        <f>+landbouw!O12</f>
        <v>0</v>
      </c>
      <c r="Q54" s="688">
        <f>+landbouw!P12</f>
        <v>0</v>
      </c>
      <c r="R54" s="716">
        <f ca="1">SUM(C54:Q54)</f>
        <v>1238.7489672797349</v>
      </c>
    </row>
    <row r="55" spans="1:18" ht="15" thickBot="1">
      <c r="A55" s="818" t="s">
        <v>690</v>
      </c>
      <c r="B55" s="828"/>
      <c r="C55" s="687">
        <f ca="1">C25*'EF ele_warmte'!B12</f>
        <v>52.520309621603921</v>
      </c>
      <c r="D55" s="687"/>
      <c r="E55" s="687">
        <f>E25*EF_CO2_aardgas</f>
        <v>40.978974401295005</v>
      </c>
      <c r="F55" s="687"/>
      <c r="G55" s="687"/>
      <c r="H55" s="687"/>
      <c r="I55" s="687"/>
      <c r="J55" s="687"/>
      <c r="K55" s="687"/>
      <c r="L55" s="687"/>
      <c r="M55" s="687"/>
      <c r="N55" s="687"/>
      <c r="O55" s="687"/>
      <c r="P55" s="687"/>
      <c r="Q55" s="688"/>
      <c r="R55" s="716">
        <f ca="1">SUM(C55:Q55)</f>
        <v>93.499284022898934</v>
      </c>
    </row>
    <row r="56" spans="1:18" ht="15.75" thickBot="1">
      <c r="A56" s="816" t="s">
        <v>691</v>
      </c>
      <c r="B56" s="829"/>
      <c r="C56" s="717">
        <f ca="1">SUM(C54:C55)</f>
        <v>274.64592776069452</v>
      </c>
      <c r="D56" s="717">
        <f t="shared" ref="D56:Q56" ca="1" si="7">SUM(D54:D55)</f>
        <v>0</v>
      </c>
      <c r="E56" s="717">
        <f t="shared" si="7"/>
        <v>49.335461663483692</v>
      </c>
      <c r="F56" s="717">
        <f t="shared" si="7"/>
        <v>6.9612770658336816</v>
      </c>
      <c r="G56" s="717">
        <f t="shared" si="7"/>
        <v>904.9314755482136</v>
      </c>
      <c r="H56" s="717">
        <f t="shared" si="7"/>
        <v>0</v>
      </c>
      <c r="I56" s="717">
        <f t="shared" si="7"/>
        <v>0</v>
      </c>
      <c r="J56" s="717">
        <f t="shared" si="7"/>
        <v>0</v>
      </c>
      <c r="K56" s="717">
        <f t="shared" si="7"/>
        <v>96.374109264408418</v>
      </c>
      <c r="L56" s="717">
        <f t="shared" si="7"/>
        <v>0</v>
      </c>
      <c r="M56" s="717">
        <f t="shared" si="7"/>
        <v>0</v>
      </c>
      <c r="N56" s="717">
        <f t="shared" si="7"/>
        <v>0</v>
      </c>
      <c r="O56" s="717">
        <f t="shared" si="7"/>
        <v>0</v>
      </c>
      <c r="P56" s="717">
        <f t="shared" si="7"/>
        <v>0</v>
      </c>
      <c r="Q56" s="718">
        <f t="shared" si="7"/>
        <v>0</v>
      </c>
      <c r="R56" s="719">
        <f ca="1">SUM(R54:R55)</f>
        <v>1332.2482513026339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9463.9166684092415</v>
      </c>
      <c r="D61" s="725">
        <f t="shared" ref="D61:Q61" ca="1" si="8">D46+D52+D56</f>
        <v>0</v>
      </c>
      <c r="E61" s="725">
        <f t="shared" ca="1" si="8"/>
        <v>6975.0210809786195</v>
      </c>
      <c r="F61" s="725">
        <f t="shared" si="8"/>
        <v>251.83584821540578</v>
      </c>
      <c r="G61" s="725">
        <f t="shared" ca="1" si="8"/>
        <v>7552.3063561415875</v>
      </c>
      <c r="H61" s="725">
        <f t="shared" si="8"/>
        <v>7193.0745254602225</v>
      </c>
      <c r="I61" s="725">
        <f t="shared" si="8"/>
        <v>1705.8202846594152</v>
      </c>
      <c r="J61" s="725">
        <f t="shared" si="8"/>
        <v>0</v>
      </c>
      <c r="K61" s="725">
        <f t="shared" si="8"/>
        <v>137.74442786782674</v>
      </c>
      <c r="L61" s="725">
        <f t="shared" si="8"/>
        <v>0</v>
      </c>
      <c r="M61" s="725">
        <f t="shared" ca="1" si="8"/>
        <v>0</v>
      </c>
      <c r="N61" s="725">
        <f t="shared" si="8"/>
        <v>0</v>
      </c>
      <c r="O61" s="725">
        <f t="shared" ca="1" si="8"/>
        <v>0</v>
      </c>
      <c r="P61" s="725">
        <f t="shared" si="8"/>
        <v>0</v>
      </c>
      <c r="Q61" s="725">
        <f t="shared" si="8"/>
        <v>0</v>
      </c>
      <c r="R61" s="725">
        <f ca="1">R46+R52+R56</f>
        <v>33279.719191732322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0.2074599467246652</v>
      </c>
      <c r="D63" s="771">
        <f t="shared" ca="1" si="9"/>
        <v>0</v>
      </c>
      <c r="E63" s="963">
        <f t="shared" ca="1" si="9"/>
        <v>0.20200000000000007</v>
      </c>
      <c r="F63" s="771">
        <f t="shared" si="9"/>
        <v>0.22700000000000006</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2794.8901623341799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2794.8901623341799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12064.057713314938</v>
      </c>
      <c r="C4" s="447">
        <f>huishoudens!C8</f>
        <v>0</v>
      </c>
      <c r="D4" s="447">
        <f>huishoudens!D8</f>
        <v>17507.028870219161</v>
      </c>
      <c r="E4" s="447">
        <f>huishoudens!E8</f>
        <v>885.53625323715755</v>
      </c>
      <c r="F4" s="447">
        <f>huishoudens!F8</f>
        <v>19399.093156818646</v>
      </c>
      <c r="G4" s="447">
        <f>huishoudens!G8</f>
        <v>0</v>
      </c>
      <c r="H4" s="447">
        <f>huishoudens!H8</f>
        <v>0</v>
      </c>
      <c r="I4" s="447">
        <f>huishoudens!I8</f>
        <v>0</v>
      </c>
      <c r="J4" s="447">
        <f>huishoudens!J8</f>
        <v>110.55755365243463</v>
      </c>
      <c r="K4" s="447">
        <f>huishoudens!K8</f>
        <v>0</v>
      </c>
      <c r="L4" s="447">
        <f>huishoudens!L8</f>
        <v>0</v>
      </c>
      <c r="M4" s="447">
        <f>huishoudens!M8</f>
        <v>0</v>
      </c>
      <c r="N4" s="447">
        <f>huishoudens!N8</f>
        <v>3798.244619964597</v>
      </c>
      <c r="O4" s="447">
        <f>huishoudens!O8</f>
        <v>210.29957125502537</v>
      </c>
      <c r="P4" s="448">
        <f>huishoudens!P8</f>
        <v>379.22253507666085</v>
      </c>
      <c r="Q4" s="449">
        <f>SUM(B4:P4)</f>
        <v>54354.040273538623</v>
      </c>
    </row>
    <row r="5" spans="1:17">
      <c r="A5" s="446" t="s">
        <v>149</v>
      </c>
      <c r="B5" s="447">
        <f ca="1">tertiair!B16</f>
        <v>7543.2440715497933</v>
      </c>
      <c r="C5" s="447">
        <f ca="1">tertiair!C16</f>
        <v>0</v>
      </c>
      <c r="D5" s="447">
        <f ca="1">tertiair!D16</f>
        <v>5607.8261829982312</v>
      </c>
      <c r="E5" s="447">
        <f>tertiair!E16</f>
        <v>27.147107075441024</v>
      </c>
      <c r="F5" s="447">
        <f ca="1">tertiair!F16</f>
        <v>1258.6087414139554</v>
      </c>
      <c r="G5" s="447">
        <f>tertiair!G16</f>
        <v>0</v>
      </c>
      <c r="H5" s="447">
        <f>tertiair!H16</f>
        <v>0</v>
      </c>
      <c r="I5" s="447">
        <f>tertiair!I16</f>
        <v>0</v>
      </c>
      <c r="J5" s="447">
        <f>tertiair!J16</f>
        <v>7.2070942133234377E-3</v>
      </c>
      <c r="K5" s="447">
        <f>tertiair!K16</f>
        <v>0</v>
      </c>
      <c r="L5" s="447">
        <f ca="1">tertiair!L16</f>
        <v>0</v>
      </c>
      <c r="M5" s="447">
        <f>tertiair!M16</f>
        <v>0</v>
      </c>
      <c r="N5" s="447">
        <f ca="1">tertiair!N16</f>
        <v>285.26341663146354</v>
      </c>
      <c r="O5" s="447">
        <f>tertiair!O16</f>
        <v>9.7945215316823084</v>
      </c>
      <c r="P5" s="448">
        <f>tertiair!P16</f>
        <v>157.61741491948504</v>
      </c>
      <c r="Q5" s="446">
        <f t="shared" ref="Q5:Q14" ca="1" si="0">SUM(B5:P5)</f>
        <v>14889.508663214265</v>
      </c>
    </row>
    <row r="6" spans="1:17">
      <c r="A6" s="446" t="s">
        <v>187</v>
      </c>
      <c r="B6" s="447">
        <f>'openbare verlichting'!B8</f>
        <v>654.024</v>
      </c>
      <c r="C6" s="447"/>
      <c r="D6" s="447"/>
      <c r="E6" s="447"/>
      <c r="F6" s="447"/>
      <c r="G6" s="447"/>
      <c r="H6" s="447"/>
      <c r="I6" s="447"/>
      <c r="J6" s="447"/>
      <c r="K6" s="447"/>
      <c r="L6" s="447"/>
      <c r="M6" s="447"/>
      <c r="N6" s="447"/>
      <c r="O6" s="447"/>
      <c r="P6" s="448"/>
      <c r="Q6" s="446">
        <f t="shared" si="0"/>
        <v>654.024</v>
      </c>
    </row>
    <row r="7" spans="1:17">
      <c r="A7" s="446" t="s">
        <v>105</v>
      </c>
      <c r="B7" s="447">
        <f>landbouw!B8</f>
        <v>1070.6915799698399</v>
      </c>
      <c r="C7" s="447">
        <f>landbouw!C8</f>
        <v>0</v>
      </c>
      <c r="D7" s="447">
        <f>landbouw!D8</f>
        <v>41.368748822716277</v>
      </c>
      <c r="E7" s="447">
        <f>landbouw!E8</f>
        <v>30.66641879221886</v>
      </c>
      <c r="F7" s="447">
        <f>landbouw!F8</f>
        <v>3389.2564627273914</v>
      </c>
      <c r="G7" s="447">
        <f>landbouw!G8</f>
        <v>0</v>
      </c>
      <c r="H7" s="447">
        <f>landbouw!H8</f>
        <v>0</v>
      </c>
      <c r="I7" s="447">
        <f>landbouw!I8</f>
        <v>0</v>
      </c>
      <c r="J7" s="447">
        <f>landbouw!J8</f>
        <v>272.24324650962831</v>
      </c>
      <c r="K7" s="447">
        <f>landbouw!K8</f>
        <v>0</v>
      </c>
      <c r="L7" s="447">
        <f>landbouw!L8</f>
        <v>0</v>
      </c>
      <c r="M7" s="447">
        <f>landbouw!M8</f>
        <v>0</v>
      </c>
      <c r="N7" s="447">
        <f>landbouw!N8</f>
        <v>0</v>
      </c>
      <c r="O7" s="447">
        <f>landbouw!O8</f>
        <v>0</v>
      </c>
      <c r="P7" s="448">
        <f>landbouw!P8</f>
        <v>0</v>
      </c>
      <c r="Q7" s="446">
        <f t="shared" si="0"/>
        <v>4804.2264568217943</v>
      </c>
    </row>
    <row r="8" spans="1:17">
      <c r="A8" s="446" t="s">
        <v>611</v>
      </c>
      <c r="B8" s="447">
        <f>industrie!B18</f>
        <v>23950.596281166796</v>
      </c>
      <c r="C8" s="447">
        <f>industrie!C18</f>
        <v>0</v>
      </c>
      <c r="D8" s="447">
        <f>industrie!D18</f>
        <v>11030.580266010156</v>
      </c>
      <c r="E8" s="447">
        <f>industrie!E18</f>
        <v>111.30887324381672</v>
      </c>
      <c r="F8" s="447">
        <f>industrie!F18</f>
        <v>4238.8332350759129</v>
      </c>
      <c r="G8" s="447">
        <f>industrie!G18</f>
        <v>0</v>
      </c>
      <c r="H8" s="447">
        <f>industrie!H18</f>
        <v>0</v>
      </c>
      <c r="I8" s="447">
        <f>industrie!I18</f>
        <v>0</v>
      </c>
      <c r="J8" s="447">
        <f>industrie!J18</f>
        <v>6.3005460426693363</v>
      </c>
      <c r="K8" s="447">
        <f>industrie!K18</f>
        <v>0</v>
      </c>
      <c r="L8" s="447">
        <f>industrie!L18</f>
        <v>0</v>
      </c>
      <c r="M8" s="447">
        <f>industrie!M18</f>
        <v>0</v>
      </c>
      <c r="N8" s="447">
        <f>industrie!N18</f>
        <v>613.48727764406192</v>
      </c>
      <c r="O8" s="447">
        <f>industrie!O18</f>
        <v>0</v>
      </c>
      <c r="P8" s="448">
        <f>industrie!P18</f>
        <v>0</v>
      </c>
      <c r="Q8" s="446">
        <f t="shared" si="0"/>
        <v>39951.106479183421</v>
      </c>
    </row>
    <row r="9" spans="1:17" s="452" customFormat="1">
      <c r="A9" s="450" t="s">
        <v>537</v>
      </c>
      <c r="B9" s="451">
        <f>transport!B14</f>
        <v>76.549340210881795</v>
      </c>
      <c r="C9" s="451">
        <f>transport!C14</f>
        <v>0</v>
      </c>
      <c r="D9" s="451">
        <f>transport!D14</f>
        <v>140.13705361965509</v>
      </c>
      <c r="E9" s="451">
        <f>transport!E14</f>
        <v>54.750370626721534</v>
      </c>
      <c r="F9" s="451">
        <f>transport!F14</f>
        <v>0</v>
      </c>
      <c r="G9" s="451">
        <f>transport!G14</f>
        <v>26582.219079740236</v>
      </c>
      <c r="H9" s="451">
        <f>transport!H14</f>
        <v>6850.6838741341971</v>
      </c>
      <c r="I9" s="451">
        <f>transport!I14</f>
        <v>0</v>
      </c>
      <c r="J9" s="451">
        <f>transport!J14</f>
        <v>0</v>
      </c>
      <c r="K9" s="451">
        <f>transport!K14</f>
        <v>0</v>
      </c>
      <c r="L9" s="451">
        <f>transport!L14</f>
        <v>0</v>
      </c>
      <c r="M9" s="451">
        <f>transport!M14</f>
        <v>2011.9585476435843</v>
      </c>
      <c r="N9" s="451">
        <f>transport!N14</f>
        <v>0</v>
      </c>
      <c r="O9" s="451">
        <f>transport!O14</f>
        <v>0</v>
      </c>
      <c r="P9" s="451">
        <f>transport!P14</f>
        <v>0</v>
      </c>
      <c r="Q9" s="450">
        <f>SUM(B9:P9)</f>
        <v>35716.298265975274</v>
      </c>
    </row>
    <row r="10" spans="1:17">
      <c r="A10" s="446" t="s">
        <v>527</v>
      </c>
      <c r="B10" s="447">
        <f>transport!B54</f>
        <v>5.7207292847406732</v>
      </c>
      <c r="C10" s="447">
        <f>transport!C54</f>
        <v>0</v>
      </c>
      <c r="D10" s="447">
        <f>transport!D54</f>
        <v>0</v>
      </c>
      <c r="E10" s="447">
        <f>transport!E54</f>
        <v>0</v>
      </c>
      <c r="F10" s="447">
        <f>transport!F54</f>
        <v>0</v>
      </c>
      <c r="G10" s="447">
        <f>transport!G54</f>
        <v>358.13494820067058</v>
      </c>
      <c r="H10" s="447">
        <f>transport!H54</f>
        <v>0</v>
      </c>
      <c r="I10" s="447">
        <f>transport!I54</f>
        <v>0</v>
      </c>
      <c r="J10" s="447">
        <f>transport!J54</f>
        <v>0</v>
      </c>
      <c r="K10" s="447">
        <f>transport!K54</f>
        <v>0</v>
      </c>
      <c r="L10" s="447">
        <f>transport!L54</f>
        <v>0</v>
      </c>
      <c r="M10" s="447">
        <f>transport!M54</f>
        <v>20.563315731517829</v>
      </c>
      <c r="N10" s="447">
        <f>transport!N54</f>
        <v>0</v>
      </c>
      <c r="O10" s="447">
        <f>transport!O54</f>
        <v>0</v>
      </c>
      <c r="P10" s="448">
        <f>transport!P54</f>
        <v>0</v>
      </c>
      <c r="Q10" s="446">
        <f t="shared" si="0"/>
        <v>384.4189932169291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253.15879258036898</v>
      </c>
      <c r="C14" s="454"/>
      <c r="D14" s="454">
        <f>'SEAP template'!E25</f>
        <v>202.86620990740101</v>
      </c>
      <c r="E14" s="454"/>
      <c r="F14" s="454"/>
      <c r="G14" s="454"/>
      <c r="H14" s="454"/>
      <c r="I14" s="454"/>
      <c r="J14" s="454"/>
      <c r="K14" s="454"/>
      <c r="L14" s="454"/>
      <c r="M14" s="454"/>
      <c r="N14" s="454"/>
      <c r="O14" s="454"/>
      <c r="P14" s="455"/>
      <c r="Q14" s="446">
        <f t="shared" si="0"/>
        <v>456.02500248777</v>
      </c>
    </row>
    <row r="15" spans="1:17" s="458" customFormat="1">
      <c r="A15" s="456" t="s">
        <v>531</v>
      </c>
      <c r="B15" s="457">
        <f ca="1">SUM(B4:B14)</f>
        <v>45618.042508077357</v>
      </c>
      <c r="C15" s="457">
        <f t="shared" ref="C15:Q15" ca="1" si="1">SUM(C4:C14)</f>
        <v>0</v>
      </c>
      <c r="D15" s="457">
        <f t="shared" ca="1" si="1"/>
        <v>34529.807331577314</v>
      </c>
      <c r="E15" s="457">
        <f t="shared" si="1"/>
        <v>1109.4090229753558</v>
      </c>
      <c r="F15" s="457">
        <f t="shared" ca="1" si="1"/>
        <v>28285.791596035906</v>
      </c>
      <c r="G15" s="457">
        <f t="shared" si="1"/>
        <v>26940.354027940906</v>
      </c>
      <c r="H15" s="457">
        <f t="shared" si="1"/>
        <v>6850.6838741341971</v>
      </c>
      <c r="I15" s="457">
        <f t="shared" si="1"/>
        <v>0</v>
      </c>
      <c r="J15" s="457">
        <f t="shared" si="1"/>
        <v>389.10855329894559</v>
      </c>
      <c r="K15" s="457">
        <f t="shared" si="1"/>
        <v>0</v>
      </c>
      <c r="L15" s="457">
        <f t="shared" ca="1" si="1"/>
        <v>0</v>
      </c>
      <c r="M15" s="457">
        <f t="shared" si="1"/>
        <v>2032.5218633751022</v>
      </c>
      <c r="N15" s="457">
        <f t="shared" ca="1" si="1"/>
        <v>4696.9953142401218</v>
      </c>
      <c r="O15" s="457">
        <f t="shared" si="1"/>
        <v>220.09409278670768</v>
      </c>
      <c r="P15" s="457">
        <f t="shared" si="1"/>
        <v>536.83994999614583</v>
      </c>
      <c r="Q15" s="457">
        <f t="shared" ca="1" si="1"/>
        <v>151209.64813443809</v>
      </c>
    </row>
    <row r="17" spans="1:17">
      <c r="A17" s="459" t="s">
        <v>532</v>
      </c>
      <c r="B17" s="776">
        <f ca="1">huishoudens!B10</f>
        <v>0.20745994672466522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2502.8087704876034</v>
      </c>
      <c r="C22" s="447">
        <f t="shared" ref="C22:C32" ca="1" si="3">C4*$C$17</f>
        <v>0</v>
      </c>
      <c r="D22" s="447">
        <f t="shared" ref="D22:D32" si="4">D4*$D$17</f>
        <v>3536.4198317842706</v>
      </c>
      <c r="E22" s="447">
        <f t="shared" ref="E22:E32" si="5">E4*$E$17</f>
        <v>201.01672948483477</v>
      </c>
      <c r="F22" s="447">
        <f t="shared" ref="F22:F32" si="6">F4*$F$17</f>
        <v>5179.5578728705786</v>
      </c>
      <c r="G22" s="447">
        <f t="shared" ref="G22:G32" si="7">G4*$G$17</f>
        <v>0</v>
      </c>
      <c r="H22" s="447">
        <f t="shared" ref="H22:H32" si="8">H4*$H$17</f>
        <v>0</v>
      </c>
      <c r="I22" s="447">
        <f t="shared" ref="I22:I32" si="9">I4*$I$17</f>
        <v>0</v>
      </c>
      <c r="J22" s="447">
        <f t="shared" ref="J22:J32" si="10">J4*$J$17</f>
        <v>39.137373992961855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11458.940578620251</v>
      </c>
    </row>
    <row r="23" spans="1:17">
      <c r="A23" s="446" t="s">
        <v>149</v>
      </c>
      <c r="B23" s="447">
        <f t="shared" ca="1" si="2"/>
        <v>1564.9210132148669</v>
      </c>
      <c r="C23" s="447">
        <f t="shared" ca="1" si="3"/>
        <v>0</v>
      </c>
      <c r="D23" s="447">
        <f t="shared" ca="1" si="4"/>
        <v>1132.7808889656428</v>
      </c>
      <c r="E23" s="447">
        <f t="shared" si="5"/>
        <v>6.1623933061251126</v>
      </c>
      <c r="F23" s="447">
        <f t="shared" ca="1" si="6"/>
        <v>336.0485339575261</v>
      </c>
      <c r="G23" s="447">
        <f t="shared" si="7"/>
        <v>0</v>
      </c>
      <c r="H23" s="447">
        <f t="shared" si="8"/>
        <v>0</v>
      </c>
      <c r="I23" s="447">
        <f t="shared" si="9"/>
        <v>0</v>
      </c>
      <c r="J23" s="447">
        <f t="shared" si="10"/>
        <v>2.551311351516497E-3</v>
      </c>
      <c r="K23" s="447">
        <f t="shared" si="11"/>
        <v>0</v>
      </c>
      <c r="L23" s="447">
        <f t="shared" ca="1" si="12"/>
        <v>0</v>
      </c>
      <c r="M23" s="447">
        <f t="shared" si="13"/>
        <v>0</v>
      </c>
      <c r="N23" s="447">
        <f t="shared" ca="1" si="14"/>
        <v>0</v>
      </c>
      <c r="O23" s="447">
        <f t="shared" si="15"/>
        <v>0</v>
      </c>
      <c r="P23" s="448">
        <f t="shared" si="16"/>
        <v>0</v>
      </c>
      <c r="Q23" s="446">
        <f t="shared" ref="Q23:Q31" ca="1" si="17">SUM(B23:P23)</f>
        <v>3039.9153807555126</v>
      </c>
    </row>
    <row r="24" spans="1:17">
      <c r="A24" s="446" t="s">
        <v>187</v>
      </c>
      <c r="B24" s="447">
        <f t="shared" ca="1" si="2"/>
        <v>135.68378419665245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135.68378419665245</v>
      </c>
    </row>
    <row r="25" spans="1:17">
      <c r="A25" s="446" t="s">
        <v>105</v>
      </c>
      <c r="B25" s="447">
        <f t="shared" ca="1" si="2"/>
        <v>222.12561813909062</v>
      </c>
      <c r="C25" s="447">
        <f t="shared" ca="1" si="3"/>
        <v>0</v>
      </c>
      <c r="D25" s="447">
        <f t="shared" si="4"/>
        <v>8.3564872621886881</v>
      </c>
      <c r="E25" s="447">
        <f t="shared" si="5"/>
        <v>6.9612770658336816</v>
      </c>
      <c r="F25" s="447">
        <f t="shared" si="6"/>
        <v>904.9314755482136</v>
      </c>
      <c r="G25" s="447">
        <f t="shared" si="7"/>
        <v>0</v>
      </c>
      <c r="H25" s="447">
        <f t="shared" si="8"/>
        <v>0</v>
      </c>
      <c r="I25" s="447">
        <f t="shared" si="9"/>
        <v>0</v>
      </c>
      <c r="J25" s="447">
        <f t="shared" si="10"/>
        <v>96.374109264408418</v>
      </c>
      <c r="K25" s="447">
        <f t="shared" si="11"/>
        <v>0</v>
      </c>
      <c r="L25" s="447">
        <f t="shared" si="12"/>
        <v>0</v>
      </c>
      <c r="M25" s="447">
        <f t="shared" si="13"/>
        <v>0</v>
      </c>
      <c r="N25" s="447">
        <f t="shared" si="14"/>
        <v>0</v>
      </c>
      <c r="O25" s="447">
        <f t="shared" si="15"/>
        <v>0</v>
      </c>
      <c r="P25" s="448">
        <f t="shared" si="16"/>
        <v>0</v>
      </c>
      <c r="Q25" s="446">
        <f t="shared" ca="1" si="17"/>
        <v>1238.7489672797349</v>
      </c>
    </row>
    <row r="26" spans="1:17">
      <c r="A26" s="446" t="s">
        <v>611</v>
      </c>
      <c r="B26" s="447">
        <f t="shared" ca="1" si="2"/>
        <v>4968.7894285148286</v>
      </c>
      <c r="C26" s="447">
        <f t="shared" ca="1" si="3"/>
        <v>0</v>
      </c>
      <c r="D26" s="447">
        <f t="shared" si="4"/>
        <v>2228.1772137340517</v>
      </c>
      <c r="E26" s="447">
        <f t="shared" si="5"/>
        <v>25.267114226346397</v>
      </c>
      <c r="F26" s="447">
        <f t="shared" si="6"/>
        <v>1131.7684737652687</v>
      </c>
      <c r="G26" s="447">
        <f t="shared" si="7"/>
        <v>0</v>
      </c>
      <c r="H26" s="447">
        <f t="shared" si="8"/>
        <v>0</v>
      </c>
      <c r="I26" s="447">
        <f t="shared" si="9"/>
        <v>0</v>
      </c>
      <c r="J26" s="447">
        <f t="shared" si="10"/>
        <v>2.2303932991049451</v>
      </c>
      <c r="K26" s="447">
        <f t="shared" si="11"/>
        <v>0</v>
      </c>
      <c r="L26" s="447">
        <f t="shared" si="12"/>
        <v>0</v>
      </c>
      <c r="M26" s="447">
        <f t="shared" si="13"/>
        <v>0</v>
      </c>
      <c r="N26" s="447">
        <f t="shared" si="14"/>
        <v>0</v>
      </c>
      <c r="O26" s="447">
        <f t="shared" si="15"/>
        <v>0</v>
      </c>
      <c r="P26" s="448">
        <f t="shared" si="16"/>
        <v>0</v>
      </c>
      <c r="Q26" s="446">
        <f t="shared" ca="1" si="17"/>
        <v>8356.2326235396013</v>
      </c>
    </row>
    <row r="27" spans="1:17" s="452" customFormat="1">
      <c r="A27" s="450" t="s">
        <v>537</v>
      </c>
      <c r="B27" s="770">
        <f t="shared" ca="1" si="2"/>
        <v>15.88092204195781</v>
      </c>
      <c r="C27" s="451">
        <f t="shared" ca="1" si="3"/>
        <v>0</v>
      </c>
      <c r="D27" s="451">
        <f t="shared" si="4"/>
        <v>28.307684831170331</v>
      </c>
      <c r="E27" s="451">
        <f t="shared" si="5"/>
        <v>12.428334132265789</v>
      </c>
      <c r="F27" s="451">
        <f t="shared" si="6"/>
        <v>0</v>
      </c>
      <c r="G27" s="451">
        <f t="shared" si="7"/>
        <v>7097.4524942906437</v>
      </c>
      <c r="H27" s="451">
        <f t="shared" si="8"/>
        <v>1705.8202846594152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8859.8897199554522</v>
      </c>
    </row>
    <row r="28" spans="1:17" ht="16.5" customHeight="1">
      <c r="A28" s="446" t="s">
        <v>527</v>
      </c>
      <c r="B28" s="447">
        <f t="shared" ca="1" si="2"/>
        <v>1.1868221926385323</v>
      </c>
      <c r="C28" s="447">
        <f t="shared" ca="1" si="3"/>
        <v>0</v>
      </c>
      <c r="D28" s="447">
        <f t="shared" si="4"/>
        <v>0</v>
      </c>
      <c r="E28" s="447">
        <f t="shared" si="5"/>
        <v>0</v>
      </c>
      <c r="F28" s="447">
        <f t="shared" si="6"/>
        <v>0</v>
      </c>
      <c r="G28" s="447">
        <f t="shared" si="7"/>
        <v>95.622031169579046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96.808853362217576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52.520309621603921</v>
      </c>
      <c r="C32" s="447">
        <f t="shared" ca="1" si="3"/>
        <v>0</v>
      </c>
      <c r="D32" s="447">
        <f t="shared" si="4"/>
        <v>40.978974401295005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93.499284022898934</v>
      </c>
    </row>
    <row r="33" spans="1:17" s="458" customFormat="1">
      <c r="A33" s="456" t="s">
        <v>531</v>
      </c>
      <c r="B33" s="457">
        <f ca="1">SUM(B22:B32)</f>
        <v>9463.9166684092415</v>
      </c>
      <c r="C33" s="457">
        <f t="shared" ref="C33:Q33" ca="1" si="19">SUM(C22:C32)</f>
        <v>0</v>
      </c>
      <c r="D33" s="457">
        <f t="shared" ca="1" si="19"/>
        <v>6975.0210809786195</v>
      </c>
      <c r="E33" s="457">
        <f t="shared" si="19"/>
        <v>251.83584821540575</v>
      </c>
      <c r="F33" s="457">
        <f t="shared" ca="1" si="19"/>
        <v>7552.3063561415875</v>
      </c>
      <c r="G33" s="457">
        <f t="shared" si="19"/>
        <v>7193.0745254602225</v>
      </c>
      <c r="H33" s="457">
        <f t="shared" si="19"/>
        <v>1705.8202846594152</v>
      </c>
      <c r="I33" s="457">
        <f t="shared" si="19"/>
        <v>0</v>
      </c>
      <c r="J33" s="457">
        <f t="shared" si="19"/>
        <v>137.74442786782674</v>
      </c>
      <c r="K33" s="457">
        <f t="shared" si="19"/>
        <v>0</v>
      </c>
      <c r="L33" s="457">
        <f t="shared" ca="1" si="19"/>
        <v>0</v>
      </c>
      <c r="M33" s="457">
        <f t="shared" si="19"/>
        <v>0</v>
      </c>
      <c r="N33" s="457">
        <f t="shared" ca="1" si="19"/>
        <v>0</v>
      </c>
      <c r="O33" s="457">
        <f t="shared" si="19"/>
        <v>0</v>
      </c>
      <c r="P33" s="457">
        <f t="shared" si="19"/>
        <v>0</v>
      </c>
      <c r="Q33" s="457">
        <f t="shared" ca="1" si="19"/>
        <v>33279.719191732322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2794.8901623341799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2794.8901623341799</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0.20745994672466522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0.20745994672466522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0.20745994672466522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0.20745994672466522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2743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1784.11</v>
      </c>
      <c r="C14" s="326"/>
      <c r="D14" s="326"/>
      <c r="E14" s="326"/>
      <c r="F14" s="326"/>
    </row>
    <row r="15" spans="1:6">
      <c r="A15" s="1310" t="s">
        <v>177</v>
      </c>
      <c r="B15" s="1311">
        <v>16</v>
      </c>
      <c r="C15" s="326"/>
      <c r="D15" s="326"/>
      <c r="E15" s="326"/>
      <c r="F15" s="326"/>
    </row>
    <row r="16" spans="1:6">
      <c r="A16" s="1310" t="s">
        <v>6</v>
      </c>
      <c r="B16" s="1311">
        <v>576</v>
      </c>
      <c r="C16" s="326"/>
      <c r="D16" s="326"/>
      <c r="E16" s="326"/>
      <c r="F16" s="326"/>
    </row>
    <row r="17" spans="1:6">
      <c r="A17" s="1310" t="s">
        <v>7</v>
      </c>
      <c r="B17" s="1311">
        <v>449</v>
      </c>
      <c r="C17" s="326"/>
      <c r="D17" s="326"/>
      <c r="E17" s="326"/>
      <c r="F17" s="326"/>
    </row>
    <row r="18" spans="1:6">
      <c r="A18" s="1310" t="s">
        <v>8</v>
      </c>
      <c r="B18" s="1311">
        <v>611</v>
      </c>
      <c r="C18" s="326"/>
      <c r="D18" s="326"/>
      <c r="E18" s="326"/>
      <c r="F18" s="326"/>
    </row>
    <row r="19" spans="1:6">
      <c r="A19" s="1310" t="s">
        <v>9</v>
      </c>
      <c r="B19" s="1311">
        <v>607</v>
      </c>
      <c r="C19" s="326"/>
      <c r="D19" s="326"/>
      <c r="E19" s="326"/>
      <c r="F19" s="326"/>
    </row>
    <row r="20" spans="1:6">
      <c r="A20" s="1310" t="s">
        <v>10</v>
      </c>
      <c r="B20" s="1311">
        <v>417</v>
      </c>
      <c r="C20" s="326"/>
      <c r="D20" s="326"/>
      <c r="E20" s="326"/>
      <c r="F20" s="326"/>
    </row>
    <row r="21" spans="1:6">
      <c r="A21" s="1310" t="s">
        <v>11</v>
      </c>
      <c r="B21" s="1311">
        <v>3338</v>
      </c>
      <c r="C21" s="326"/>
      <c r="D21" s="326"/>
      <c r="E21" s="326"/>
      <c r="F21" s="326"/>
    </row>
    <row r="22" spans="1:6">
      <c r="A22" s="1310" t="s">
        <v>12</v>
      </c>
      <c r="B22" s="1311">
        <v>4738</v>
      </c>
      <c r="C22" s="326"/>
      <c r="D22" s="326"/>
      <c r="E22" s="326"/>
      <c r="F22" s="326"/>
    </row>
    <row r="23" spans="1:6">
      <c r="A23" s="1310" t="s">
        <v>13</v>
      </c>
      <c r="B23" s="1311">
        <v>91</v>
      </c>
      <c r="C23" s="326"/>
      <c r="D23" s="326"/>
      <c r="E23" s="326"/>
      <c r="F23" s="326"/>
    </row>
    <row r="24" spans="1:6">
      <c r="A24" s="1310" t="s">
        <v>14</v>
      </c>
      <c r="B24" s="1311">
        <v>5</v>
      </c>
      <c r="C24" s="326"/>
      <c r="D24" s="326"/>
      <c r="E24" s="326"/>
      <c r="F24" s="326"/>
    </row>
    <row r="25" spans="1:6">
      <c r="A25" s="1310" t="s">
        <v>15</v>
      </c>
      <c r="B25" s="1311">
        <v>742</v>
      </c>
      <c r="C25" s="326"/>
      <c r="D25" s="326"/>
      <c r="E25" s="326"/>
      <c r="F25" s="326"/>
    </row>
    <row r="26" spans="1:6">
      <c r="A26" s="1310" t="s">
        <v>16</v>
      </c>
      <c r="B26" s="1311">
        <v>258</v>
      </c>
      <c r="C26" s="326"/>
      <c r="D26" s="326"/>
      <c r="E26" s="326"/>
      <c r="F26" s="326"/>
    </row>
    <row r="27" spans="1:6">
      <c r="A27" s="1310" t="s">
        <v>17</v>
      </c>
      <c r="B27" s="1311">
        <v>4</v>
      </c>
      <c r="C27" s="326"/>
      <c r="D27" s="326"/>
      <c r="E27" s="326"/>
      <c r="F27" s="326"/>
    </row>
    <row r="28" spans="1:6">
      <c r="A28" s="1310" t="s">
        <v>18</v>
      </c>
      <c r="B28" s="1312">
        <v>27828</v>
      </c>
      <c r="C28" s="326"/>
      <c r="D28" s="326"/>
      <c r="E28" s="326"/>
      <c r="F28" s="326"/>
    </row>
    <row r="29" spans="1:6">
      <c r="A29" s="1310" t="s">
        <v>678</v>
      </c>
      <c r="B29" s="1312">
        <v>17</v>
      </c>
      <c r="C29" s="326"/>
      <c r="D29" s="326"/>
      <c r="E29" s="326"/>
      <c r="F29" s="326"/>
    </row>
    <row r="30" spans="1:6">
      <c r="A30" s="1305" t="s">
        <v>679</v>
      </c>
      <c r="B30" s="1313">
        <v>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0</v>
      </c>
      <c r="E38" s="1311">
        <v>3</v>
      </c>
      <c r="F38" s="1311">
        <v>15241.809381491199</v>
      </c>
    </row>
    <row r="39" spans="1:6">
      <c r="A39" s="1310" t="s">
        <v>29</v>
      </c>
      <c r="B39" s="1310" t="s">
        <v>30</v>
      </c>
      <c r="C39" s="1311">
        <v>1381</v>
      </c>
      <c r="D39" s="1311">
        <v>19387628.870674599</v>
      </c>
      <c r="E39" s="1311">
        <v>2675</v>
      </c>
      <c r="F39" s="1311">
        <v>10121522.413825501</v>
      </c>
    </row>
    <row r="40" spans="1:6">
      <c r="A40" s="1310" t="s">
        <v>29</v>
      </c>
      <c r="B40" s="1310" t="s">
        <v>28</v>
      </c>
      <c r="C40" s="1311">
        <v>0</v>
      </c>
      <c r="D40" s="1311">
        <v>0</v>
      </c>
      <c r="E40" s="1311">
        <v>1</v>
      </c>
      <c r="F40" s="1311">
        <v>20589.753174481699</v>
      </c>
    </row>
    <row r="41" spans="1:6">
      <c r="A41" s="1310" t="s">
        <v>31</v>
      </c>
      <c r="B41" s="1310" t="s">
        <v>32</v>
      </c>
      <c r="C41" s="1311">
        <v>33</v>
      </c>
      <c r="D41" s="1311">
        <v>1355372.4029176</v>
      </c>
      <c r="E41" s="1311">
        <v>96</v>
      </c>
      <c r="F41" s="1311">
        <v>5751542.88329277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13</v>
      </c>
      <c r="F44" s="1311">
        <v>99990.068125194099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6</v>
      </c>
      <c r="F47" s="1311">
        <v>155936.281768613</v>
      </c>
    </row>
    <row r="48" spans="1:6">
      <c r="A48" s="1310" t="s">
        <v>31</v>
      </c>
      <c r="B48" s="1310" t="s">
        <v>28</v>
      </c>
      <c r="C48" s="1311">
        <v>6</v>
      </c>
      <c r="D48" s="1311">
        <v>156834.84101344421</v>
      </c>
      <c r="E48" s="1311">
        <v>2</v>
      </c>
      <c r="F48" s="1311">
        <v>1139658.62565098</v>
      </c>
    </row>
    <row r="49" spans="1:6">
      <c r="A49" s="1310" t="s">
        <v>31</v>
      </c>
      <c r="B49" s="1310" t="s">
        <v>39</v>
      </c>
      <c r="C49" s="1311">
        <v>0</v>
      </c>
      <c r="D49" s="1311">
        <v>0</v>
      </c>
      <c r="E49" s="1311">
        <v>5</v>
      </c>
      <c r="F49" s="1311">
        <v>8182763.9022664698</v>
      </c>
    </row>
    <row r="50" spans="1:6">
      <c r="A50" s="1310" t="s">
        <v>31</v>
      </c>
      <c r="B50" s="1310" t="s">
        <v>40</v>
      </c>
      <c r="C50" s="1311">
        <v>4</v>
      </c>
      <c r="D50" s="1311">
        <v>10703274.7782286</v>
      </c>
      <c r="E50" s="1311">
        <v>8</v>
      </c>
      <c r="F50" s="1311">
        <v>8620704.5200627707</v>
      </c>
    </row>
    <row r="51" spans="1:6">
      <c r="A51" s="1310" t="s">
        <v>41</v>
      </c>
      <c r="B51" s="1310" t="s">
        <v>42</v>
      </c>
      <c r="C51" s="1311">
        <v>4</v>
      </c>
      <c r="D51" s="1311">
        <v>45812.567909984798</v>
      </c>
      <c r="E51" s="1311">
        <v>48</v>
      </c>
      <c r="F51" s="1311">
        <v>1070691.5799698399</v>
      </c>
    </row>
    <row r="52" spans="1:6">
      <c r="A52" s="1310" t="s">
        <v>41</v>
      </c>
      <c r="B52" s="1310" t="s">
        <v>28</v>
      </c>
      <c r="C52" s="1311">
        <v>0</v>
      </c>
      <c r="D52" s="1311">
        <v>0</v>
      </c>
      <c r="E52" s="1311">
        <v>0</v>
      </c>
      <c r="F52" s="1311">
        <v>0</v>
      </c>
    </row>
    <row r="53" spans="1:6">
      <c r="A53" s="1310" t="s">
        <v>43</v>
      </c>
      <c r="B53" s="1310" t="s">
        <v>44</v>
      </c>
      <c r="C53" s="1311">
        <v>23</v>
      </c>
      <c r="D53" s="1311">
        <v>202866.209907401</v>
      </c>
      <c r="E53" s="1311">
        <v>87</v>
      </c>
      <c r="F53" s="1311">
        <v>253158.79258036899</v>
      </c>
    </row>
    <row r="54" spans="1:6">
      <c r="A54" s="1310" t="s">
        <v>45</v>
      </c>
      <c r="B54" s="1310" t="s">
        <v>46</v>
      </c>
      <c r="C54" s="1311">
        <v>0</v>
      </c>
      <c r="D54" s="1311">
        <v>0</v>
      </c>
      <c r="E54" s="1311">
        <v>1</v>
      </c>
      <c r="F54" s="1311">
        <v>654024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23</v>
      </c>
      <c r="D57" s="1311">
        <v>547747.23371770896</v>
      </c>
      <c r="E57" s="1311">
        <v>50</v>
      </c>
      <c r="F57" s="1311">
        <v>712573.81518710998</v>
      </c>
    </row>
    <row r="58" spans="1:6">
      <c r="A58" s="1310" t="s">
        <v>48</v>
      </c>
      <c r="B58" s="1310" t="s">
        <v>50</v>
      </c>
      <c r="C58" s="1311">
        <v>19</v>
      </c>
      <c r="D58" s="1311">
        <v>898758.228269691</v>
      </c>
      <c r="E58" s="1311">
        <v>28</v>
      </c>
      <c r="F58" s="1311">
        <v>1069759.5470110399</v>
      </c>
    </row>
    <row r="59" spans="1:6">
      <c r="A59" s="1310" t="s">
        <v>48</v>
      </c>
      <c r="B59" s="1310" t="s">
        <v>51</v>
      </c>
      <c r="C59" s="1311">
        <v>27</v>
      </c>
      <c r="D59" s="1311">
        <v>766931.31786511501</v>
      </c>
      <c r="E59" s="1311">
        <v>82</v>
      </c>
      <c r="F59" s="1311">
        <v>2176198.7988848998</v>
      </c>
    </row>
    <row r="60" spans="1:6">
      <c r="A60" s="1310" t="s">
        <v>48</v>
      </c>
      <c r="B60" s="1310" t="s">
        <v>52</v>
      </c>
      <c r="C60" s="1311">
        <v>21</v>
      </c>
      <c r="D60" s="1311">
        <v>1126427.1175203701</v>
      </c>
      <c r="E60" s="1311">
        <v>48</v>
      </c>
      <c r="F60" s="1311">
        <v>1139579.8273710301</v>
      </c>
    </row>
    <row r="61" spans="1:6">
      <c r="A61" s="1310" t="s">
        <v>48</v>
      </c>
      <c r="B61" s="1310" t="s">
        <v>53</v>
      </c>
      <c r="C61" s="1311">
        <v>62</v>
      </c>
      <c r="D61" s="1311">
        <v>2659217.2573087402</v>
      </c>
      <c r="E61" s="1311">
        <v>176</v>
      </c>
      <c r="F61" s="1311">
        <v>2154046.1988829901</v>
      </c>
    </row>
    <row r="62" spans="1:6">
      <c r="A62" s="1310" t="s">
        <v>48</v>
      </c>
      <c r="B62" s="1310" t="s">
        <v>54</v>
      </c>
      <c r="C62" s="1311">
        <v>0</v>
      </c>
      <c r="D62" s="1311">
        <v>0</v>
      </c>
      <c r="E62" s="1311">
        <v>6</v>
      </c>
      <c r="F62" s="1311">
        <v>291085.884212723</v>
      </c>
    </row>
    <row r="63" spans="1:6">
      <c r="A63" s="1310" t="s">
        <v>48</v>
      </c>
      <c r="B63" s="1310" t="s">
        <v>28</v>
      </c>
      <c r="C63" s="1311">
        <v>2</v>
      </c>
      <c r="D63" s="1311">
        <v>211136.10223778899</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23826.414150615099</v>
      </c>
    </row>
    <row r="66" spans="1:6">
      <c r="A66" s="1310" t="s">
        <v>55</v>
      </c>
      <c r="B66" s="1310" t="s">
        <v>57</v>
      </c>
      <c r="C66" s="1311">
        <v>0</v>
      </c>
      <c r="D66" s="1311">
        <v>0</v>
      </c>
      <c r="E66" s="1311">
        <v>4</v>
      </c>
      <c r="F66" s="1311">
        <v>32227.861290929901</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28384150</v>
      </c>
      <c r="E73" s="445"/>
      <c r="F73" s="326"/>
    </row>
    <row r="74" spans="1:6">
      <c r="A74" s="1310" t="s">
        <v>63</v>
      </c>
      <c r="B74" s="1310" t="s">
        <v>632</v>
      </c>
      <c r="C74" s="1323" t="s">
        <v>634</v>
      </c>
      <c r="D74" s="1311">
        <v>3472633.969341828</v>
      </c>
      <c r="E74" s="445"/>
      <c r="F74" s="326"/>
    </row>
    <row r="75" spans="1:6">
      <c r="A75" s="1310" t="s">
        <v>64</v>
      </c>
      <c r="B75" s="1310" t="s">
        <v>631</v>
      </c>
      <c r="C75" s="1323" t="s">
        <v>635</v>
      </c>
      <c r="D75" s="1311">
        <v>8640825</v>
      </c>
      <c r="E75" s="445"/>
      <c r="F75" s="326"/>
    </row>
    <row r="76" spans="1:6">
      <c r="A76" s="1310" t="s">
        <v>64</v>
      </c>
      <c r="B76" s="1310" t="s">
        <v>632</v>
      </c>
      <c r="C76" s="1323" t="s">
        <v>636</v>
      </c>
      <c r="D76" s="1311">
        <v>372367.96934182802</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106704.061316344</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1921.9455463149543</v>
      </c>
      <c r="C91" s="326"/>
      <c r="D91" s="326"/>
      <c r="E91" s="326"/>
      <c r="F91" s="326"/>
    </row>
    <row r="92" spans="1:6">
      <c r="A92" s="1305" t="s">
        <v>68</v>
      </c>
      <c r="B92" s="1306">
        <v>872.94461601922569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344</v>
      </c>
      <c r="C97" s="326"/>
      <c r="D97" s="326"/>
      <c r="E97" s="326"/>
      <c r="F97" s="326"/>
    </row>
    <row r="98" spans="1:6">
      <c r="A98" s="1310" t="s">
        <v>71</v>
      </c>
      <c r="B98" s="1311">
        <v>1</v>
      </c>
      <c r="C98" s="326"/>
      <c r="D98" s="326"/>
      <c r="E98" s="326"/>
      <c r="F98" s="326"/>
    </row>
    <row r="99" spans="1:6">
      <c r="A99" s="1310" t="s">
        <v>72</v>
      </c>
      <c r="B99" s="1311">
        <v>53</v>
      </c>
      <c r="C99" s="326"/>
      <c r="D99" s="326"/>
      <c r="E99" s="326"/>
      <c r="F99" s="326"/>
    </row>
    <row r="100" spans="1:6">
      <c r="A100" s="1310" t="s">
        <v>73</v>
      </c>
      <c r="B100" s="1311">
        <v>270</v>
      </c>
      <c r="C100" s="326"/>
      <c r="D100" s="326"/>
      <c r="E100" s="326"/>
      <c r="F100" s="326"/>
    </row>
    <row r="101" spans="1:6">
      <c r="A101" s="1310" t="s">
        <v>74</v>
      </c>
      <c r="B101" s="1311">
        <v>72</v>
      </c>
      <c r="C101" s="326"/>
      <c r="D101" s="326"/>
      <c r="E101" s="326"/>
      <c r="F101" s="326"/>
    </row>
    <row r="102" spans="1:6">
      <c r="A102" s="1310" t="s">
        <v>75</v>
      </c>
      <c r="B102" s="1311">
        <v>42</v>
      </c>
      <c r="C102" s="326"/>
      <c r="D102" s="326"/>
      <c r="E102" s="326"/>
      <c r="F102" s="326"/>
    </row>
    <row r="103" spans="1:6">
      <c r="A103" s="1310" t="s">
        <v>76</v>
      </c>
      <c r="B103" s="1311">
        <v>142</v>
      </c>
      <c r="C103" s="326"/>
      <c r="D103" s="326"/>
      <c r="E103" s="326"/>
      <c r="F103" s="326"/>
    </row>
    <row r="104" spans="1:6">
      <c r="A104" s="1310" t="s">
        <v>77</v>
      </c>
      <c r="B104" s="1311">
        <v>1403</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17</v>
      </c>
      <c r="C123" s="1311">
        <v>15</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91</v>
      </c>
      <c r="C129" s="326"/>
      <c r="D129" s="326"/>
      <c r="E129" s="326"/>
      <c r="F129" s="326"/>
    </row>
    <row r="130" spans="1:6">
      <c r="A130" s="1310" t="s">
        <v>284</v>
      </c>
      <c r="B130" s="1311">
        <v>2</v>
      </c>
      <c r="C130" s="326"/>
      <c r="D130" s="326"/>
      <c r="E130" s="326"/>
      <c r="F130" s="326"/>
    </row>
    <row r="131" spans="1:6">
      <c r="A131" s="1310" t="s">
        <v>285</v>
      </c>
      <c r="B131" s="1311">
        <v>1</v>
      </c>
      <c r="C131" s="326"/>
      <c r="D131" s="326"/>
      <c r="E131" s="326"/>
      <c r="F131" s="326"/>
    </row>
    <row r="132" spans="1:6">
      <c r="A132" s="1305" t="s">
        <v>286</v>
      </c>
      <c r="B132" s="1306">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45618.042508077364</v>
      </c>
      <c r="C3" s="43" t="s">
        <v>163</v>
      </c>
      <c r="D3" s="43"/>
      <c r="E3" s="154"/>
      <c r="F3" s="43"/>
      <c r="G3" s="43"/>
      <c r="H3" s="43"/>
      <c r="I3" s="43"/>
      <c r="J3" s="43"/>
      <c r="K3" s="96"/>
    </row>
    <row r="4" spans="1:11">
      <c r="A4" s="352" t="s">
        <v>164</v>
      </c>
      <c r="B4" s="49">
        <f>IF(ISERROR('SEAP template'!B78+'SEAP template'!C78),0,'SEAP template'!B78+'SEAP template'!C78)</f>
        <v>2794.8901623341799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0.20745994672466522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654.024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654.024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0.20745994672466522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135.68378419665245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10142.112166999983</v>
      </c>
      <c r="C5" s="17">
        <f>IF(ISERROR('Eigen informatie GS &amp; warmtenet'!B59),0,'Eigen informatie GS &amp; warmtenet'!B59)</f>
        <v>0</v>
      </c>
      <c r="D5" s="30">
        <f>(SUM(HH_hh_gas_kWh,HH_rest_gas_kWh)/1000)*0.903</f>
        <v>17507.028870219161</v>
      </c>
      <c r="E5" s="17">
        <f>B32*B41</f>
        <v>885.53625323715755</v>
      </c>
      <c r="F5" s="17">
        <f>B36*B45</f>
        <v>19399.093156818646</v>
      </c>
      <c r="G5" s="18"/>
      <c r="H5" s="17"/>
      <c r="I5" s="17"/>
      <c r="J5" s="17">
        <f>B35*B44+C35*C44</f>
        <v>110.55755365243463</v>
      </c>
      <c r="K5" s="17"/>
      <c r="L5" s="17"/>
      <c r="M5" s="17"/>
      <c r="N5" s="17">
        <f>B34*B43+C34*C43</f>
        <v>3798.244619964597</v>
      </c>
      <c r="O5" s="17">
        <f>B52*B53*B54</f>
        <v>210.29957125502537</v>
      </c>
      <c r="P5" s="17">
        <f>B60*B61*B62/1000-B60*B61*B62/1000/B63</f>
        <v>379.22253507666085</v>
      </c>
    </row>
    <row r="6" spans="1:16">
      <c r="A6" s="16" t="s">
        <v>597</v>
      </c>
      <c r="B6" s="778">
        <f>kWh_PV_kleiner_dan_10kW</f>
        <v>1921.9455463149543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12064.057713314938</v>
      </c>
      <c r="C8" s="21">
        <f>C5</f>
        <v>0</v>
      </c>
      <c r="D8" s="21">
        <f>D5</f>
        <v>17507.028870219161</v>
      </c>
      <c r="E8" s="21">
        <f>E5</f>
        <v>885.53625323715755</v>
      </c>
      <c r="F8" s="21">
        <f>F5</f>
        <v>19399.093156818646</v>
      </c>
      <c r="G8" s="21"/>
      <c r="H8" s="21"/>
      <c r="I8" s="21"/>
      <c r="J8" s="21">
        <f>J5</f>
        <v>110.55755365243463</v>
      </c>
      <c r="K8" s="21"/>
      <c r="L8" s="21">
        <f>L5</f>
        <v>0</v>
      </c>
      <c r="M8" s="21">
        <f>M5</f>
        <v>0</v>
      </c>
      <c r="N8" s="21">
        <f>N5</f>
        <v>3798.244619964597</v>
      </c>
      <c r="O8" s="21">
        <f>O5</f>
        <v>210.29957125502537</v>
      </c>
      <c r="P8" s="21">
        <f>P5</f>
        <v>379.22253507666085</v>
      </c>
    </row>
    <row r="9" spans="1:16">
      <c r="B9" s="19"/>
      <c r="C9" s="19"/>
      <c r="D9" s="254"/>
      <c r="E9" s="19"/>
      <c r="F9" s="19"/>
      <c r="G9" s="19"/>
      <c r="H9" s="19"/>
      <c r="I9" s="19"/>
      <c r="J9" s="19"/>
      <c r="K9" s="19"/>
      <c r="L9" s="19"/>
      <c r="M9" s="19"/>
      <c r="N9" s="19"/>
      <c r="O9" s="19"/>
      <c r="P9" s="19"/>
    </row>
    <row r="10" spans="1:16">
      <c r="A10" s="24" t="s">
        <v>207</v>
      </c>
      <c r="B10" s="25">
        <f ca="1">'EF ele_warmte'!B12</f>
        <v>0.20745994672466522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2502.8087704876034</v>
      </c>
      <c r="C12" s="23">
        <f ca="1">C10*C8</f>
        <v>0</v>
      </c>
      <c r="D12" s="23">
        <f>D8*D10</f>
        <v>3536.4198317842706</v>
      </c>
      <c r="E12" s="23">
        <f>E10*E8</f>
        <v>201.01672948483477</v>
      </c>
      <c r="F12" s="23">
        <f>F10*F8</f>
        <v>5179.5578728705786</v>
      </c>
      <c r="G12" s="23"/>
      <c r="H12" s="23"/>
      <c r="I12" s="23"/>
      <c r="J12" s="23">
        <f>J10*J8</f>
        <v>39.137373992961855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2743</v>
      </c>
      <c r="C26" s="36"/>
      <c r="D26" s="225"/>
    </row>
    <row r="27" spans="1:5" s="15" customFormat="1">
      <c r="A27" s="227" t="s">
        <v>860</v>
      </c>
      <c r="B27" s="37">
        <f>SUM(HH_hh_gas_aantal,HH_rest_gas_aantal)</f>
        <v>1381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1311.95</v>
      </c>
      <c r="C31" s="34" t="s">
        <v>104</v>
      </c>
      <c r="D31" s="171"/>
    </row>
    <row r="32" spans="1:5">
      <c r="A32" s="168" t="s">
        <v>72</v>
      </c>
      <c r="B32" s="33">
        <f>IF((B21*($B$26-($B$27-0.05*$B$27)-$B$60))&lt;0,0,(B21*($B$26-($B$27-0.05*$B$27)-$B$60)))</f>
        <v>22.1466959379736</v>
      </c>
      <c r="C32" s="34" t="s">
        <v>104</v>
      </c>
      <c r="D32" s="171"/>
    </row>
    <row r="33" spans="1:6">
      <c r="A33" s="168" t="s">
        <v>73</v>
      </c>
      <c r="B33" s="33">
        <f>IF((B22*($B$26-($B$27-0.05*$B$27)-$B$60))&lt;0,0,B22*($B$26-($B$27-0.05*$B$27)-$B$60))</f>
        <v>359.61848001996157</v>
      </c>
      <c r="C33" s="34" t="s">
        <v>104</v>
      </c>
      <c r="D33" s="171"/>
    </row>
    <row r="34" spans="1:6">
      <c r="A34" s="168" t="s">
        <v>74</v>
      </c>
      <c r="B34" s="33">
        <f>IF((B24*($B$26-($B$27-0.05*$B$27)-$B$60))&lt;0,0,B24*($B$26-($B$27-0.05*$B$27)-$B$60))</f>
        <v>68.943675201223726</v>
      </c>
      <c r="C34" s="33">
        <f>B26*C24</f>
        <v>562.05699288935068</v>
      </c>
      <c r="D34" s="230"/>
    </row>
    <row r="35" spans="1:6">
      <c r="A35" s="168" t="s">
        <v>76</v>
      </c>
      <c r="B35" s="33">
        <f>IF((B19*($B$26-($B$27-0.05*$B$27)-$B$60))&lt;0,0,B19*($B$26-($B$27-0.05*$B$27)-$B$60))</f>
        <v>9.6271159250688214</v>
      </c>
      <c r="C35" s="33">
        <f>B35/2</f>
        <v>4.8135579625344107</v>
      </c>
      <c r="D35" s="230"/>
    </row>
    <row r="36" spans="1:6">
      <c r="A36" s="168" t="s">
        <v>77</v>
      </c>
      <c r="B36" s="33">
        <f>IF((B18*($B$26-($B$27-0.05*$B$27)-$B$60))&lt;0,0,B18*($B$26-($B$27-0.05*$B$27)-$B$60))</f>
        <v>934.71403291577201</v>
      </c>
      <c r="C36" s="34" t="s">
        <v>104</v>
      </c>
      <c r="D36" s="171"/>
    </row>
    <row r="37" spans="1:6">
      <c r="A37" s="168" t="s">
        <v>78</v>
      </c>
      <c r="B37" s="33">
        <f>B60</f>
        <v>36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7543.2440715497933</v>
      </c>
      <c r="C5" s="17">
        <f>IF(ISERROR('Eigen informatie GS &amp; warmtenet'!B60),0,'Eigen informatie GS &amp; warmtenet'!B60)</f>
        <v>0</v>
      </c>
      <c r="D5" s="30">
        <f>SUM(D6:D12)</f>
        <v>5607.8261829982312</v>
      </c>
      <c r="E5" s="17">
        <f>SUM(E6:E12)</f>
        <v>27.147107075441024</v>
      </c>
      <c r="F5" s="17">
        <f>SUM(F6:F12)</f>
        <v>1258.6087414139554</v>
      </c>
      <c r="G5" s="18"/>
      <c r="H5" s="17"/>
      <c r="I5" s="17"/>
      <c r="J5" s="17">
        <f>SUM(J6:J12)</f>
        <v>7.2070942133234377E-3</v>
      </c>
      <c r="K5" s="17"/>
      <c r="L5" s="17"/>
      <c r="M5" s="17"/>
      <c r="N5" s="17">
        <f>SUM(N6:N12)</f>
        <v>285.26341663146354</v>
      </c>
      <c r="O5" s="17">
        <f>B38*B39*B40</f>
        <v>9.7945215316823084</v>
      </c>
      <c r="P5" s="17">
        <f>B46*B47*B48/1000-B46*B47*B48/1000/B49</f>
        <v>157.61741491948504</v>
      </c>
      <c r="R5" s="32"/>
    </row>
    <row r="6" spans="1:18">
      <c r="A6" s="32" t="s">
        <v>53</v>
      </c>
      <c r="B6" s="37">
        <f>B26</f>
        <v>2154.0461988829902</v>
      </c>
      <c r="C6" s="33"/>
      <c r="D6" s="37">
        <f>IF(ISERROR(TER_kantoor_gas_kWh/1000),0,TER_kantoor_gas_kWh/1000)*0.903</f>
        <v>2401.2731833497924</v>
      </c>
      <c r="E6" s="33">
        <f>$C$26*'E Balans VL '!I12/100/3.6*1000000</f>
        <v>0.51324571937631935</v>
      </c>
      <c r="F6" s="33">
        <f>$C$26*('E Balans VL '!L12+'E Balans VL '!N12)/100/3.6*1000000</f>
        <v>187.1000137303962</v>
      </c>
      <c r="G6" s="34"/>
      <c r="H6" s="33"/>
      <c r="I6" s="33"/>
      <c r="J6" s="33">
        <f>$C$26*('E Balans VL '!D12+'E Balans VL '!E12)/100/3.6*1000000</f>
        <v>0</v>
      </c>
      <c r="K6" s="33"/>
      <c r="L6" s="33"/>
      <c r="M6" s="33"/>
      <c r="N6" s="33">
        <f>$C$26*'E Balans VL '!Y12/100/3.6*1000000</f>
        <v>2.8791840962991055</v>
      </c>
      <c r="O6" s="33"/>
      <c r="P6" s="33"/>
      <c r="R6" s="32"/>
    </row>
    <row r="7" spans="1:18">
      <c r="A7" s="32" t="s">
        <v>52</v>
      </c>
      <c r="B7" s="37">
        <f t="shared" ref="B7:B12" si="0">B27</f>
        <v>1139.5798273710302</v>
      </c>
      <c r="C7" s="33"/>
      <c r="D7" s="37">
        <f>IF(ISERROR(TER_horeca_gas_kWh/1000),0,TER_horeca_gas_kWh/1000)*0.903</f>
        <v>1017.1636871208942</v>
      </c>
      <c r="E7" s="33">
        <f>$C$27*'E Balans VL '!I9/100/3.6*1000000</f>
        <v>0</v>
      </c>
      <c r="F7" s="33">
        <f>$C$27*('E Balans VL '!L9+'E Balans VL '!N9)/100/3.6*1000000</f>
        <v>92.855132481856316</v>
      </c>
      <c r="G7" s="34"/>
      <c r="H7" s="33"/>
      <c r="I7" s="33"/>
      <c r="J7" s="33">
        <f>$C$27*('E Balans VL '!D9+'E Balans VL '!E9)/100/3.6*1000000</f>
        <v>0</v>
      </c>
      <c r="K7" s="33"/>
      <c r="L7" s="33"/>
      <c r="M7" s="33"/>
      <c r="N7" s="33">
        <f>$C$27*'E Balans VL '!Y9/100/3.6*1000000</f>
        <v>0.31564239622439566</v>
      </c>
      <c r="O7" s="33"/>
      <c r="P7" s="33"/>
      <c r="R7" s="32"/>
    </row>
    <row r="8" spans="1:18">
      <c r="A8" s="6" t="s">
        <v>51</v>
      </c>
      <c r="B8" s="37">
        <f t="shared" si="0"/>
        <v>2176.1987988849</v>
      </c>
      <c r="C8" s="33"/>
      <c r="D8" s="37">
        <f>IF(ISERROR(TER_handel_gas_kWh/1000),0,TER_handel_gas_kWh/1000)*0.903</f>
        <v>692.53898003219888</v>
      </c>
      <c r="E8" s="33">
        <f>$C$28*'E Balans VL '!I13/100/3.6*1000000</f>
        <v>17.395694488264596</v>
      </c>
      <c r="F8" s="33">
        <f>$C$28*('E Balans VL '!L13+'E Balans VL '!N13)/100/3.6*1000000</f>
        <v>216.19182262818993</v>
      </c>
      <c r="G8" s="34"/>
      <c r="H8" s="33"/>
      <c r="I8" s="33"/>
      <c r="J8" s="33">
        <f>$C$28*('E Balans VL '!D13+'E Balans VL '!E13)/100/3.6*1000000</f>
        <v>0</v>
      </c>
      <c r="K8" s="33"/>
      <c r="L8" s="33"/>
      <c r="M8" s="33"/>
      <c r="N8" s="33">
        <f>$C$28*'E Balans VL '!Y13/100/3.6*1000000</f>
        <v>0.81293978735838723</v>
      </c>
      <c r="O8" s="33"/>
      <c r="P8" s="33"/>
      <c r="R8" s="32"/>
    </row>
    <row r="9" spans="1:18">
      <c r="A9" s="32" t="s">
        <v>50</v>
      </c>
      <c r="B9" s="37">
        <f t="shared" si="0"/>
        <v>1069.75954701104</v>
      </c>
      <c r="C9" s="33"/>
      <c r="D9" s="37">
        <f>IF(ISERROR(TER_gezond_gas_kWh/1000),0,TER_gezond_gas_kWh/1000)*0.903</f>
        <v>811.57868012753102</v>
      </c>
      <c r="E9" s="33">
        <f>$C$29*'E Balans VL '!I10/100/3.6*1000000</f>
        <v>0</v>
      </c>
      <c r="F9" s="33">
        <f>$C$29*('E Balans VL '!L10+'E Balans VL '!N10)/100/3.6*1000000</f>
        <v>97.52601518712676</v>
      </c>
      <c r="G9" s="34"/>
      <c r="H9" s="33"/>
      <c r="I9" s="33"/>
      <c r="J9" s="33">
        <f>$C$29*('E Balans VL '!D10+'E Balans VL '!E10)/100/3.6*1000000</f>
        <v>0</v>
      </c>
      <c r="K9" s="33"/>
      <c r="L9" s="33"/>
      <c r="M9" s="33"/>
      <c r="N9" s="33">
        <f>$C$29*'E Balans VL '!Y10/100/3.6*1000000</f>
        <v>7.8189836128882622</v>
      </c>
      <c r="O9" s="33"/>
      <c r="P9" s="33"/>
      <c r="R9" s="32"/>
    </row>
    <row r="10" spans="1:18">
      <c r="A10" s="32" t="s">
        <v>49</v>
      </c>
      <c r="B10" s="37">
        <f t="shared" si="0"/>
        <v>712.57381518710997</v>
      </c>
      <c r="C10" s="33"/>
      <c r="D10" s="37">
        <f>IF(ISERROR(TER_ander_gas_kWh/1000),0,TER_ander_gas_kWh/1000)*0.903</f>
        <v>494.61575204709118</v>
      </c>
      <c r="E10" s="33">
        <f>$C$30*'E Balans VL '!I14/100/3.6*1000000</f>
        <v>9.2381668678001105</v>
      </c>
      <c r="F10" s="33">
        <f>$C$30*('E Balans VL '!L14+'E Balans VL '!N14)/100/3.6*1000000</f>
        <v>653.53023578985028</v>
      </c>
      <c r="G10" s="34"/>
      <c r="H10" s="33"/>
      <c r="I10" s="33"/>
      <c r="J10" s="33">
        <f>$C$30*('E Balans VL '!D14+'E Balans VL '!E14)/100/3.6*1000000</f>
        <v>7.2070942133234377E-3</v>
      </c>
      <c r="K10" s="33"/>
      <c r="L10" s="33"/>
      <c r="M10" s="33"/>
      <c r="N10" s="33">
        <f>$C$30*'E Balans VL '!Y14/100/3.6*1000000</f>
        <v>272.51996536989543</v>
      </c>
      <c r="O10" s="33"/>
      <c r="P10" s="33"/>
      <c r="R10" s="32"/>
    </row>
    <row r="11" spans="1:18">
      <c r="A11" s="32" t="s">
        <v>54</v>
      </c>
      <c r="B11" s="37">
        <f t="shared" si="0"/>
        <v>291.08588421272299</v>
      </c>
      <c r="C11" s="33"/>
      <c r="D11" s="37">
        <f>IF(ISERROR(TER_onderwijs_gas_kWh/1000),0,TER_onderwijs_gas_kWh/1000)*0.903</f>
        <v>0</v>
      </c>
      <c r="E11" s="33">
        <f>$C$31*'E Balans VL '!I11/100/3.6*1000000</f>
        <v>0</v>
      </c>
      <c r="F11" s="33">
        <f>$C$31*('E Balans VL '!L11+'E Balans VL '!N11)/100/3.6*1000000</f>
        <v>11.405521596535841</v>
      </c>
      <c r="G11" s="34"/>
      <c r="H11" s="33"/>
      <c r="I11" s="33"/>
      <c r="J11" s="33">
        <f>$C$31*('E Balans VL '!D11+'E Balans VL '!E11)/100/3.6*1000000</f>
        <v>0</v>
      </c>
      <c r="K11" s="33"/>
      <c r="L11" s="33"/>
      <c r="M11" s="33"/>
      <c r="N11" s="33">
        <f>$C$31*'E Balans VL '!Y11/100/3.6*1000000</f>
        <v>0.91670136879800113</v>
      </c>
      <c r="O11" s="33"/>
      <c r="P11" s="33"/>
      <c r="R11" s="32"/>
    </row>
    <row r="12" spans="1:18">
      <c r="A12" s="32" t="s">
        <v>249</v>
      </c>
      <c r="B12" s="37">
        <f t="shared" si="0"/>
        <v>0</v>
      </c>
      <c r="C12" s="33"/>
      <c r="D12" s="37">
        <f>IF(ISERROR(TER_rest_gas_kWh/1000),0,TER_rest_gas_kWh/1000)*0.903</f>
        <v>190.65590032072345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7543.2440715497933</v>
      </c>
      <c r="C16" s="21">
        <f t="shared" ca="1" si="1"/>
        <v>0</v>
      </c>
      <c r="D16" s="21">
        <f t="shared" ca="1" si="1"/>
        <v>5607.8261829982312</v>
      </c>
      <c r="E16" s="21">
        <f t="shared" si="1"/>
        <v>27.147107075441024</v>
      </c>
      <c r="F16" s="21">
        <f t="shared" ca="1" si="1"/>
        <v>1258.6087414139554</v>
      </c>
      <c r="G16" s="21">
        <f t="shared" si="1"/>
        <v>0</v>
      </c>
      <c r="H16" s="21">
        <f t="shared" si="1"/>
        <v>0</v>
      </c>
      <c r="I16" s="21">
        <f t="shared" si="1"/>
        <v>0</v>
      </c>
      <c r="J16" s="21">
        <f t="shared" si="1"/>
        <v>7.2070942133234377E-3</v>
      </c>
      <c r="K16" s="21">
        <f t="shared" si="1"/>
        <v>0</v>
      </c>
      <c r="L16" s="21">
        <f t="shared" ca="1" si="1"/>
        <v>0</v>
      </c>
      <c r="M16" s="21">
        <f t="shared" si="1"/>
        <v>0</v>
      </c>
      <c r="N16" s="21">
        <f t="shared" ca="1" si="1"/>
        <v>285.26341663146354</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0.20745994672466522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1564.9210132148669</v>
      </c>
      <c r="C20" s="23">
        <f t="shared" ref="C20:P20" ca="1" si="2">C16*C18</f>
        <v>0</v>
      </c>
      <c r="D20" s="23">
        <f t="shared" ca="1" si="2"/>
        <v>1132.7808889656428</v>
      </c>
      <c r="E20" s="23">
        <f t="shared" si="2"/>
        <v>6.1623933061251126</v>
      </c>
      <c r="F20" s="23">
        <f t="shared" ca="1" si="2"/>
        <v>336.0485339575261</v>
      </c>
      <c r="G20" s="23">
        <f t="shared" si="2"/>
        <v>0</v>
      </c>
      <c r="H20" s="23">
        <f t="shared" si="2"/>
        <v>0</v>
      </c>
      <c r="I20" s="23">
        <f t="shared" si="2"/>
        <v>0</v>
      </c>
      <c r="J20" s="23">
        <f t="shared" si="2"/>
        <v>2.551311351516497E-3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2154.0461988829902</v>
      </c>
      <c r="C26" s="39">
        <f>IF(ISERROR(B26*3.6/1000000/'E Balans VL '!Z12*100),0,B26*3.6/1000000/'E Balans VL '!Z12*100)</f>
        <v>6.1799382739206377E-2</v>
      </c>
      <c r="D26" s="233" t="s">
        <v>835</v>
      </c>
      <c r="F26" s="6"/>
    </row>
    <row r="27" spans="1:18" ht="30">
      <c r="A27" s="228" t="s">
        <v>52</v>
      </c>
      <c r="B27" s="33">
        <f>IF(ISERROR(TER_horeca_ele_kWh/1000),0,TER_horeca_ele_kWh/1000)</f>
        <v>1139.5798273710302</v>
      </c>
      <c r="C27" s="39">
        <f>IF(ISERROR(B27*3.6/1000000/'E Balans VL '!Z9*100),0,B27*3.6/1000000/'E Balans VL '!Z9*100)</f>
        <v>8.3486021604984056E-2</v>
      </c>
      <c r="D27" s="233" t="s">
        <v>835</v>
      </c>
      <c r="F27" s="6"/>
    </row>
    <row r="28" spans="1:18" ht="30">
      <c r="A28" s="168" t="s">
        <v>51</v>
      </c>
      <c r="B28" s="33">
        <f>IF(ISERROR(TER_handel_ele_kWh/1000),0,TER_handel_ele_kWh/1000)</f>
        <v>2176.1987988849</v>
      </c>
      <c r="C28" s="39">
        <f>IF(ISERROR(B28*3.6/1000000/'E Balans VL '!Z13*100),0,B28*3.6/1000000/'E Balans VL '!Z13*100)</f>
        <v>6.7246378403329254E-2</v>
      </c>
      <c r="D28" s="233" t="s">
        <v>835</v>
      </c>
      <c r="F28" s="6"/>
    </row>
    <row r="29" spans="1:18" ht="30">
      <c r="A29" s="228" t="s">
        <v>50</v>
      </c>
      <c r="B29" s="33">
        <f>IF(ISERROR(TER_gezond_ele_kWh/1000),0,TER_gezond_ele_kWh/1000)</f>
        <v>1069.75954701104</v>
      </c>
      <c r="C29" s="39">
        <f>IF(ISERROR(B29*3.6/1000000/'E Balans VL '!Z10*100),0,B29*3.6/1000000/'E Balans VL '!Z10*100)</f>
        <v>0.10484301351039599</v>
      </c>
      <c r="D29" s="233" t="s">
        <v>835</v>
      </c>
      <c r="F29" s="6"/>
    </row>
    <row r="30" spans="1:18" ht="30">
      <c r="A30" s="228" t="s">
        <v>49</v>
      </c>
      <c r="B30" s="33">
        <f>IF(ISERROR(TER_ander_ele_kWh/1000),0,TER_ander_ele_kWh/1000)</f>
        <v>712.57381518710997</v>
      </c>
      <c r="C30" s="39">
        <f>IF(ISERROR(B30*3.6/1000000/'E Balans VL '!Z14*100),0,B30*3.6/1000000/'E Balans VL '!Z14*100)</f>
        <v>2.9517109406102811E-2</v>
      </c>
      <c r="D30" s="233" t="s">
        <v>835</v>
      </c>
      <c r="F30" s="6"/>
    </row>
    <row r="31" spans="1:18" ht="30">
      <c r="A31" s="228" t="s">
        <v>54</v>
      </c>
      <c r="B31" s="33">
        <f>IF(ISERROR(TER_onderwijs_ele_kWh/1000),0,TER_onderwijs_ele_kWh/1000)</f>
        <v>291.08588421272299</v>
      </c>
      <c r="C31" s="39">
        <f>IF(ISERROR(B31*3.6/1000000/'E Balans VL '!Z11*100),0,B31*3.6/1000000/'E Balans VL '!Z11*100)</f>
        <v>8.9441842445019834E-2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23950.596281166796</v>
      </c>
      <c r="C5" s="17">
        <f>IF(ISERROR('Eigen informatie GS &amp; warmtenet'!B61),0,'Eigen informatie GS &amp; warmtenet'!B61)</f>
        <v>0</v>
      </c>
      <c r="D5" s="30">
        <f>SUM(D6:D15)</f>
        <v>11030.580266010156</v>
      </c>
      <c r="E5" s="17">
        <f>SUM(E6:E15)</f>
        <v>111.30887324381672</v>
      </c>
      <c r="F5" s="17">
        <f>SUM(F6:F15)</f>
        <v>4238.8332350759129</v>
      </c>
      <c r="G5" s="18"/>
      <c r="H5" s="17"/>
      <c r="I5" s="17"/>
      <c r="J5" s="17">
        <f>SUM(J6:J15)</f>
        <v>6.3005460426693363</v>
      </c>
      <c r="K5" s="17"/>
      <c r="L5" s="17"/>
      <c r="M5" s="17"/>
      <c r="N5" s="17">
        <f>SUM(N6:N15)</f>
        <v>613.48727764406192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99.990068125194099</v>
      </c>
      <c r="C8" s="33"/>
      <c r="D8" s="37">
        <f>IF( ISERROR(IND_metaal_Gas_kWH/1000),0,IND_metaal_Gas_kWH/1000)*0.903</f>
        <v>0</v>
      </c>
      <c r="E8" s="33">
        <f>C30*'E Balans VL '!I18/100/3.6*1000000</f>
        <v>0.54506145554868524</v>
      </c>
      <c r="F8" s="33">
        <f>C30*'E Balans VL '!L18/100/3.6*1000000+C30*'E Balans VL '!N18/100/3.6*1000000</f>
        <v>6.439368024774029</v>
      </c>
      <c r="G8" s="34"/>
      <c r="H8" s="33"/>
      <c r="I8" s="33"/>
      <c r="J8" s="40">
        <f>C30*'E Balans VL '!D18/100/3.6*1000000+C30*'E Balans VL '!E18/100/3.6*1000000</f>
        <v>8.1904062423860918E-2</v>
      </c>
      <c r="K8" s="33"/>
      <c r="L8" s="33"/>
      <c r="M8" s="33"/>
      <c r="N8" s="33">
        <f>C30*'E Balans VL '!Y18/100/3.6*1000000</f>
        <v>2.160219348718023</v>
      </c>
      <c r="O8" s="33"/>
      <c r="P8" s="33"/>
      <c r="R8" s="32"/>
    </row>
    <row r="9" spans="1:18">
      <c r="A9" s="6" t="s">
        <v>32</v>
      </c>
      <c r="B9" s="37">
        <f t="shared" si="0"/>
        <v>5751.5428832927701</v>
      </c>
      <c r="C9" s="33"/>
      <c r="D9" s="37">
        <f>IF( ISERROR(IND_andere_gas_kWh/1000),0,IND_andere_gas_kWh/1000)*0.903</f>
        <v>1223.901279834593</v>
      </c>
      <c r="E9" s="33">
        <f>C31*'E Balans VL '!I19/100/3.6*1000000</f>
        <v>18.566959918217858</v>
      </c>
      <c r="F9" s="33">
        <f>C31*'E Balans VL '!L19/100/3.6*1000000+C31*'E Balans VL '!N19/100/3.6*1000000</f>
        <v>3718.9927783019916</v>
      </c>
      <c r="G9" s="34"/>
      <c r="H9" s="33"/>
      <c r="I9" s="33"/>
      <c r="J9" s="40">
        <f>C31*'E Balans VL '!D19/100/3.6*1000000+C31*'E Balans VL '!E19/100/3.6*1000000</f>
        <v>0</v>
      </c>
      <c r="K9" s="33"/>
      <c r="L9" s="33"/>
      <c r="M9" s="33"/>
      <c r="N9" s="33">
        <f>C31*'E Balans VL '!Y19/100/3.6*1000000</f>
        <v>232.41320429918619</v>
      </c>
      <c r="O9" s="33"/>
      <c r="P9" s="33"/>
      <c r="R9" s="32"/>
    </row>
    <row r="10" spans="1:18">
      <c r="A10" s="6" t="s">
        <v>40</v>
      </c>
      <c r="B10" s="37">
        <f t="shared" si="0"/>
        <v>8620.7045200627708</v>
      </c>
      <c r="C10" s="33"/>
      <c r="D10" s="37">
        <f>IF( ISERROR(IND_voed_gas_kWh/1000),0,IND_voed_gas_kWh/1000)*0.903</f>
        <v>9665.0571247404241</v>
      </c>
      <c r="E10" s="33">
        <f>C32*'E Balans VL '!I20/100/3.6*1000000</f>
        <v>18.071109380792375</v>
      </c>
      <c r="F10" s="33">
        <f>C32*'E Balans VL '!L20/100/3.6*1000000+C32*'E Balans VL '!N20/100/3.6*1000000</f>
        <v>167.96111614664486</v>
      </c>
      <c r="G10" s="34"/>
      <c r="H10" s="33"/>
      <c r="I10" s="33"/>
      <c r="J10" s="40">
        <f>C32*'E Balans VL '!D20/100/3.6*1000000+C32*'E Balans VL '!E20/100/3.6*1000000</f>
        <v>0</v>
      </c>
      <c r="K10" s="33"/>
      <c r="L10" s="33"/>
      <c r="M10" s="33"/>
      <c r="N10" s="33">
        <f>C32*'E Balans VL '!Y20/100/3.6*1000000</f>
        <v>342.90772571241854</v>
      </c>
      <c r="O10" s="33"/>
      <c r="P10" s="33"/>
      <c r="R10" s="32"/>
    </row>
    <row r="11" spans="1:18">
      <c r="A11" s="6" t="s">
        <v>39</v>
      </c>
      <c r="B11" s="37">
        <f t="shared" si="0"/>
        <v>8182.7639022664698</v>
      </c>
      <c r="C11" s="33"/>
      <c r="D11" s="37">
        <f>IF( ISERROR(IND_textiel_gas_kWh/1000),0,IND_textiel_gas_kWh/1000)*0.903</f>
        <v>0</v>
      </c>
      <c r="E11" s="33">
        <f>C33*'E Balans VL '!I21/100/3.6*1000000</f>
        <v>7.0312030434501631</v>
      </c>
      <c r="F11" s="33">
        <f>C33*'E Balans VL '!L21/100/3.6*1000000+C33*'E Balans VL '!N21/100/3.6*1000000</f>
        <v>171.56013795557752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155.93628176861301</v>
      </c>
      <c r="C13" s="33"/>
      <c r="D13" s="37">
        <f>IF( ISERROR(IND_papier_gas_kWh/1000),0,IND_papier_gas_kWh/1000)*0.903</f>
        <v>0</v>
      </c>
      <c r="E13" s="33">
        <f>C35*'E Balans VL '!I23/100/3.6*1000000</f>
        <v>0</v>
      </c>
      <c r="F13" s="33">
        <f>C35*'E Balans VL '!L23/100/3.6*1000000+C35*'E Balans VL '!N23/100/3.6*1000000</f>
        <v>2.0888156557788366E-2</v>
      </c>
      <c r="G13" s="34"/>
      <c r="H13" s="33"/>
      <c r="I13" s="33"/>
      <c r="J13" s="40">
        <f>C35*'E Balans VL '!D23/100/3.6*1000000+C35*'E Balans VL '!E23/100/3.6*1000000</f>
        <v>3.0845177680335002E-2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1139.65862565098</v>
      </c>
      <c r="C15" s="33"/>
      <c r="D15" s="37">
        <f>IF( ISERROR(IND_rest_gas_kWh/1000),0,IND_rest_gas_kWh/1000)*0.903</f>
        <v>141.62186143514015</v>
      </c>
      <c r="E15" s="33">
        <f>C37*'E Balans VL '!I15/100/3.6*1000000</f>
        <v>67.094539445807641</v>
      </c>
      <c r="F15" s="33">
        <f>C37*'E Balans VL '!L15/100/3.6*1000000+C37*'E Balans VL '!N15/100/3.6*1000000</f>
        <v>173.85894649036672</v>
      </c>
      <c r="G15" s="34"/>
      <c r="H15" s="33"/>
      <c r="I15" s="33"/>
      <c r="J15" s="40">
        <f>C37*'E Balans VL '!D15/100/3.6*1000000+C37*'E Balans VL '!E15/100/3.6*1000000</f>
        <v>6.1877968025651402</v>
      </c>
      <c r="K15" s="33"/>
      <c r="L15" s="33"/>
      <c r="M15" s="33"/>
      <c r="N15" s="33">
        <f>C37*'E Balans VL '!Y15/100/3.6*1000000</f>
        <v>36.00612828373913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23950.596281166796</v>
      </c>
      <c r="C18" s="21">
        <f>C5+C16</f>
        <v>0</v>
      </c>
      <c r="D18" s="21">
        <f>MAX((D5+D16),0)</f>
        <v>11030.580266010156</v>
      </c>
      <c r="E18" s="21">
        <f>MAX((E5+E16),0)</f>
        <v>111.30887324381672</v>
      </c>
      <c r="F18" s="21">
        <f>MAX((F5+F16),0)</f>
        <v>4238.8332350759129</v>
      </c>
      <c r="G18" s="21"/>
      <c r="H18" s="21"/>
      <c r="I18" s="21"/>
      <c r="J18" s="21">
        <f>MAX((J5+J16),0)</f>
        <v>6.3005460426693363</v>
      </c>
      <c r="K18" s="21"/>
      <c r="L18" s="21">
        <f>MAX((L5+L16),0)</f>
        <v>0</v>
      </c>
      <c r="M18" s="21"/>
      <c r="N18" s="21">
        <f>MAX((N5+N16),0)</f>
        <v>613.48727764406192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0.20745994672466522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4968.7894285148286</v>
      </c>
      <c r="C22" s="23">
        <f ca="1">C18*C20</f>
        <v>0</v>
      </c>
      <c r="D22" s="23">
        <f>D18*D20</f>
        <v>2228.1772137340517</v>
      </c>
      <c r="E22" s="23">
        <f>E18*E20</f>
        <v>25.267114226346397</v>
      </c>
      <c r="F22" s="23">
        <f>F18*F20</f>
        <v>1131.7684737652687</v>
      </c>
      <c r="G22" s="23"/>
      <c r="H22" s="23"/>
      <c r="I22" s="23"/>
      <c r="J22" s="23">
        <f>J18*J20</f>
        <v>2.2303932991049451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99.990068125194099</v>
      </c>
      <c r="C30" s="39">
        <f>IF(ISERROR(B30*3.6/1000000/'E Balans VL '!Z18*100),0,B30*3.6/1000000/'E Balans VL '!Z18*100)</f>
        <v>6.0211277256667396E-3</v>
      </c>
      <c r="D30" s="233" t="s">
        <v>835</v>
      </c>
    </row>
    <row r="31" spans="1:18" ht="30">
      <c r="A31" s="6" t="s">
        <v>32</v>
      </c>
      <c r="B31" s="37">
        <f>IF( ISERROR(IND_ander_ele_kWh/1000),0,IND_ander_ele_kWh/1000)</f>
        <v>5751.5428832927701</v>
      </c>
      <c r="C31" s="39">
        <f>IF(ISERROR(B31*3.6/1000000/'E Balans VL '!Z19*100),0,B31*3.6/1000000/'E Balans VL '!Z19*100)</f>
        <v>0.23432976412939599</v>
      </c>
      <c r="D31" s="233" t="s">
        <v>835</v>
      </c>
    </row>
    <row r="32" spans="1:18" ht="30">
      <c r="A32" s="168" t="s">
        <v>40</v>
      </c>
      <c r="B32" s="37">
        <f>IF( ISERROR(IND_voed_ele_kWh/1000),0,IND_voed_ele_kWh/1000)</f>
        <v>8620.7045200627708</v>
      </c>
      <c r="C32" s="39">
        <f>IF(ISERROR(B32*3.6/1000000/'E Balans VL '!Z20*100),0,B32*3.6/1000000/'E Balans VL '!Z20*100)</f>
        <v>0.24925925998230888</v>
      </c>
      <c r="D32" s="233" t="s">
        <v>835</v>
      </c>
    </row>
    <row r="33" spans="1:5" ht="30">
      <c r="A33" s="168" t="s">
        <v>39</v>
      </c>
      <c r="B33" s="37">
        <f>IF( ISERROR(IND_textiel_ele_kWh/1000),0,IND_textiel_ele_kWh/1000)</f>
        <v>8182.7639022664698</v>
      </c>
      <c r="C33" s="39">
        <f>IF(ISERROR(B33*3.6/1000000/'E Balans VL '!Z21*100),0,B33*3.6/1000000/'E Balans VL '!Z21*100)</f>
        <v>1.3456847930048159</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155.93628176861301</v>
      </c>
      <c r="C35" s="39">
        <f>IF(ISERROR(B35*3.6/1000000/'E Balans VL '!Z22*100),0,B35*3.6/1000000/'E Balans VL '!Z22*100)</f>
        <v>6.6583343316495527E-2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1139.65862565098</v>
      </c>
      <c r="C37" s="39">
        <f>IF(ISERROR(B37*3.6/1000000/'E Balans VL '!Z15*100),0,B37*3.6/1000000/'E Balans VL '!Z15*100)</f>
        <v>9.3574605186214372E-3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1070.6915799698399</v>
      </c>
      <c r="C5" s="17">
        <f>'Eigen informatie GS &amp; warmtenet'!B62</f>
        <v>0</v>
      </c>
      <c r="D5" s="30">
        <f>IF(ISERROR(SUM(LB_lb_gas_kWh,LB_rest_gas_kWh)/1000),0,SUM(LB_lb_gas_kWh,LB_rest_gas_kWh)/1000)*0.903</f>
        <v>41.368748822716277</v>
      </c>
      <c r="E5" s="17">
        <f>B17*'E Balans VL '!I25/3.6*1000000/100</f>
        <v>30.66641879221886</v>
      </c>
      <c r="F5" s="17">
        <f>B17*('E Balans VL '!L25/3.6*1000000+'E Balans VL '!N25/3.6*1000000)/100</f>
        <v>3389.2564627273914</v>
      </c>
      <c r="G5" s="18"/>
      <c r="H5" s="17"/>
      <c r="I5" s="17"/>
      <c r="J5" s="17">
        <f>('E Balans VL '!D25+'E Balans VL '!E25)/3.6*1000000*landbouw!B17/100</f>
        <v>272.24324650962831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1070.6915799698399</v>
      </c>
      <c r="C8" s="21">
        <f>C5+C6</f>
        <v>0</v>
      </c>
      <c r="D8" s="21">
        <f>MAX((D5+D6),0)</f>
        <v>41.368748822716277</v>
      </c>
      <c r="E8" s="21">
        <f>MAX((E5+E6),0)</f>
        <v>30.66641879221886</v>
      </c>
      <c r="F8" s="21">
        <f>MAX((F5+F6),0)</f>
        <v>3389.2564627273914</v>
      </c>
      <c r="G8" s="21"/>
      <c r="H8" s="21"/>
      <c r="I8" s="21"/>
      <c r="J8" s="21">
        <f>MAX((J5+J6),0)</f>
        <v>272.24324650962831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0.20745994672466522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222.12561813909062</v>
      </c>
      <c r="C12" s="23">
        <f ca="1">C8*C10</f>
        <v>0</v>
      </c>
      <c r="D12" s="23">
        <f>D8*D10</f>
        <v>8.3564872621886881</v>
      </c>
      <c r="E12" s="23">
        <f>E8*E10</f>
        <v>6.9612770658336816</v>
      </c>
      <c r="F12" s="23">
        <f>F8*F10</f>
        <v>904.9314755482136</v>
      </c>
      <c r="G12" s="23"/>
      <c r="H12" s="23"/>
      <c r="I12" s="23"/>
      <c r="J12" s="23">
        <f>J8*J10</f>
        <v>96.374109264408418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0.14826649465224773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190.34597708339581</v>
      </c>
      <c r="C26" s="243">
        <f>B26*'GWP N2O_CH4'!B5</f>
        <v>3997.2655187513119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64.116737437240204</v>
      </c>
      <c r="C27" s="243">
        <f>B27*'GWP N2O_CH4'!B5</f>
        <v>1346.4514861820444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2.6888886883737606</v>
      </c>
      <c r="C28" s="243">
        <f>B28*'GWP N2O_CH4'!B4</f>
        <v>833.55549339586582</v>
      </c>
      <c r="D28" s="50"/>
    </row>
    <row r="29" spans="1:4">
      <c r="A29" s="41" t="s">
        <v>266</v>
      </c>
      <c r="B29" s="243">
        <f>B34*'ha_N2O bodem landbouw'!B4</f>
        <v>11.635434593675946</v>
      </c>
      <c r="C29" s="243">
        <f>B29*'GWP N2O_CH4'!B4</f>
        <v>3606.9847240395434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2.6433624970791827E-3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2.7557762475917446E-4</v>
      </c>
      <c r="C5" s="432" t="s">
        <v>204</v>
      </c>
      <c r="D5" s="417">
        <f>SUM(D6:D11)</f>
        <v>5.0449339303075828E-4</v>
      </c>
      <c r="E5" s="417">
        <f>SUM(E6:E11)</f>
        <v>1.9710133425619752E-4</v>
      </c>
      <c r="F5" s="430" t="s">
        <v>204</v>
      </c>
      <c r="G5" s="417">
        <f>SUM(G6:G11)</f>
        <v>9.5695988687064859E-2</v>
      </c>
      <c r="H5" s="417">
        <f>SUM(H6:H11)</f>
        <v>2.4662461946883107E-2</v>
      </c>
      <c r="I5" s="432" t="s">
        <v>204</v>
      </c>
      <c r="J5" s="432" t="s">
        <v>204</v>
      </c>
      <c r="K5" s="432" t="s">
        <v>204</v>
      </c>
      <c r="L5" s="432" t="s">
        <v>204</v>
      </c>
      <c r="M5" s="417">
        <f>SUM(M6:M11)</f>
        <v>7.2430507715169033E-3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1.9903549023567174E-4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3.3184913968039735E-4</v>
      </c>
      <c r="E6" s="884">
        <f>vkm_GW_PW*SUMIFS(TableVerdeelsleutelVkm[LPG],TableVerdeelsleutelVkm[Voertuigtype],"Lichte voertuigen")*SUMIFS(TableECFTransport[EnergieConsumptieFactor (PJ per km)],TableECFTransport[Index],CONCATENATE($A6,"_LPG_LPG"))</f>
        <v>1.3156468685522605E-4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3.9538493362849252E-2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1.6274462627602605E-2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3.4239602526521555E-3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8.4488587974643431E-7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3.3491808813786203E-2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2.4712107129029505E-7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1.9230430226095077E-3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7.5606652156437368E-5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1.7264425335036096E-4</v>
      </c>
      <c r="E8" s="420">
        <f>vkm_NGW_PW*SUMIFS(TableVerdeelsleutelVkm[LPG],TableVerdeelsleutelVkm[Voertuigtype],"Lichte voertuigen")*SUMIFS(TableECFTransport[EnergieConsumptieFactor (PJ per km)],TableECFTransport[Index],CONCATENATE($A8,"_LPG_LPG"))</f>
        <v>6.5536647400971486E-5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1.8040933639136624E-2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8.3877202137117544E-3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1.6305021591843359E-3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9.0596487318930344E-8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4.6247528712927864E-3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3.1984497457400928E-8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2.6554533707090364E-4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76.549340210881795</v>
      </c>
      <c r="C14" s="21"/>
      <c r="D14" s="21">
        <f t="shared" ref="D14:M14" si="0">((D5)*10^9/3600)+D12</f>
        <v>140.13705361965509</v>
      </c>
      <c r="E14" s="21">
        <f t="shared" si="0"/>
        <v>54.750370626721534</v>
      </c>
      <c r="F14" s="21"/>
      <c r="G14" s="21">
        <f t="shared" si="0"/>
        <v>26582.219079740236</v>
      </c>
      <c r="H14" s="21">
        <f t="shared" si="0"/>
        <v>6850.6838741341971</v>
      </c>
      <c r="I14" s="21"/>
      <c r="J14" s="21"/>
      <c r="K14" s="21"/>
      <c r="L14" s="21"/>
      <c r="M14" s="21">
        <f t="shared" si="0"/>
        <v>2011.9585476435843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0.20745994672466522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15.88092204195781</v>
      </c>
      <c r="C18" s="23"/>
      <c r="D18" s="23">
        <f t="shared" ref="D18:M18" si="1">D14*D16</f>
        <v>28.307684831170331</v>
      </c>
      <c r="E18" s="23">
        <f t="shared" si="1"/>
        <v>12.428334132265789</v>
      </c>
      <c r="F18" s="23"/>
      <c r="G18" s="23">
        <f t="shared" si="1"/>
        <v>7097.4524942906437</v>
      </c>
      <c r="H18" s="23">
        <f t="shared" si="1"/>
        <v>1705.8202846594152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2.0594625425066425E-5</v>
      </c>
      <c r="C50" s="315">
        <f t="shared" ref="C50:P50" si="2">SUM(C51:C52)</f>
        <v>0</v>
      </c>
      <c r="D50" s="315">
        <f t="shared" si="2"/>
        <v>0</v>
      </c>
      <c r="E50" s="315">
        <f t="shared" si="2"/>
        <v>0</v>
      </c>
      <c r="F50" s="315">
        <f t="shared" si="2"/>
        <v>0</v>
      </c>
      <c r="G50" s="315">
        <f t="shared" si="2"/>
        <v>1.289285813522414E-3</v>
      </c>
      <c r="H50" s="315">
        <f t="shared" si="2"/>
        <v>0</v>
      </c>
      <c r="I50" s="315">
        <f t="shared" si="2"/>
        <v>0</v>
      </c>
      <c r="J50" s="315">
        <f t="shared" si="2"/>
        <v>0</v>
      </c>
      <c r="K50" s="315">
        <f t="shared" si="2"/>
        <v>0</v>
      </c>
      <c r="L50" s="315">
        <f t="shared" si="2"/>
        <v>0</v>
      </c>
      <c r="M50" s="315">
        <f t="shared" si="2"/>
        <v>7.4027936633464176E-5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2.0594625425066425E-5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1.289285813522414E-3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7.4027936633464176E-5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5.7207292847406732</v>
      </c>
      <c r="C54" s="21">
        <f t="shared" ref="C54:P54" si="3">(C50)*10^9/3600</f>
        <v>0</v>
      </c>
      <c r="D54" s="21">
        <f t="shared" si="3"/>
        <v>0</v>
      </c>
      <c r="E54" s="21">
        <f t="shared" si="3"/>
        <v>0</v>
      </c>
      <c r="F54" s="21">
        <f t="shared" si="3"/>
        <v>0</v>
      </c>
      <c r="G54" s="21">
        <f t="shared" si="3"/>
        <v>358.13494820067058</v>
      </c>
      <c r="H54" s="21">
        <f t="shared" si="3"/>
        <v>0</v>
      </c>
      <c r="I54" s="21">
        <f t="shared" si="3"/>
        <v>0</v>
      </c>
      <c r="J54" s="21">
        <f t="shared" si="3"/>
        <v>0</v>
      </c>
      <c r="K54" s="21">
        <f t="shared" si="3"/>
        <v>0</v>
      </c>
      <c r="L54" s="21">
        <f t="shared" si="3"/>
        <v>0</v>
      </c>
      <c r="M54" s="21">
        <f t="shared" si="3"/>
        <v>20.563315731517829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0.20745994672466522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1.1868221926385323</v>
      </c>
      <c r="C58" s="23">
        <f t="shared" ref="C58:P58" ca="1" si="4">C54*C56</f>
        <v>0</v>
      </c>
      <c r="D58" s="23">
        <f t="shared" si="4"/>
        <v>0</v>
      </c>
      <c r="E58" s="23">
        <f t="shared" si="4"/>
        <v>0</v>
      </c>
      <c r="F58" s="23">
        <f t="shared" si="4"/>
        <v>0</v>
      </c>
      <c r="G58" s="23">
        <f t="shared" si="4"/>
        <v>95.622031169579046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2794.8901623341799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2794.8901623341799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2021-11-11T12:20:13Z</dcterms:modified>
</cp:coreProperties>
</file>