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C33BE9BC-19CD-4E87-AE0F-F4A9E81BFBB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D10"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5" i="13"/>
  <c r="B34" i="13"/>
  <c r="B33" i="13"/>
  <c r="B36"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<sst xmlns="http://schemas.openxmlformats.org/spreadsheetml/2006/main" count="2417" uniqueCount="868">
  <si>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</si>
  <si>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</si>
  <si>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</si>
  <si>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</si>
  <si>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</si>
  <si>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</si>
  <si>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</si>
  <si>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</si>
  <si>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</si>
  <si>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</si>
  <si>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</si>
  <si>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</si>
  <si>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</si>
  <si>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</si>
  <si>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</si>
  <si>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</si>
  <si>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</si>
  <si>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</si>
  <si>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</si>
  <si>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</si>
  <si>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</si>
  <si>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</si>
  <si>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</si>
  <si>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</si>
  <si>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</si>
  <si>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</si>
  <si>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</si>
  <si>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</si>
  <si>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</si>
  <si>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</si>
  <si>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</si>
  <si>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</si>
  <si>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</si>
  <si>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</si>
  <si>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</si>
  <si>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</si>
  <si>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</si>
  <si>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</si>
  <si>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</si>
  <si>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</si>
  <si>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</si>
  <si>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</si>
  <si>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</si>
  <si>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</si>
  <si>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</si>
  <si>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</si>
  <si>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</si>
  <si>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</si>
  <si>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</si>
  <si>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</si>
  <si>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</si>
  <si>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</si>
  <si>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</si>
  <si>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</si>
  <si>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</si>
  <si>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</si>
  <si>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</si>
  <si>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</si>
  <si>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</si>
  <si>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</si>
  <si>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</si>
  <si>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</si>
  <si>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</si>
  <si>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</si>
  <si>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</si>
  <si>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</si>
  <si>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</si>
  <si>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</si>
  <si>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</si>
  <si>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</si>
  <si>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</si>
  <si>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</si>
  <si>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</si>
  <si>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</si>
  <si>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</si>
  <si>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</si>
  <si>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</si>
  <si>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</si>
  <si>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</si>
  <si>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</si>
  <si>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</si>
  <si>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</si>
  <si>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</si>
  <si>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</si>
  <si>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</si>
  <si>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</si>
  <si>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</si>
  <si>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</si>
  <si>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</si>
  <si>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</si>
  <si>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</si>
  <si>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</si>
  <si>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</si>
  <si>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</si>
  <si>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</si>
  <si>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</si>
  <si>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</si>
  <si>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</si>
  <si>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</si>
  <si>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</si>
  <si>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</si>
  <si>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</si>
  <si>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</si>
  <si>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</si>
  <si>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</si>
  <si>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</si>
  <si>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</si>
  <si>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</si>
  <si>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</si>
  <si>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</si>
  <si>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</si>
  <si>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</si>
  <si>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</si>
  <si>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</si>
  <si>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</si>
  <si>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</si>
  <si>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</si>
  <si>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</si>
  <si>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</si>
  <si>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</si>
  <si>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</si>
  <si>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</si>
  <si>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</si>
  <si>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</si>
  <si>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</si>
  <si>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</si>
  <si>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</si>
  <si>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</si>
  <si>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</si>
  <si>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</si>
  <si>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</si>
  <si>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</si>
  <si>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</si>
  <si>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</si>
  <si>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</si>
  <si>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</si>
  <si>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</si>
  <si>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</si>
  <si>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</si>
  <si>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</si>
  <si>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</si>
  <si>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</si>
  <si>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</si>
  <si>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</si>
  <si>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</si>
  <si>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</si>
  <si>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</si>
  <si>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</si>
  <si>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</si>
  <si>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</si>
  <si>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</si>
  <si>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</si>
  <si>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</si>
  <si>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</si>
  <si>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</si>
  <si>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</si>
  <si>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</si>
  <si>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</si>
  <si>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</si>
  <si>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</si>
  <si>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</si>
  <si>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</si>
  <si>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</si>
  <si>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</si>
  <si>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</si>
  <si>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</si>
  <si>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</si>
  <si>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</si>
  <si>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</si>
  <si>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</si>
  <si>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</si>
  <si>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</si>
  <si>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</si>
  <si>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</si>
  <si>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</si>
  <si>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</si>
  <si>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</si>
  <si>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</si>
  <si>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</si>
  <si>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</si>
  <si>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</si>
  <si>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</si>
  <si>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</si>
  <si>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</si>
  <si>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</si>
  <si>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</si>
  <si>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</si>
  <si>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</si>
  <si>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</si>
  <si>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</si>
  <si>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</si>
  <si>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</si>
  <si>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</si>
  <si>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</si>
  <si>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</si>
  <si>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</si>
  <si>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</si>
  <si>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</si>
  <si>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</si>
  <si>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</si>
  <si>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</si>
  <si>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</si>
  <si>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</si>
  <si>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</si>
  <si>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</si>
  <si>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</si>
  <si>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</si>
  <si>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</si>
  <si>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</si>
  <si>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</si>
  <si>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</si>
  <si>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</si>
  <si>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</si>
  <si>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</si>
  <si>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</si>
  <si>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</si>
  <si>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</si>
  <si>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</si>
  <si>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</si>
  <si>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</si>
  <si>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</si>
  <si>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</si>
  <si>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</si>
  <si>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</si>
  <si>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</si>
  <si>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</si>
  <si>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</si>
  <si>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</si>
  <si>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</si>
  <si>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</si>
  <si>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</si>
  <si>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</si>
  <si>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</si>
  <si>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</si>
  <si>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</si>
  <si>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</si>
  <si>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</si>
  <si>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</si>
  <si>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</si>
  <si>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</si>
  <si>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</si>
  <si>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</si>
  <si>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</si>
  <si>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</si>
  <si>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</si>
  <si>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</si>
  <si>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</si>
  <si>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</si>
  <si>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</si>
  <si>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</si>
  <si>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</si>
  <si>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</si>
  <si>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</si>
  <si>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</si>
  <si>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</si>
  <si>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</si>
  <si>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</si>
  <si>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</si>
  <si>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</si>
  <si>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</si>
  <si>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</si>
  <si>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</si>
  <si>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</si>
  <si>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</si>
  <si>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</si>
  <si>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</si>
  <si>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</si>
  <si>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</si>
  <si>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</si>
  <si>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</si>
  <si>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</si>
  <si>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</si>
  <si>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</si>
  <si>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</si>
  <si>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</si>
  <si>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</si>
  <si>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</si>
  <si>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</si>
  <si>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</si>
  <si>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</si>
  <si>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</si>
  <si>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</si>
  <si>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</si>
  <si>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</si>
  <si>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</si>
  <si>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</si>
  <si>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</si>
  <si>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</si>
  <si>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</si>
  <si>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</si>
  <si>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</si>
  <si>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</si>
  <si>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</si>
  <si>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</si>
  <si>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</si>
  <si>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</si>
  <si>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</si>
  <si>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</si>
  <si>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</si>
  <si>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</si>
  <si>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</si>
  <si>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</si>
  <si>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</si>
  <si>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</si>
  <si>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</si>
  <si>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</si>
  <si>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</si>
  <si>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</si>
  <si>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</si>
  <si>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</si>
  <si>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</si>
  <si>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</si>
  <si>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</si>
  <si>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</si>
  <si>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</si>
  <si>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</si>
  <si>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</si>
  <si>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</si>
  <si>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</si>
  <si>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</si>
  <si>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</si>
  <si>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</si>
  <si>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</si>
  <si>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</si>
  <si>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</si>
  <si>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</si>
  <si>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</si>
  <si>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</si>
  <si>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</si>
  <si>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</si>
  <si>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</si>
  <si>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</si>
  <si>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</si>
  <si>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</si>
  <si>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</si>
  <si>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</si>
  <si>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</si>
  <si>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</si>
  <si>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</si>
  <si>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</si>
  <si>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</si>
  <si>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</si>
  <si>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</si>
  <si>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</si>
  <si>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</si>
  <si>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</si>
  <si>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</si>
  <si>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</si>
  <si>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</si>
  <si>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</si>
  <si>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</si>
  <si>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</si>
  <si>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</si>
  <si>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</si>
  <si>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</si>
  <si>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</si>
  <si>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</si>
  <si>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</si>
  <si>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</si>
  <si>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</si>
  <si>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</si>
  <si>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</si>
  <si>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</si>
  <si>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</si>
  <si>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</si>
  <si>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</si>
  <si>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</si>
  <si>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</si>
  <si>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</si>
  <si>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</si>
  <si>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</si>
  <si>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</si>
  <si>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</si>
  <si>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</si>
  <si>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</si>
  <si>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</si>
  <si>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</si>
  <si>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</si>
  <si>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</si>
  <si>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</si>
  <si>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</si>
  <si>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</si>
  <si>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</si>
  <si>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</si>
  <si>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</si>
  <si>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</si>
  <si>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</si>
  <si>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</si>
  <si>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</si>
  <si>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</si>
  <si>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</si>
  <si>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</si>
  <si>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</si>
  <si>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</si>
  <si>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</si>
  <si>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</si>
  <si>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</si>
  <si>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</si>
  <si>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</si>
  <si>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</si>
  <si>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</si>
  <si>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</si>
  <si>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</si>
  <si>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</si>
  <si>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</si>
  <si>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</si>
  <si>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</si>
  <si>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</si>
  <si>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</si>
  <si>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</si>
  <si>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</si>
  <si>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</si>
  <si>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</si>
  <si>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</si>
  <si>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</si>
  <si>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</si>
  <si>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</si>
  <si>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</si>
  <si>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</si>
  <si>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</si>
  <si>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</si>
  <si>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</si>
  <si>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</si>
  <si>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</si>
  <si>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</si>
  <si>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</si>
  <si>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</si>
  <si>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</si>
  <si>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</si>
  <si>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</si>
  <si>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</si>
  <si>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</si>
  <si>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</si>
  <si>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</si>
  <si>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</si>
  <si>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</si>
  <si>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</si>
  <si>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</si>
  <si>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</si>
  <si>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</si>
  <si>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</si>
  <si>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</si>
  <si>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</si>
  <si>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</si>
  <si>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</si>
  <si>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</si>
  <si>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</si>
  <si>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</si>
  <si>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</si>
  <si>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</si>
  <si>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</si>
  <si>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</si>
  <si>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</si>
  <si>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</si>
  <si>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</si>
  <si>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</si>
  <si>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</si>
  <si>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</si>
  <si>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</si>
  <si>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</si>
  <si>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</si>
  <si>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</si>
  <si>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</si>
  <si>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</si>
  <si>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</si>
  <si>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</si>
  <si>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</si>
  <si>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</si>
  <si>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</si>
  <si>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</si>
  <si>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</si>
  <si>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</si>
  <si>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</si>
  <si>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</si>
  <si>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</si>
  <si>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</si>
  <si>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</si>
  <si>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</si>
  <si>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</si>
  <si>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</si>
  <si>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</si>
  <si>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</si>
  <si>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</si>
  <si>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</si>
  <si>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</si>
  <si>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</si>
  <si>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</si>
  <si>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</si>
  <si>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</si>
  <si>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</si>
  <si>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</si>
  <si>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</si>
  <si>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</si>
  <si>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</si>
  <si>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</si>
  <si>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</si>
  <si>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</si>
  <si>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</si>
  <si>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</si>
  <si>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</si>
  <si>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</si>
  <si>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</si>
  <si>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</si>
  <si>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</si>
  <si>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</si>
  <si>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</si>
  <si>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</si>
  <si>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</si>
  <si>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</si>
  <si>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</si>
  <si>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</si>
  <si>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</si>
  <si>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</si>
  <si>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</si>
  <si>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</si>
  <si>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</si>
  <si>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</si>
  <si>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</si>
  <si>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</si>
  <si>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</si>
  <si>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</si>
  <si>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</si>
  <si>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</si>
  <si>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</si>
  <si>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</si>
  <si>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</si>
  <si>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</si>
  <si>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</si>
  <si>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</si>
  <si>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</si>
  <si>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</si>
  <si>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</si>
  <si>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</si>
  <si>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</si>
  <si>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</si>
  <si>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</si>
  <si>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</si>
  <si>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</si>
  <si>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</si>
  <si>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</si>
  <si>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</si>
  <si>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</si>
  <si>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</si>
  <si>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</si>
  <si>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</si>
  <si>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</si>
  <si>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</si>
  <si>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</si>
  <si>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</si>
  <si>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</si>
  <si>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</si>
  <si>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</si>
  <si>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</si>
  <si>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</si>
  <si>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</si>
  <si>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</si>
  <si>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</si>
  <si>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</si>
  <si>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</si>
  <si>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</si>
  <si>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</si>
  <si>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</si>
  <si>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</si>
  <si>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</si>
  <si>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</si>
  <si>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</si>
  <si>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</si>
  <si>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</si>
  <si>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</si>
  <si>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</si>
  <si>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</si>
  <si>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</si>
  <si>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</si>
  <si>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</si>
  <si>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</si>
  <si>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</si>
  <si>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</si>
  <si>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</si>
  <si>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</si>
  <si>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</si>
  <si>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</si>
  <si>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</si>
  <si>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</si>
  <si>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</si>
  <si>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</si>
  <si>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</si>
  <si>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</si>
  <si>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</si>
  <si>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</si>
  <si>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</si>
  <si>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</si>
  <si>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</si>
  <si>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</si>
  <si>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</si>
  <si>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</si>
  <si>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</si>
  <si>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</si>
  <si>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</si>
  <si>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</si>
  <si>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</si>
  <si>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</si>
  <si>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</si>
  <si>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</si>
  <si>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</si>
  <si>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</si>
  <si>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</si>
  <si>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</si>
  <si>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</si>
  <si>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</si>
  <si>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</si>
  <si>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</si>
  <si>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</si>
  <si>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</si>
  <si>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</si>
  <si>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</si>
  <si>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</si>
  <si>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</si>
  <si>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</si>
  <si>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</si>
  <si>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</si>
  <si>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</si>
  <si>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</si>
  <si>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</si>
  <si>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</si>
  <si>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</si>
  <si>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</si>
  <si>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</si>
  <si>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</si>
  <si>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</si>
  <si>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</si>
  <si>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</si>
  <si>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</si>
  <si>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</si>
  <si>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</si>
  <si>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</si>
  <si>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</si>
  <si>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</si>
  <si>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</si>
  <si>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</si>
  <si>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</si>
  <si>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</si>
  <si>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</si>
  <si>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</si>
  <si>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</si>
  <si>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</si>
  <si>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</si>
  <si>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</si>
  <si>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</si>
  <si>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</si>
  <si>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</si>
  <si>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</si>
  <si>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</si>
  <si>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</si>
  <si>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</si>
  <si>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</si>
  <si>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</si>
  <si>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</si>
  <si>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</si>
  <si>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</si>
  <si>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</si>
  <si>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</si>
  <si>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</si>
  <si>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</si>
  <si>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</si>
  <si>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</si>
  <si>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</si>
  <si>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</si>
  <si>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</si>
  <si>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</si>
  <si>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</si>
  <si>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</si>
  <si>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</si>
  <si>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</si>
  <si>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</si>
  <si>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</si>
  <si>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</si>
  <si>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</si>
  <si>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</si>
  <si>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</si>
  <si>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</si>
  <si>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</si>
  <si>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</si>
  <si>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</si>
  <si>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</si>
  <si>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</si>
  <si>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</si>
  <si>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</si>
  <si>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</si>
  <si>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</si>
  <si>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</si>
  <si>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</si>
  <si>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</si>
  <si>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</si>
  <si>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</si>
  <si>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</si>
  <si>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</si>
  <si>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</si>
  <si>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</si>
  <si>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</si>
  <si>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</si>
  <si>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</si>
  <si>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</si>
  <si>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</si>
  <si>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</si>
  <si>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</si>
  <si>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</si>
  <si>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</si>
  <si>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</si>
  <si>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</si>
  <si>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</si>
  <si>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</si>
  <si>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</si>
  <si>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</si>
  <si>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</si>
  <si>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</si>
  <si>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</si>
  <si>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</si>
  <si>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</si>
  <si>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</si>
  <si>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</si>
  <si>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</si>
  <si>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</si>
  <si>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</si>
  <si>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</si>
  <si>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</si>
  <si>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</si>
  <si>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</si>
  <si>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</si>
  <si>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</si>
  <si>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</si>
  <si>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</si>
  <si>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</si>
  <si>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</si>
  <si>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</si>
  <si>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</si>
  <si>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</si>
  <si>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</si>
  <si>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</si>
  <si>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</si>
  <si>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</si>
  <si>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</si>
  <si>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</si>
  <si>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</si>
  <si>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</si>
  <si>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</si>
  <si>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</si>
  <si>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</si>
  <si>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</si>
  <si>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</si>
  <si>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</si>
  <si>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</si>
  <si>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</si>
  <si>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</si>
  <si>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</si>
  <si>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</si>
  <si>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</si>
  <si>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</si>
  <si>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</si>
  <si>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</si>
  <si>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</si>
  <si>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</si>
  <si>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</si>
  <si>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</si>
  <si>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</si>
  <si>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</si>
  <si>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</si>
  <si>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</si>
  <si>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</si>
  <si>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</si>
  <si>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</si>
  <si>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</si>
  <si>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</si>
  <si>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</si>
  <si>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</si>
  <si>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</si>
  <si>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</si>
  <si>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</si>
  <si>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</si>
  <si>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</si>
  <si>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</si>
  <si>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</si>
  <si>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</si>
  <si>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</si>
  <si>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</si>
  <si>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</si>
  <si>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</si>
  <si>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</si>
  <si>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</si>
  <si>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</si>
  <si>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</si>
  <si>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</si>
  <si>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</si>
  <si>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</si>
  <si>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</si>
  <si>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</si>
  <si>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</si>
  <si>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</si>
  <si>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</si>
  <si>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</si>
  <si>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</si>
  <si>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</si>
  <si>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</si>
  <si>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</si>
  <si>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</si>
  <si>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</si>
  <si>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</si>
  <si>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</si>
  <si>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</si>
  <si>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</si>
  <si>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</si>
  <si>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</si>
  <si>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</si>
  <si>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</si>
  <si>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</si>
  <si>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</si>
  <si>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</si>
  <si>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</si>
  <si>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</si>
  <si>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</si>
  <si>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</si>
  <si>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</si>
  <si>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</si>
  <si>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</si>
  <si>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</si>
  <si>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</si>
  <si>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</si>
  <si>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</si>
  <si>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</si>
  <si>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</si>
  <si>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</si>
  <si>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</si>
  <si>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</si>
  <si>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</si>
  <si>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</si>
  <si>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</si>
  <si>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</si>
  <si>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</si>
  <si>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</si>
  <si>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</si>
  <si>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</si>
  <si>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</si>
  <si>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</si>
  <si>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</si>
  <si>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</si>
  <si>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</si>
  <si>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</si>
  <si>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</si>
  <si>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</si>
  <si>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</si>
  <si>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</si>
  <si>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</si>
  <si>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</si>
  <si>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</si>
  <si>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</si>
  <si>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</si>
  <si>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</si>
  <si>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</si>
  <si>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</si>
  <si>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</si>
  <si>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</si>
  <si>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</si>
  <si>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</si>
  <si>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</si>
  <si>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</si>
  <si>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44052</t>
  </si>
  <si>
    <t>OOSTERZELE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</si>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</sst>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95C0F127-ADA0-4B75-B5EC-6FB55D3FAA50}"/>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116506.6073202924</c:v>
                </c:pt>
                <c:pt idx="1">
                  <c:v>21548.710007842605</c:v>
                </c:pt>
                <c:pt idx="2">
                  <c:v>1019.85</c:v>
                </c:pt>
                <c:pt idx="3">
                  <c:v>11106.127277027834</c:v>
                </c:pt>
                <c:pt idx="4">
                  <c:v>13071.731025938705</c:v>
                </c:pt>
                <c:pt idx="5">
                  <c:v>97360.213272952518</c:v>
                </c:pt>
                <c:pt idx="6">
                  <c:v>569.65344919830056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116506.6073202924</c:v>
                </c:pt>
                <c:pt idx="1">
                  <c:v>21548.710007842605</c:v>
                </c:pt>
                <c:pt idx="2">
                  <c:v>1019.85</c:v>
                </c:pt>
                <c:pt idx="3">
                  <c:v>11106.127277027834</c:v>
                </c:pt>
                <c:pt idx="4">
                  <c:v>13071.731025938705</c:v>
                </c:pt>
                <c:pt idx="5">
                  <c:v>97360.213272952518</c:v>
                </c:pt>
                <c:pt idx="6">
                  <c:v>569.65344919830056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23939.218918795821</c:v>
                </c:pt>
                <c:pt idx="1">
                  <c:v>4262.3515111916986</c:v>
                </c:pt>
                <c:pt idx="2">
                  <c:v>196.34936141529076</c:v>
                </c:pt>
                <c:pt idx="3">
                  <c:v>2812.9941133849657</c:v>
                </c:pt>
                <c:pt idx="4">
                  <c:v>2537.880041870384</c:v>
                </c:pt>
                <c:pt idx="5">
                  <c:v>24104.399154939976</c:v>
                </c:pt>
                <c:pt idx="6">
                  <c:v>143.33015917296299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23939.218918795821</c:v>
                </c:pt>
                <c:pt idx="1">
                  <c:v>4262.3515111916986</c:v>
                </c:pt>
                <c:pt idx="2">
                  <c:v>196.34936141529076</c:v>
                </c:pt>
                <c:pt idx="3">
                  <c:v>2812.9941133849657</c:v>
                </c:pt>
                <c:pt idx="4">
                  <c:v>2537.880041870384</c:v>
                </c:pt>
                <c:pt idx="5">
                  <c:v>24104.399154939976</c:v>
                </c:pt>
                <c:pt idx="6">
                  <c:v>143.33015917296299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44052</v>
      </c>
      <c r="B6" s="384"/>
      <c r="C6" s="385"/>
    </row>
    <row r="7" spans="1:7" s="382" customFormat="1" ht="15.75" customHeight="1">
      <c r="A7" s="386" t="str">
        <f>txtMunicipality</f>
        <v>OOSTERZELE</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9966.4437446984848</v>
      </c>
      <c r="D10" s="681">
        <f ca="1">tertiair!C16</f>
        <v>0</v>
      </c>
      <c r="E10" s="681">
        <f ca="1">tertiair!D16</f>
        <v>10338.298307183415</v>
      </c>
      <c r="F10" s="681">
        <f>tertiair!E16</f>
        <v>38.795428226198538</v>
      </c>
      <c r="G10" s="681">
        <f ca="1">tertiair!F16</f>
        <v>1658.1948380335568</v>
      </c>
      <c r="H10" s="681">
        <f>tertiair!G16</f>
        <v>0</v>
      </c>
      <c r="I10" s="681">
        <f>tertiair!H16</f>
        <v>0</v>
      </c>
      <c r="J10" s="681">
        <f>tertiair!I16</f>
        <v>0</v>
      </c>
      <c r="K10" s="681">
        <f>tertiair!J16</f>
        <v>1.0368612282783476E-2</v>
      </c>
      <c r="L10" s="681">
        <f>tertiair!K16</f>
        <v>0</v>
      </c>
      <c r="M10" s="681">
        <f ca="1">tertiair!L16</f>
        <v>0</v>
      </c>
      <c r="N10" s="681">
        <f>tertiair!M16</f>
        <v>0</v>
      </c>
      <c r="O10" s="681">
        <f ca="1">tertiair!N16</f>
        <v>404.3026454033407</v>
      </c>
      <c r="P10" s="681">
        <f>tertiair!O16</f>
        <v>4.8972607658411542</v>
      </c>
      <c r="Q10" s="682">
        <f>tertiair!P16</f>
        <v>157.61741491948504</v>
      </c>
      <c r="R10" s="684">
        <f ca="1">SUM(C10:Q10)</f>
        <v>22568.560007842603</v>
      </c>
      <c r="S10" s="67"/>
    </row>
    <row r="11" spans="1:19" s="443" customFormat="1">
      <c r="A11" s="802" t="s">
        <v>214</v>
      </c>
      <c r="B11" s="807"/>
      <c r="C11" s="681">
        <f>huishoudens!B8</f>
        <v>27287.539873711277</v>
      </c>
      <c r="D11" s="681">
        <f>huishoudens!C8</f>
        <v>0</v>
      </c>
      <c r="E11" s="681">
        <f>huishoudens!D8</f>
        <v>39353.137103357934</v>
      </c>
      <c r="F11" s="681">
        <f>huishoudens!E8</f>
        <v>1754.2193560327923</v>
      </c>
      <c r="G11" s="681">
        <f>huishoudens!F8</f>
        <v>38428.990999266105</v>
      </c>
      <c r="H11" s="681">
        <f>huishoudens!G8</f>
        <v>0</v>
      </c>
      <c r="I11" s="681">
        <f>huishoudens!H8</f>
        <v>0</v>
      </c>
      <c r="J11" s="681">
        <f>huishoudens!I8</f>
        <v>0</v>
      </c>
      <c r="K11" s="681">
        <f>huishoudens!J8</f>
        <v>219.01102282798874</v>
      </c>
      <c r="L11" s="681">
        <f>huishoudens!K8</f>
        <v>0</v>
      </c>
      <c r="M11" s="681">
        <f>huishoudens!L8</f>
        <v>0</v>
      </c>
      <c r="N11" s="681">
        <f>huishoudens!M8</f>
        <v>0</v>
      </c>
      <c r="O11" s="681">
        <f>huishoudens!N8</f>
        <v>7608.224491347436</v>
      </c>
      <c r="P11" s="681">
        <f>huishoudens!O8</f>
        <v>486.06976374982281</v>
      </c>
      <c r="Q11" s="682">
        <f>huishoudens!P8</f>
        <v>1369.4147099990528</v>
      </c>
      <c r="R11" s="684">
        <f>SUM(C11:Q11)</f>
        <v>116506.6073202924</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5926.7081842441285</v>
      </c>
      <c r="D13" s="681">
        <f>industrie!C18</f>
        <v>0</v>
      </c>
      <c r="E13" s="681">
        <f>industrie!D18</f>
        <v>5473.1562931796116</v>
      </c>
      <c r="F13" s="681">
        <f>industrie!E18</f>
        <v>25.896948272650398</v>
      </c>
      <c r="G13" s="681">
        <f>industrie!F18</f>
        <v>1034.3614991769603</v>
      </c>
      <c r="H13" s="681">
        <f>industrie!G18</f>
        <v>0</v>
      </c>
      <c r="I13" s="681">
        <f>industrie!H18</f>
        <v>0</v>
      </c>
      <c r="J13" s="681">
        <f>industrie!I18</f>
        <v>0</v>
      </c>
      <c r="K13" s="681">
        <f>industrie!J18</f>
        <v>25.971542008594813</v>
      </c>
      <c r="L13" s="681">
        <f>industrie!K18</f>
        <v>0</v>
      </c>
      <c r="M13" s="681">
        <f>industrie!L18</f>
        <v>0</v>
      </c>
      <c r="N13" s="681">
        <f>industrie!M18</f>
        <v>0</v>
      </c>
      <c r="O13" s="681">
        <f>industrie!N18</f>
        <v>585.63655905676001</v>
      </c>
      <c r="P13" s="681">
        <f>industrie!O18</f>
        <v>0</v>
      </c>
      <c r="Q13" s="682">
        <f>industrie!P18</f>
        <v>0</v>
      </c>
      <c r="R13" s="684">
        <f>SUM(C13:Q13)</f>
        <v>13071.731025938705</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43180.691802653892</v>
      </c>
      <c r="D16" s="717">
        <f t="shared" ref="D16:R16" ca="1" si="0">SUM(D9:D15)</f>
        <v>0</v>
      </c>
      <c r="E16" s="717">
        <f t="shared" ca="1" si="0"/>
        <v>55164.591703720966</v>
      </c>
      <c r="F16" s="717">
        <f t="shared" si="0"/>
        <v>1818.9117325316413</v>
      </c>
      <c r="G16" s="717">
        <f t="shared" ca="1" si="0"/>
        <v>41121.547336476622</v>
      </c>
      <c r="H16" s="717">
        <f t="shared" si="0"/>
        <v>0</v>
      </c>
      <c r="I16" s="717">
        <f t="shared" si="0"/>
        <v>0</v>
      </c>
      <c r="J16" s="717">
        <f t="shared" si="0"/>
        <v>0</v>
      </c>
      <c r="K16" s="717">
        <f t="shared" si="0"/>
        <v>244.99293344886632</v>
      </c>
      <c r="L16" s="717">
        <f t="shared" si="0"/>
        <v>0</v>
      </c>
      <c r="M16" s="717">
        <f t="shared" ca="1" si="0"/>
        <v>0</v>
      </c>
      <c r="N16" s="717">
        <f t="shared" si="0"/>
        <v>0</v>
      </c>
      <c r="O16" s="717">
        <f t="shared" ca="1" si="0"/>
        <v>8598.163695807536</v>
      </c>
      <c r="P16" s="717">
        <f t="shared" si="0"/>
        <v>490.96702451566398</v>
      </c>
      <c r="Q16" s="717">
        <f t="shared" si="0"/>
        <v>1527.0321249185379</v>
      </c>
      <c r="R16" s="717">
        <f t="shared" ca="1" si="0"/>
        <v>152146.8983540737</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8.4772948956330083</v>
      </c>
      <c r="D19" s="681">
        <f>transport!C54</f>
        <v>0</v>
      </c>
      <c r="E19" s="681">
        <f>transport!D54</f>
        <v>0</v>
      </c>
      <c r="F19" s="681">
        <f>transport!E54</f>
        <v>0</v>
      </c>
      <c r="G19" s="681">
        <f>transport!F54</f>
        <v>0</v>
      </c>
      <c r="H19" s="681">
        <f>transport!G54</f>
        <v>530.7042891240327</v>
      </c>
      <c r="I19" s="681">
        <f>transport!H54</f>
        <v>0</v>
      </c>
      <c r="J19" s="681">
        <f>transport!I54</f>
        <v>0</v>
      </c>
      <c r="K19" s="681">
        <f>transport!J54</f>
        <v>0</v>
      </c>
      <c r="L19" s="681">
        <f>transport!K54</f>
        <v>0</v>
      </c>
      <c r="M19" s="681">
        <f>transport!L54</f>
        <v>0</v>
      </c>
      <c r="N19" s="681">
        <f>transport!M54</f>
        <v>30.471865178634854</v>
      </c>
      <c r="O19" s="681">
        <f>transport!N54</f>
        <v>0</v>
      </c>
      <c r="P19" s="681">
        <f>transport!O54</f>
        <v>0</v>
      </c>
      <c r="Q19" s="682">
        <f>transport!P54</f>
        <v>0</v>
      </c>
      <c r="R19" s="684">
        <f>SUM(C19:Q19)</f>
        <v>569.65344919830056</v>
      </c>
      <c r="S19" s="67"/>
    </row>
    <row r="20" spans="1:19" s="443" customFormat="1">
      <c r="A20" s="802" t="s">
        <v>296</v>
      </c>
      <c r="B20" s="807"/>
      <c r="C20" s="681">
        <f>transport!B14</f>
        <v>225.27556049956769</v>
      </c>
      <c r="D20" s="681">
        <f>transport!C14</f>
        <v>0</v>
      </c>
      <c r="E20" s="681">
        <f>transport!D14</f>
        <v>421.06951011559931</v>
      </c>
      <c r="F20" s="681">
        <f>transport!E14</f>
        <v>164.03910486223788</v>
      </c>
      <c r="G20" s="681">
        <f>transport!F14</f>
        <v>0</v>
      </c>
      <c r="H20" s="681">
        <f>transport!G14</f>
        <v>70473.597981350933</v>
      </c>
      <c r="I20" s="681">
        <f>transport!H14</f>
        <v>20571.420857467889</v>
      </c>
      <c r="J20" s="681">
        <f>transport!I14</f>
        <v>0</v>
      </c>
      <c r="K20" s="681">
        <f>transport!J14</f>
        <v>0</v>
      </c>
      <c r="L20" s="681">
        <f>transport!K14</f>
        <v>0</v>
      </c>
      <c r="M20" s="681">
        <f>transport!L14</f>
        <v>0</v>
      </c>
      <c r="N20" s="681">
        <f>transport!M14</f>
        <v>5504.8102586562827</v>
      </c>
      <c r="O20" s="681">
        <f>transport!N14</f>
        <v>0</v>
      </c>
      <c r="P20" s="681">
        <f>transport!O14</f>
        <v>0</v>
      </c>
      <c r="Q20" s="682">
        <f>transport!P14</f>
        <v>0</v>
      </c>
      <c r="R20" s="684">
        <f>SUM(C20:Q20)</f>
        <v>97360.213272952518</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233.7528553952007</v>
      </c>
      <c r="D22" s="805">
        <f t="shared" ref="D22:R22" si="1">SUM(D18:D21)</f>
        <v>0</v>
      </c>
      <c r="E22" s="805">
        <f t="shared" si="1"/>
        <v>421.06951011559931</v>
      </c>
      <c r="F22" s="805">
        <f t="shared" si="1"/>
        <v>164.03910486223788</v>
      </c>
      <c r="G22" s="805">
        <f t="shared" si="1"/>
        <v>0</v>
      </c>
      <c r="H22" s="805">
        <f t="shared" si="1"/>
        <v>71004.30227047496</v>
      </c>
      <c r="I22" s="805">
        <f t="shared" si="1"/>
        <v>20571.420857467889</v>
      </c>
      <c r="J22" s="805">
        <f t="shared" si="1"/>
        <v>0</v>
      </c>
      <c r="K22" s="805">
        <f t="shared" si="1"/>
        <v>0</v>
      </c>
      <c r="L22" s="805">
        <f t="shared" si="1"/>
        <v>0</v>
      </c>
      <c r="M22" s="805">
        <f t="shared" si="1"/>
        <v>0</v>
      </c>
      <c r="N22" s="805">
        <f t="shared" si="1"/>
        <v>5535.2821238349179</v>
      </c>
      <c r="O22" s="805">
        <f t="shared" si="1"/>
        <v>0</v>
      </c>
      <c r="P22" s="805">
        <f t="shared" si="1"/>
        <v>0</v>
      </c>
      <c r="Q22" s="805">
        <f t="shared" si="1"/>
        <v>0</v>
      </c>
      <c r="R22" s="805">
        <f t="shared" si="1"/>
        <v>97929.866722150822</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2416.96953194045</v>
      </c>
      <c r="D24" s="681">
        <f>+landbouw!C8</f>
        <v>0</v>
      </c>
      <c r="E24" s="681">
        <f>+landbouw!D8</f>
        <v>354.49517254657394</v>
      </c>
      <c r="F24" s="681">
        <f>+landbouw!E8</f>
        <v>69.226097656065335</v>
      </c>
      <c r="G24" s="681">
        <f>+landbouw!F8</f>
        <v>7650.8770215369759</v>
      </c>
      <c r="H24" s="681">
        <f>+landbouw!G8</f>
        <v>0</v>
      </c>
      <c r="I24" s="681">
        <f>+landbouw!H8</f>
        <v>0</v>
      </c>
      <c r="J24" s="681">
        <f>+landbouw!I8</f>
        <v>0</v>
      </c>
      <c r="K24" s="681">
        <f>+landbouw!J8</f>
        <v>614.5594533477697</v>
      </c>
      <c r="L24" s="681">
        <f>+landbouw!K8</f>
        <v>0</v>
      </c>
      <c r="M24" s="681">
        <f>+landbouw!L8</f>
        <v>0</v>
      </c>
      <c r="N24" s="681">
        <f>+landbouw!M8</f>
        <v>0</v>
      </c>
      <c r="O24" s="681">
        <f>+landbouw!N8</f>
        <v>0</v>
      </c>
      <c r="P24" s="681">
        <f>+landbouw!O8</f>
        <v>0</v>
      </c>
      <c r="Q24" s="682">
        <f>+landbouw!P8</f>
        <v>0</v>
      </c>
      <c r="R24" s="684">
        <f>SUM(C24:Q24)</f>
        <v>11106.127277027834</v>
      </c>
      <c r="S24" s="67"/>
    </row>
    <row r="25" spans="1:19" s="443" customFormat="1" ht="15" thickBot="1">
      <c r="A25" s="824" t="s">
        <v>690</v>
      </c>
      <c r="B25" s="937"/>
      <c r="C25" s="938">
        <f>IF(Onbekend_ele_kWh="---",0,Onbekend_ele_kWh)/1000+IF(REST_rest_ele_kWh="---",0,REST_rest_ele_kWh)/1000</f>
        <v>519.410154883784</v>
      </c>
      <c r="D25" s="938"/>
      <c r="E25" s="938">
        <f>IF(onbekend_gas_kWh="---",0,onbekend_gas_kWh)/1000+IF(REST_rest_gas_kWh="---",0,REST_rest_gas_kWh)/1000</f>
        <v>753.146075148975</v>
      </c>
      <c r="F25" s="938"/>
      <c r="G25" s="938"/>
      <c r="H25" s="938"/>
      <c r="I25" s="938"/>
      <c r="J25" s="938"/>
      <c r="K25" s="938"/>
      <c r="L25" s="938"/>
      <c r="M25" s="938"/>
      <c r="N25" s="938"/>
      <c r="O25" s="938"/>
      <c r="P25" s="938"/>
      <c r="Q25" s="939"/>
      <c r="R25" s="684">
        <f>SUM(C25:Q25)</f>
        <v>1272.556230032759</v>
      </c>
      <c r="S25" s="67"/>
    </row>
    <row r="26" spans="1:19" s="443" customFormat="1" ht="15.75" thickBot="1">
      <c r="A26" s="689" t="s">
        <v>691</v>
      </c>
      <c r="B26" s="810"/>
      <c r="C26" s="805">
        <f>SUM(C24:C25)</f>
        <v>2936.3796868242339</v>
      </c>
      <c r="D26" s="805">
        <f t="shared" ref="D26:R26" si="2">SUM(D24:D25)</f>
        <v>0</v>
      </c>
      <c r="E26" s="805">
        <f t="shared" si="2"/>
        <v>1107.6412476955488</v>
      </c>
      <c r="F26" s="805">
        <f t="shared" si="2"/>
        <v>69.226097656065335</v>
      </c>
      <c r="G26" s="805">
        <f t="shared" si="2"/>
        <v>7650.8770215369759</v>
      </c>
      <c r="H26" s="805">
        <f t="shared" si="2"/>
        <v>0</v>
      </c>
      <c r="I26" s="805">
        <f t="shared" si="2"/>
        <v>0</v>
      </c>
      <c r="J26" s="805">
        <f t="shared" si="2"/>
        <v>0</v>
      </c>
      <c r="K26" s="805">
        <f t="shared" si="2"/>
        <v>614.5594533477697</v>
      </c>
      <c r="L26" s="805">
        <f t="shared" si="2"/>
        <v>0</v>
      </c>
      <c r="M26" s="805">
        <f t="shared" si="2"/>
        <v>0</v>
      </c>
      <c r="N26" s="805">
        <f t="shared" si="2"/>
        <v>0</v>
      </c>
      <c r="O26" s="805">
        <f t="shared" si="2"/>
        <v>0</v>
      </c>
      <c r="P26" s="805">
        <f t="shared" si="2"/>
        <v>0</v>
      </c>
      <c r="Q26" s="805">
        <f t="shared" si="2"/>
        <v>0</v>
      </c>
      <c r="R26" s="805">
        <f t="shared" si="2"/>
        <v>12378.683507060592</v>
      </c>
      <c r="S26" s="67"/>
    </row>
    <row r="27" spans="1:19" s="443" customFormat="1" ht="17.25" thickTop="1" thickBot="1">
      <c r="A27" s="690" t="s">
        <v>109</v>
      </c>
      <c r="B27" s="797"/>
      <c r="C27" s="691">
        <f ca="1">C22+C16+C26</f>
        <v>46350.824344873326</v>
      </c>
      <c r="D27" s="691">
        <f t="shared" ref="D27:R27" ca="1" si="3">D22+D16+D26</f>
        <v>0</v>
      </c>
      <c r="E27" s="691">
        <f t="shared" ca="1" si="3"/>
        <v>56693.302461532119</v>
      </c>
      <c r="F27" s="691">
        <f t="shared" si="3"/>
        <v>2052.1769350499444</v>
      </c>
      <c r="G27" s="691">
        <f t="shared" ca="1" si="3"/>
        <v>48772.424358013595</v>
      </c>
      <c r="H27" s="691">
        <f t="shared" si="3"/>
        <v>71004.30227047496</v>
      </c>
      <c r="I27" s="691">
        <f t="shared" si="3"/>
        <v>20571.420857467889</v>
      </c>
      <c r="J27" s="691">
        <f t="shared" si="3"/>
        <v>0</v>
      </c>
      <c r="K27" s="691">
        <f t="shared" si="3"/>
        <v>859.55238679663603</v>
      </c>
      <c r="L27" s="691">
        <f t="shared" si="3"/>
        <v>0</v>
      </c>
      <c r="M27" s="691">
        <f t="shared" ca="1" si="3"/>
        <v>0</v>
      </c>
      <c r="N27" s="691">
        <f t="shared" si="3"/>
        <v>5535.2821238349179</v>
      </c>
      <c r="O27" s="691">
        <f t="shared" ca="1" si="3"/>
        <v>8598.163695807536</v>
      </c>
      <c r="P27" s="691">
        <f t="shared" si="3"/>
        <v>490.96702451566398</v>
      </c>
      <c r="Q27" s="691">
        <f t="shared" si="3"/>
        <v>1527.0321249185379</v>
      </c>
      <c r="R27" s="691">
        <f t="shared" ca="1" si="3"/>
        <v>262455.44858328509</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1918.8163601048846</v>
      </c>
      <c r="D40" s="681">
        <f ca="1">tertiair!C20</f>
        <v>0</v>
      </c>
      <c r="E40" s="681">
        <f ca="1">tertiair!D20</f>
        <v>2088.3362580510502</v>
      </c>
      <c r="F40" s="681">
        <f>tertiair!E20</f>
        <v>8.8065622073470688</v>
      </c>
      <c r="G40" s="681">
        <f ca="1">tertiair!F20</f>
        <v>442.73802175495968</v>
      </c>
      <c r="H40" s="681">
        <f>tertiair!G20</f>
        <v>0</v>
      </c>
      <c r="I40" s="681">
        <f>tertiair!H20</f>
        <v>0</v>
      </c>
      <c r="J40" s="681">
        <f>tertiair!I20</f>
        <v>0</v>
      </c>
      <c r="K40" s="681">
        <f>tertiair!J20</f>
        <v>3.6704887481053506E-3</v>
      </c>
      <c r="L40" s="681">
        <f>tertiair!K20</f>
        <v>0</v>
      </c>
      <c r="M40" s="681">
        <f ca="1">tertiair!L20</f>
        <v>0</v>
      </c>
      <c r="N40" s="681">
        <f>tertiair!M20</f>
        <v>0</v>
      </c>
      <c r="O40" s="681">
        <f ca="1">tertiair!N20</f>
        <v>0</v>
      </c>
      <c r="P40" s="681">
        <f>tertiair!O20</f>
        <v>0</v>
      </c>
      <c r="Q40" s="764">
        <f>tertiair!P20</f>
        <v>0</v>
      </c>
      <c r="R40" s="843">
        <f t="shared" ca="1" si="4"/>
        <v>4458.7008726069898</v>
      </c>
    </row>
    <row r="41" spans="1:18">
      <c r="A41" s="815" t="s">
        <v>214</v>
      </c>
      <c r="B41" s="822"/>
      <c r="C41" s="681">
        <f ca="1">huishoudens!B12</f>
        <v>5253.6069312129166</v>
      </c>
      <c r="D41" s="681">
        <f ca="1">huishoudens!C12</f>
        <v>0</v>
      </c>
      <c r="E41" s="681">
        <f>huishoudens!D12</f>
        <v>7949.3336948783035</v>
      </c>
      <c r="F41" s="681">
        <f>huishoudens!E12</f>
        <v>398.20779381944385</v>
      </c>
      <c r="G41" s="681">
        <f>huishoudens!F12</f>
        <v>10260.54059680405</v>
      </c>
      <c r="H41" s="681">
        <f>huishoudens!G12</f>
        <v>0</v>
      </c>
      <c r="I41" s="681">
        <f>huishoudens!H12</f>
        <v>0</v>
      </c>
      <c r="J41" s="681">
        <f>huishoudens!I12</f>
        <v>0</v>
      </c>
      <c r="K41" s="681">
        <f>huishoudens!J12</f>
        <v>77.529902081108006</v>
      </c>
      <c r="L41" s="681">
        <f>huishoudens!K12</f>
        <v>0</v>
      </c>
      <c r="M41" s="681">
        <f>huishoudens!L12</f>
        <v>0</v>
      </c>
      <c r="N41" s="681">
        <f>huishoudens!M12</f>
        <v>0</v>
      </c>
      <c r="O41" s="681">
        <f>huishoudens!N12</f>
        <v>0</v>
      </c>
      <c r="P41" s="681">
        <f>huishoudens!O12</f>
        <v>0</v>
      </c>
      <c r="Q41" s="764">
        <f>huishoudens!P12</f>
        <v>0</v>
      </c>
      <c r="R41" s="843">
        <f t="shared" ca="1" si="4"/>
        <v>23939.218918795821</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1141.0554172389195</v>
      </c>
      <c r="D43" s="681">
        <f ca="1">industrie!C22</f>
        <v>0</v>
      </c>
      <c r="E43" s="681">
        <f>industrie!D22</f>
        <v>1105.5775712222817</v>
      </c>
      <c r="F43" s="681">
        <f>industrie!E22</f>
        <v>5.8786072578916402</v>
      </c>
      <c r="G43" s="681">
        <f>industrie!F22</f>
        <v>276.17452028024843</v>
      </c>
      <c r="H43" s="681">
        <f>industrie!G22</f>
        <v>0</v>
      </c>
      <c r="I43" s="681">
        <f>industrie!H22</f>
        <v>0</v>
      </c>
      <c r="J43" s="681">
        <f>industrie!I22</f>
        <v>0</v>
      </c>
      <c r="K43" s="681">
        <f>industrie!J22</f>
        <v>9.1939258710425626</v>
      </c>
      <c r="L43" s="681">
        <f>industrie!K22</f>
        <v>0</v>
      </c>
      <c r="M43" s="681">
        <f>industrie!L22</f>
        <v>0</v>
      </c>
      <c r="N43" s="681">
        <f>industrie!M22</f>
        <v>0</v>
      </c>
      <c r="O43" s="681">
        <f>industrie!N22</f>
        <v>0</v>
      </c>
      <c r="P43" s="681">
        <f>industrie!O22</f>
        <v>0</v>
      </c>
      <c r="Q43" s="764">
        <f>industrie!P22</f>
        <v>0</v>
      </c>
      <c r="R43" s="842">
        <f t="shared" ca="1" si="4"/>
        <v>2537.880041870384</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8313.4787085567204</v>
      </c>
      <c r="D46" s="717">
        <f t="shared" ref="D46:Q46" ca="1" si="5">SUM(D39:D45)</f>
        <v>0</v>
      </c>
      <c r="E46" s="717">
        <f t="shared" ca="1" si="5"/>
        <v>11143.247524151637</v>
      </c>
      <c r="F46" s="717">
        <f t="shared" si="5"/>
        <v>412.89296328468254</v>
      </c>
      <c r="G46" s="717">
        <f t="shared" ca="1" si="5"/>
        <v>10979.453138839259</v>
      </c>
      <c r="H46" s="717">
        <f t="shared" si="5"/>
        <v>0</v>
      </c>
      <c r="I46" s="717">
        <f t="shared" si="5"/>
        <v>0</v>
      </c>
      <c r="J46" s="717">
        <f t="shared" si="5"/>
        <v>0</v>
      </c>
      <c r="K46" s="717">
        <f t="shared" si="5"/>
        <v>86.727498440898671</v>
      </c>
      <c r="L46" s="717">
        <f t="shared" si="5"/>
        <v>0</v>
      </c>
      <c r="M46" s="717">
        <f t="shared" ca="1" si="5"/>
        <v>0</v>
      </c>
      <c r="N46" s="717">
        <f t="shared" si="5"/>
        <v>0</v>
      </c>
      <c r="O46" s="717">
        <f t="shared" ca="1" si="5"/>
        <v>0</v>
      </c>
      <c r="P46" s="717">
        <f t="shared" si="5"/>
        <v>0</v>
      </c>
      <c r="Q46" s="717">
        <f t="shared" si="5"/>
        <v>0</v>
      </c>
      <c r="R46" s="717">
        <f ca="1">SUM(R39:R45)</f>
        <v>30935.799833273195</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1.6321139768462469</v>
      </c>
      <c r="D49" s="681">
        <f ca="1">transport!C58</f>
        <v>0</v>
      </c>
      <c r="E49" s="681">
        <f>transport!D58</f>
        <v>0</v>
      </c>
      <c r="F49" s="681">
        <f>transport!E58</f>
        <v>0</v>
      </c>
      <c r="G49" s="681">
        <f>transport!F58</f>
        <v>0</v>
      </c>
      <c r="H49" s="681">
        <f>transport!G58</f>
        <v>141.69804519611674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143.33015917296299</v>
      </c>
    </row>
    <row r="50" spans="1:18">
      <c r="A50" s="818" t="s">
        <v>296</v>
      </c>
      <c r="B50" s="828"/>
      <c r="C50" s="687">
        <f ca="1">transport!B18</f>
        <v>43.371782562692367</v>
      </c>
      <c r="D50" s="687">
        <f>transport!C18</f>
        <v>0</v>
      </c>
      <c r="E50" s="687">
        <f>transport!D18</f>
        <v>85.056041043351073</v>
      </c>
      <c r="F50" s="687">
        <f>transport!E18</f>
        <v>37.236876803728002</v>
      </c>
      <c r="G50" s="687">
        <f>transport!F18</f>
        <v>0</v>
      </c>
      <c r="H50" s="687">
        <f>transport!G18</f>
        <v>18816.450661020699</v>
      </c>
      <c r="I50" s="687">
        <f>transport!H18</f>
        <v>5122.283793509504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24104.399154939976</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45.003896539538616</v>
      </c>
      <c r="D52" s="717">
        <f t="shared" ref="D52:Q52" ca="1" si="6">SUM(D48:D51)</f>
        <v>0</v>
      </c>
      <c r="E52" s="717">
        <f t="shared" si="6"/>
        <v>85.056041043351073</v>
      </c>
      <c r="F52" s="717">
        <f t="shared" si="6"/>
        <v>37.236876803728002</v>
      </c>
      <c r="G52" s="717">
        <f t="shared" si="6"/>
        <v>0</v>
      </c>
      <c r="H52" s="717">
        <f t="shared" si="6"/>
        <v>18958.148706216816</v>
      </c>
      <c r="I52" s="717">
        <f t="shared" si="6"/>
        <v>5122.283793509504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24247.729314112938</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465.33355312714764</v>
      </c>
      <c r="D54" s="687">
        <f ca="1">+landbouw!C12</f>
        <v>0</v>
      </c>
      <c r="E54" s="687">
        <f>+landbouw!D12</f>
        <v>71.608024854407944</v>
      </c>
      <c r="F54" s="687">
        <f>+landbouw!E12</f>
        <v>15.714324167926831</v>
      </c>
      <c r="G54" s="687">
        <f>+landbouw!F12</f>
        <v>2042.7841647503726</v>
      </c>
      <c r="H54" s="687">
        <f>+landbouw!G12</f>
        <v>0</v>
      </c>
      <c r="I54" s="687">
        <f>+landbouw!H12</f>
        <v>0</v>
      </c>
      <c r="J54" s="687">
        <f>+landbouw!I12</f>
        <v>0</v>
      </c>
      <c r="K54" s="687">
        <f>+landbouw!J12</f>
        <v>217.55404648511046</v>
      </c>
      <c r="L54" s="687">
        <f>+landbouw!K12</f>
        <v>0</v>
      </c>
      <c r="M54" s="687">
        <f>+landbouw!L12</f>
        <v>0</v>
      </c>
      <c r="N54" s="687">
        <f>+landbouw!M12</f>
        <v>0</v>
      </c>
      <c r="O54" s="687">
        <f>+landbouw!N12</f>
        <v>0</v>
      </c>
      <c r="P54" s="687">
        <f>+landbouw!O12</f>
        <v>0</v>
      </c>
      <c r="Q54" s="688">
        <f>+landbouw!P12</f>
        <v>0</v>
      </c>
      <c r="R54" s="716">
        <f ca="1">SUM(C54:Q54)</f>
        <v>2812.9941133849657</v>
      </c>
    </row>
    <row r="55" spans="1:18" ht="15" thickBot="1">
      <c r="A55" s="818" t="s">
        <v>690</v>
      </c>
      <c r="B55" s="828"/>
      <c r="C55" s="687">
        <f ca="1">C25*'EF ele_warmte'!B12</f>
        <v>100.00083563666054</v>
      </c>
      <c r="D55" s="687"/>
      <c r="E55" s="687">
        <f>E25*EF_CO2_aardgas</f>
        <v>152.13550718009296</v>
      </c>
      <c r="F55" s="687"/>
      <c r="G55" s="687"/>
      <c r="H55" s="687"/>
      <c r="I55" s="687"/>
      <c r="J55" s="687"/>
      <c r="K55" s="687"/>
      <c r="L55" s="687"/>
      <c r="M55" s="687"/>
      <c r="N55" s="687"/>
      <c r="O55" s="687"/>
      <c r="P55" s="687"/>
      <c r="Q55" s="688"/>
      <c r="R55" s="716">
        <f ca="1">SUM(C55:Q55)</f>
        <v>252.13634281675348</v>
      </c>
    </row>
    <row r="56" spans="1:18" ht="15.75" thickBot="1">
      <c r="A56" s="816" t="s">
        <v>691</v>
      </c>
      <c r="B56" s="829"/>
      <c r="C56" s="717">
        <f ca="1">SUM(C54:C55)</f>
        <v>565.33438876380819</v>
      </c>
      <c r="D56" s="717">
        <f t="shared" ref="D56:Q56" ca="1" si="7">SUM(D54:D55)</f>
        <v>0</v>
      </c>
      <c r="E56" s="717">
        <f t="shared" si="7"/>
        <v>223.7435320345009</v>
      </c>
      <c r="F56" s="717">
        <f t="shared" si="7"/>
        <v>15.714324167926831</v>
      </c>
      <c r="G56" s="717">
        <f t="shared" si="7"/>
        <v>2042.7841647503726</v>
      </c>
      <c r="H56" s="717">
        <f t="shared" si="7"/>
        <v>0</v>
      </c>
      <c r="I56" s="717">
        <f t="shared" si="7"/>
        <v>0</v>
      </c>
      <c r="J56" s="717">
        <f t="shared" si="7"/>
        <v>0</v>
      </c>
      <c r="K56" s="717">
        <f t="shared" si="7"/>
        <v>217.55404648511046</v>
      </c>
      <c r="L56" s="717">
        <f t="shared" si="7"/>
        <v>0</v>
      </c>
      <c r="M56" s="717">
        <f t="shared" si="7"/>
        <v>0</v>
      </c>
      <c r="N56" s="717">
        <f t="shared" si="7"/>
        <v>0</v>
      </c>
      <c r="O56" s="717">
        <f t="shared" si="7"/>
        <v>0</v>
      </c>
      <c r="P56" s="717">
        <f t="shared" si="7"/>
        <v>0</v>
      </c>
      <c r="Q56" s="718">
        <f t="shared" si="7"/>
        <v>0</v>
      </c>
      <c r="R56" s="719">
        <f ca="1">SUM(R54:R55)</f>
        <v>3065.130456201719</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8923.8169938600658</v>
      </c>
      <c r="D61" s="725">
        <f t="shared" ref="D61:Q61" ca="1" si="8">D46+D52+D56</f>
        <v>0</v>
      </c>
      <c r="E61" s="725">
        <f t="shared" ca="1" si="8"/>
        <v>11452.04709722949</v>
      </c>
      <c r="F61" s="725">
        <f t="shared" si="8"/>
        <v>465.84416425633736</v>
      </c>
      <c r="G61" s="725">
        <f t="shared" ca="1" si="8"/>
        <v>13022.237303589631</v>
      </c>
      <c r="H61" s="725">
        <f t="shared" si="8"/>
        <v>18958.148706216816</v>
      </c>
      <c r="I61" s="725">
        <f t="shared" si="8"/>
        <v>5122.283793509504</v>
      </c>
      <c r="J61" s="725">
        <f t="shared" si="8"/>
        <v>0</v>
      </c>
      <c r="K61" s="725">
        <f t="shared" si="8"/>
        <v>304.28154492600913</v>
      </c>
      <c r="L61" s="725">
        <f t="shared" si="8"/>
        <v>0</v>
      </c>
      <c r="M61" s="725">
        <f t="shared" ca="1" si="8"/>
        <v>0</v>
      </c>
      <c r="N61" s="725">
        <f t="shared" si="8"/>
        <v>0</v>
      </c>
      <c r="O61" s="725">
        <f t="shared" ca="1" si="8"/>
        <v>0</v>
      </c>
      <c r="P61" s="725">
        <f t="shared" si="8"/>
        <v>0</v>
      </c>
      <c r="Q61" s="725">
        <f t="shared" si="8"/>
        <v>0</v>
      </c>
      <c r="R61" s="725">
        <f ca="1">R46+R52+R56</f>
        <v>58248.659603587847</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0.19252768683168184</v>
      </c>
      <c r="D63" s="771">
        <f t="shared" ca="1" si="9"/>
        <v>0</v>
      </c>
      <c r="E63" s="963">
        <f t="shared" ca="1" si="9"/>
        <v>0.20200000000000004</v>
      </c>
      <c r="F63" s="771">
        <f t="shared" si="9"/>
        <v>0.22699999999999998</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5971.5619292169122</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5971.5619292169122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27287.539873711277</v>
      </c>
      <c r="C4" s="447">
        <f>huishoudens!C8</f>
        <v>0</v>
      </c>
      <c r="D4" s="447">
        <f>huishoudens!D8</f>
        <v>39353.137103357934</v>
      </c>
      <c r="E4" s="447">
        <f>huishoudens!E8</f>
        <v>1754.2193560327923</v>
      </c>
      <c r="F4" s="447">
        <f>huishoudens!F8</f>
        <v>38428.990999266105</v>
      </c>
      <c r="G4" s="447">
        <f>huishoudens!G8</f>
        <v>0</v>
      </c>
      <c r="H4" s="447">
        <f>huishoudens!H8</f>
        <v>0</v>
      </c>
      <c r="I4" s="447">
        <f>huishoudens!I8</f>
        <v>0</v>
      </c>
      <c r="J4" s="447">
        <f>huishoudens!J8</f>
        <v>219.01102282798874</v>
      </c>
      <c r="K4" s="447">
        <f>huishoudens!K8</f>
        <v>0</v>
      </c>
      <c r="L4" s="447">
        <f>huishoudens!L8</f>
        <v>0</v>
      </c>
      <c r="M4" s="447">
        <f>huishoudens!M8</f>
        <v>0</v>
      </c>
      <c r="N4" s="447">
        <f>huishoudens!N8</f>
        <v>7608.224491347436</v>
      </c>
      <c r="O4" s="447">
        <f>huishoudens!O8</f>
        <v>486.06976374982281</v>
      </c>
      <c r="P4" s="448">
        <f>huishoudens!P8</f>
        <v>1369.4147099990528</v>
      </c>
      <c r="Q4" s="449">
        <f>SUM(B4:P4)</f>
        <v>116506.6073202924</v>
      </c>
    </row>
    <row r="5" spans="1:17">
      <c r="A5" s="446" t="s">
        <v>149</v>
      </c>
      <c r="B5" s="447">
        <f ca="1">tertiair!B16</f>
        <v>8946.5937446984844</v>
      </c>
      <c r="C5" s="447">
        <f ca="1">tertiair!C16</f>
        <v>0</v>
      </c>
      <c r="D5" s="447">
        <f ca="1">tertiair!D16</f>
        <v>10338.298307183415</v>
      </c>
      <c r="E5" s="447">
        <f>tertiair!E16</f>
        <v>38.795428226198538</v>
      </c>
      <c r="F5" s="447">
        <f ca="1">tertiair!F16</f>
        <v>1658.1948380335568</v>
      </c>
      <c r="G5" s="447">
        <f>tertiair!G16</f>
        <v>0</v>
      </c>
      <c r="H5" s="447">
        <f>tertiair!H16</f>
        <v>0</v>
      </c>
      <c r="I5" s="447">
        <f>tertiair!I16</f>
        <v>0</v>
      </c>
      <c r="J5" s="447">
        <f>tertiair!J16</f>
        <v>1.0368612282783476E-2</v>
      </c>
      <c r="K5" s="447">
        <f>tertiair!K16</f>
        <v>0</v>
      </c>
      <c r="L5" s="447">
        <f ca="1">tertiair!L16</f>
        <v>0</v>
      </c>
      <c r="M5" s="447">
        <f>tertiair!M16</f>
        <v>0</v>
      </c>
      <c r="N5" s="447">
        <f ca="1">tertiair!N16</f>
        <v>404.3026454033407</v>
      </c>
      <c r="O5" s="447">
        <f>tertiair!O16</f>
        <v>4.8972607658411542</v>
      </c>
      <c r="P5" s="448">
        <f>tertiair!P16</f>
        <v>157.61741491948504</v>
      </c>
      <c r="Q5" s="446">
        <f t="shared" ref="Q5:Q14" ca="1" si="0">SUM(B5:P5)</f>
        <v>21548.710007842605</v>
      </c>
    </row>
    <row r="6" spans="1:17">
      <c r="A6" s="446" t="s">
        <v>187</v>
      </c>
      <c r="B6" s="447">
        <f>'openbare verlichting'!B8</f>
        <v>1019.85</v>
      </c>
      <c r="C6" s="447"/>
      <c r="D6" s="447"/>
      <c r="E6" s="447"/>
      <c r="F6" s="447"/>
      <c r="G6" s="447"/>
      <c r="H6" s="447"/>
      <c r="I6" s="447"/>
      <c r="J6" s="447"/>
      <c r="K6" s="447"/>
      <c r="L6" s="447"/>
      <c r="M6" s="447"/>
      <c r="N6" s="447"/>
      <c r="O6" s="447"/>
      <c r="P6" s="448"/>
      <c r="Q6" s="446">
        <f t="shared" si="0"/>
        <v>1019.85</v>
      </c>
    </row>
    <row r="7" spans="1:17">
      <c r="A7" s="446" t="s">
        <v>105</v>
      </c>
      <c r="B7" s="447">
        <f>landbouw!B8</f>
        <v>2416.96953194045</v>
      </c>
      <c r="C7" s="447">
        <f>landbouw!C8</f>
        <v>0</v>
      </c>
      <c r="D7" s="447">
        <f>landbouw!D8</f>
        <v>354.49517254657394</v>
      </c>
      <c r="E7" s="447">
        <f>landbouw!E8</f>
        <v>69.226097656065335</v>
      </c>
      <c r="F7" s="447">
        <f>landbouw!F8</f>
        <v>7650.8770215369759</v>
      </c>
      <c r="G7" s="447">
        <f>landbouw!G8</f>
        <v>0</v>
      </c>
      <c r="H7" s="447">
        <f>landbouw!H8</f>
        <v>0</v>
      </c>
      <c r="I7" s="447">
        <f>landbouw!I8</f>
        <v>0</v>
      </c>
      <c r="J7" s="447">
        <f>landbouw!J8</f>
        <v>614.5594533477697</v>
      </c>
      <c r="K7" s="447">
        <f>landbouw!K8</f>
        <v>0</v>
      </c>
      <c r="L7" s="447">
        <f>landbouw!L8</f>
        <v>0</v>
      </c>
      <c r="M7" s="447">
        <f>landbouw!M8</f>
        <v>0</v>
      </c>
      <c r="N7" s="447">
        <f>landbouw!N8</f>
        <v>0</v>
      </c>
      <c r="O7" s="447">
        <f>landbouw!O8</f>
        <v>0</v>
      </c>
      <c r="P7" s="448">
        <f>landbouw!P8</f>
        <v>0</v>
      </c>
      <c r="Q7" s="446">
        <f t="shared" si="0"/>
        <v>11106.127277027834</v>
      </c>
    </row>
    <row r="8" spans="1:17">
      <c r="A8" s="446" t="s">
        <v>611</v>
      </c>
      <c r="B8" s="447">
        <f>industrie!B18</f>
        <v>5926.7081842441285</v>
      </c>
      <c r="C8" s="447">
        <f>industrie!C18</f>
        <v>0</v>
      </c>
      <c r="D8" s="447">
        <f>industrie!D18</f>
        <v>5473.1562931796116</v>
      </c>
      <c r="E8" s="447">
        <f>industrie!E18</f>
        <v>25.896948272650398</v>
      </c>
      <c r="F8" s="447">
        <f>industrie!F18</f>
        <v>1034.3614991769603</v>
      </c>
      <c r="G8" s="447">
        <f>industrie!G18</f>
        <v>0</v>
      </c>
      <c r="H8" s="447">
        <f>industrie!H18</f>
        <v>0</v>
      </c>
      <c r="I8" s="447">
        <f>industrie!I18</f>
        <v>0</v>
      </c>
      <c r="J8" s="447">
        <f>industrie!J18</f>
        <v>25.971542008594813</v>
      </c>
      <c r="K8" s="447">
        <f>industrie!K18</f>
        <v>0</v>
      </c>
      <c r="L8" s="447">
        <f>industrie!L18</f>
        <v>0</v>
      </c>
      <c r="M8" s="447">
        <f>industrie!M18</f>
        <v>0</v>
      </c>
      <c r="N8" s="447">
        <f>industrie!N18</f>
        <v>585.63655905676001</v>
      </c>
      <c r="O8" s="447">
        <f>industrie!O18</f>
        <v>0</v>
      </c>
      <c r="P8" s="448">
        <f>industrie!P18</f>
        <v>0</v>
      </c>
      <c r="Q8" s="446">
        <f t="shared" si="0"/>
        <v>13071.731025938705</v>
      </c>
    </row>
    <row r="9" spans="1:17" s="452" customFormat="1">
      <c r="A9" s="450" t="s">
        <v>537</v>
      </c>
      <c r="B9" s="451">
        <f>transport!B14</f>
        <v>225.27556049956769</v>
      </c>
      <c r="C9" s="451">
        <f>transport!C14</f>
        <v>0</v>
      </c>
      <c r="D9" s="451">
        <f>transport!D14</f>
        <v>421.06951011559931</v>
      </c>
      <c r="E9" s="451">
        <f>transport!E14</f>
        <v>164.03910486223788</v>
      </c>
      <c r="F9" s="451">
        <f>transport!F14</f>
        <v>0</v>
      </c>
      <c r="G9" s="451">
        <f>transport!G14</f>
        <v>70473.597981350933</v>
      </c>
      <c r="H9" s="451">
        <f>transport!H14</f>
        <v>20571.420857467889</v>
      </c>
      <c r="I9" s="451">
        <f>transport!I14</f>
        <v>0</v>
      </c>
      <c r="J9" s="451">
        <f>transport!J14</f>
        <v>0</v>
      </c>
      <c r="K9" s="451">
        <f>transport!K14</f>
        <v>0</v>
      </c>
      <c r="L9" s="451">
        <f>transport!L14</f>
        <v>0</v>
      </c>
      <c r="M9" s="451">
        <f>transport!M14</f>
        <v>5504.8102586562827</v>
      </c>
      <c r="N9" s="451">
        <f>transport!N14</f>
        <v>0</v>
      </c>
      <c r="O9" s="451">
        <f>transport!O14</f>
        <v>0</v>
      </c>
      <c r="P9" s="451">
        <f>transport!P14</f>
        <v>0</v>
      </c>
      <c r="Q9" s="450">
        <f>SUM(B9:P9)</f>
        <v>97360.213272952518</v>
      </c>
    </row>
    <row r="10" spans="1:17">
      <c r="A10" s="446" t="s">
        <v>527</v>
      </c>
      <c r="B10" s="447">
        <f>transport!B54</f>
        <v>8.4772948956330083</v>
      </c>
      <c r="C10" s="447">
        <f>transport!C54</f>
        <v>0</v>
      </c>
      <c r="D10" s="447">
        <f>transport!D54</f>
        <v>0</v>
      </c>
      <c r="E10" s="447">
        <f>transport!E54</f>
        <v>0</v>
      </c>
      <c r="F10" s="447">
        <f>transport!F54</f>
        <v>0</v>
      </c>
      <c r="G10" s="447">
        <f>transport!G54</f>
        <v>530.7042891240327</v>
      </c>
      <c r="H10" s="447">
        <f>transport!H54</f>
        <v>0</v>
      </c>
      <c r="I10" s="447">
        <f>transport!I54</f>
        <v>0</v>
      </c>
      <c r="J10" s="447">
        <f>transport!J54</f>
        <v>0</v>
      </c>
      <c r="K10" s="447">
        <f>transport!K54</f>
        <v>0</v>
      </c>
      <c r="L10" s="447">
        <f>transport!L54</f>
        <v>0</v>
      </c>
      <c r="M10" s="447">
        <f>transport!M54</f>
        <v>30.471865178634854</v>
      </c>
      <c r="N10" s="447">
        <f>transport!N54</f>
        <v>0</v>
      </c>
      <c r="O10" s="447">
        <f>transport!O54</f>
        <v>0</v>
      </c>
      <c r="P10" s="448">
        <f>transport!P54</f>
        <v>0</v>
      </c>
      <c r="Q10" s="446">
        <f t="shared" si="0"/>
        <v>569.65344919830056</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519.410154883784</v>
      </c>
      <c r="C14" s="454"/>
      <c r="D14" s="454">
        <f>'SEAP template'!E25</f>
        <v>753.146075148975</v>
      </c>
      <c r="E14" s="454"/>
      <c r="F14" s="454"/>
      <c r="G14" s="454"/>
      <c r="H14" s="454"/>
      <c r="I14" s="454"/>
      <c r="J14" s="454"/>
      <c r="K14" s="454"/>
      <c r="L14" s="454"/>
      <c r="M14" s="454"/>
      <c r="N14" s="454"/>
      <c r="O14" s="454"/>
      <c r="P14" s="455"/>
      <c r="Q14" s="446">
        <f t="shared" si="0"/>
        <v>1272.556230032759</v>
      </c>
    </row>
    <row r="15" spans="1:17" s="458" customFormat="1">
      <c r="A15" s="456" t="s">
        <v>531</v>
      </c>
      <c r="B15" s="457">
        <f ca="1">SUM(B4:B14)</f>
        <v>46350.824344873319</v>
      </c>
      <c r="C15" s="457">
        <f t="shared" ref="C15:Q15" ca="1" si="1">SUM(C4:C14)</f>
        <v>0</v>
      </c>
      <c r="D15" s="457">
        <f t="shared" ca="1" si="1"/>
        <v>56693.302461532112</v>
      </c>
      <c r="E15" s="457">
        <f t="shared" si="1"/>
        <v>2052.1769350499444</v>
      </c>
      <c r="F15" s="457">
        <f t="shared" ca="1" si="1"/>
        <v>48772.424358013595</v>
      </c>
      <c r="G15" s="457">
        <f t="shared" si="1"/>
        <v>71004.30227047496</v>
      </c>
      <c r="H15" s="457">
        <f t="shared" si="1"/>
        <v>20571.420857467889</v>
      </c>
      <c r="I15" s="457">
        <f t="shared" si="1"/>
        <v>0</v>
      </c>
      <c r="J15" s="457">
        <f t="shared" si="1"/>
        <v>859.55238679663603</v>
      </c>
      <c r="K15" s="457">
        <f t="shared" si="1"/>
        <v>0</v>
      </c>
      <c r="L15" s="457">
        <f t="shared" ca="1" si="1"/>
        <v>0</v>
      </c>
      <c r="M15" s="457">
        <f t="shared" si="1"/>
        <v>5535.2821238349179</v>
      </c>
      <c r="N15" s="457">
        <f t="shared" ca="1" si="1"/>
        <v>8598.163695807536</v>
      </c>
      <c r="O15" s="457">
        <f t="shared" si="1"/>
        <v>490.96702451566398</v>
      </c>
      <c r="P15" s="457">
        <f t="shared" si="1"/>
        <v>1527.0321249185379</v>
      </c>
      <c r="Q15" s="457">
        <f t="shared" ca="1" si="1"/>
        <v>262455.44858328515</v>
      </c>
    </row>
    <row r="17" spans="1:17">
      <c r="A17" s="459" t="s">
        <v>532</v>
      </c>
      <c r="B17" s="776">
        <f ca="1">huishoudens!B10</f>
        <v>0.19252768683168187</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5253.6069312129166</v>
      </c>
      <c r="C22" s="447">
        <f t="shared" ref="C22:C32" ca="1" si="3">C4*$C$17</f>
        <v>0</v>
      </c>
      <c r="D22" s="447">
        <f t="shared" ref="D22:D32" si="4">D4*$D$17</f>
        <v>7949.3336948783035</v>
      </c>
      <c r="E22" s="447">
        <f t="shared" ref="E22:E32" si="5">E4*$E$17</f>
        <v>398.20779381944385</v>
      </c>
      <c r="F22" s="447">
        <f t="shared" ref="F22:F32" si="6">F4*$F$17</f>
        <v>10260.54059680405</v>
      </c>
      <c r="G22" s="447">
        <f t="shared" ref="G22:G32" si="7">G4*$G$17</f>
        <v>0</v>
      </c>
      <c r="H22" s="447">
        <f t="shared" ref="H22:H32" si="8">H4*$H$17</f>
        <v>0</v>
      </c>
      <c r="I22" s="447">
        <f t="shared" ref="I22:I32" si="9">I4*$I$17</f>
        <v>0</v>
      </c>
      <c r="J22" s="447">
        <f t="shared" ref="J22:J32" si="10">J4*$J$17</f>
        <v>77.529902081108006</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23939.218918795821</v>
      </c>
    </row>
    <row r="23" spans="1:17">
      <c r="A23" s="446" t="s">
        <v>149</v>
      </c>
      <c r="B23" s="447">
        <f t="shared" ca="1" si="2"/>
        <v>1722.4669986895938</v>
      </c>
      <c r="C23" s="447">
        <f t="shared" ca="1" si="3"/>
        <v>0</v>
      </c>
      <c r="D23" s="447">
        <f t="shared" ca="1" si="4"/>
        <v>2088.3362580510502</v>
      </c>
      <c r="E23" s="447">
        <f t="shared" si="5"/>
        <v>8.8065622073470688</v>
      </c>
      <c r="F23" s="447">
        <f t="shared" ca="1" si="6"/>
        <v>442.73802175495968</v>
      </c>
      <c r="G23" s="447">
        <f t="shared" si="7"/>
        <v>0</v>
      </c>
      <c r="H23" s="447">
        <f t="shared" si="8"/>
        <v>0</v>
      </c>
      <c r="I23" s="447">
        <f t="shared" si="9"/>
        <v>0</v>
      </c>
      <c r="J23" s="447">
        <f t="shared" si="10"/>
        <v>3.6704887481053506E-3</v>
      </c>
      <c r="K23" s="447">
        <f t="shared" si="11"/>
        <v>0</v>
      </c>
      <c r="L23" s="447">
        <f t="shared" ca="1" si="12"/>
        <v>0</v>
      </c>
      <c r="M23" s="447">
        <f t="shared" si="13"/>
        <v>0</v>
      </c>
      <c r="N23" s="447">
        <f t="shared" ca="1" si="14"/>
        <v>0</v>
      </c>
      <c r="O23" s="447">
        <f t="shared" si="15"/>
        <v>0</v>
      </c>
      <c r="P23" s="448">
        <f t="shared" si="16"/>
        <v>0</v>
      </c>
      <c r="Q23" s="446">
        <f t="shared" ref="Q23:Q31" ca="1" si="17">SUM(B23:P23)</f>
        <v>4262.3515111916986</v>
      </c>
    </row>
    <row r="24" spans="1:17">
      <c r="A24" s="446" t="s">
        <v>187</v>
      </c>
      <c r="B24" s="447">
        <f t="shared" ca="1" si="2"/>
        <v>196.34936141529076</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196.34936141529076</v>
      </c>
    </row>
    <row r="25" spans="1:17">
      <c r="A25" s="446" t="s">
        <v>105</v>
      </c>
      <c r="B25" s="447">
        <f t="shared" ca="1" si="2"/>
        <v>465.33355312714764</v>
      </c>
      <c r="C25" s="447">
        <f t="shared" ca="1" si="3"/>
        <v>0</v>
      </c>
      <c r="D25" s="447">
        <f t="shared" si="4"/>
        <v>71.608024854407944</v>
      </c>
      <c r="E25" s="447">
        <f t="shared" si="5"/>
        <v>15.714324167926831</v>
      </c>
      <c r="F25" s="447">
        <f t="shared" si="6"/>
        <v>2042.7841647503726</v>
      </c>
      <c r="G25" s="447">
        <f t="shared" si="7"/>
        <v>0</v>
      </c>
      <c r="H25" s="447">
        <f t="shared" si="8"/>
        <v>0</v>
      </c>
      <c r="I25" s="447">
        <f t="shared" si="9"/>
        <v>0</v>
      </c>
      <c r="J25" s="447">
        <f t="shared" si="10"/>
        <v>217.55404648511046</v>
      </c>
      <c r="K25" s="447">
        <f t="shared" si="11"/>
        <v>0</v>
      </c>
      <c r="L25" s="447">
        <f t="shared" si="12"/>
        <v>0</v>
      </c>
      <c r="M25" s="447">
        <f t="shared" si="13"/>
        <v>0</v>
      </c>
      <c r="N25" s="447">
        <f t="shared" si="14"/>
        <v>0</v>
      </c>
      <c r="O25" s="447">
        <f t="shared" si="15"/>
        <v>0</v>
      </c>
      <c r="P25" s="448">
        <f t="shared" si="16"/>
        <v>0</v>
      </c>
      <c r="Q25" s="446">
        <f t="shared" ca="1" si="17"/>
        <v>2812.9941133849657</v>
      </c>
    </row>
    <row r="26" spans="1:17">
      <c r="A26" s="446" t="s">
        <v>611</v>
      </c>
      <c r="B26" s="447">
        <f t="shared" ca="1" si="2"/>
        <v>1141.0554172389195</v>
      </c>
      <c r="C26" s="447">
        <f t="shared" ca="1" si="3"/>
        <v>0</v>
      </c>
      <c r="D26" s="447">
        <f t="shared" si="4"/>
        <v>1105.5775712222817</v>
      </c>
      <c r="E26" s="447">
        <f t="shared" si="5"/>
        <v>5.8786072578916402</v>
      </c>
      <c r="F26" s="447">
        <f t="shared" si="6"/>
        <v>276.17452028024843</v>
      </c>
      <c r="G26" s="447">
        <f t="shared" si="7"/>
        <v>0</v>
      </c>
      <c r="H26" s="447">
        <f t="shared" si="8"/>
        <v>0</v>
      </c>
      <c r="I26" s="447">
        <f t="shared" si="9"/>
        <v>0</v>
      </c>
      <c r="J26" s="447">
        <f t="shared" si="10"/>
        <v>9.1939258710425626</v>
      </c>
      <c r="K26" s="447">
        <f t="shared" si="11"/>
        <v>0</v>
      </c>
      <c r="L26" s="447">
        <f t="shared" si="12"/>
        <v>0</v>
      </c>
      <c r="M26" s="447">
        <f t="shared" si="13"/>
        <v>0</v>
      </c>
      <c r="N26" s="447">
        <f t="shared" si="14"/>
        <v>0</v>
      </c>
      <c r="O26" s="447">
        <f t="shared" si="15"/>
        <v>0</v>
      </c>
      <c r="P26" s="448">
        <f t="shared" si="16"/>
        <v>0</v>
      </c>
      <c r="Q26" s="446">
        <f t="shared" ca="1" si="17"/>
        <v>2537.880041870384</v>
      </c>
    </row>
    <row r="27" spans="1:17" s="452" customFormat="1">
      <c r="A27" s="450" t="s">
        <v>537</v>
      </c>
      <c r="B27" s="770">
        <f t="shared" ca="1" si="2"/>
        <v>43.371782562692367</v>
      </c>
      <c r="C27" s="451">
        <f t="shared" ca="1" si="3"/>
        <v>0</v>
      </c>
      <c r="D27" s="451">
        <f t="shared" si="4"/>
        <v>85.056041043351073</v>
      </c>
      <c r="E27" s="451">
        <f t="shared" si="5"/>
        <v>37.236876803728002</v>
      </c>
      <c r="F27" s="451">
        <f t="shared" si="6"/>
        <v>0</v>
      </c>
      <c r="G27" s="451">
        <f t="shared" si="7"/>
        <v>18816.450661020699</v>
      </c>
      <c r="H27" s="451">
        <f t="shared" si="8"/>
        <v>5122.283793509504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24104.399154939976</v>
      </c>
    </row>
    <row r="28" spans="1:17" ht="16.5" customHeight="1">
      <c r="A28" s="446" t="s">
        <v>527</v>
      </c>
      <c r="B28" s="447">
        <f t="shared" ca="1" si="2"/>
        <v>1.6321139768462469</v>
      </c>
      <c r="C28" s="447">
        <f t="shared" ca="1" si="3"/>
        <v>0</v>
      </c>
      <c r="D28" s="447">
        <f t="shared" si="4"/>
        <v>0</v>
      </c>
      <c r="E28" s="447">
        <f t="shared" si="5"/>
        <v>0</v>
      </c>
      <c r="F28" s="447">
        <f t="shared" si="6"/>
        <v>0</v>
      </c>
      <c r="G28" s="447">
        <f t="shared" si="7"/>
        <v>141.69804519611674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143.33015917296299</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100.00083563666054</v>
      </c>
      <c r="C32" s="447">
        <f t="shared" ca="1" si="3"/>
        <v>0</v>
      </c>
      <c r="D32" s="447">
        <f t="shared" si="4"/>
        <v>152.13550718009296</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252.13634281675348</v>
      </c>
    </row>
    <row r="33" spans="1:17" s="458" customFormat="1">
      <c r="A33" s="456" t="s">
        <v>531</v>
      </c>
      <c r="B33" s="457">
        <f ca="1">SUM(B22:B32)</f>
        <v>8923.8169938600658</v>
      </c>
      <c r="C33" s="457">
        <f t="shared" ref="C33:Q33" ca="1" si="19">SUM(C22:C32)</f>
        <v>0</v>
      </c>
      <c r="D33" s="457">
        <f t="shared" ca="1" si="19"/>
        <v>11452.04709722949</v>
      </c>
      <c r="E33" s="457">
        <f t="shared" si="19"/>
        <v>465.84416425633736</v>
      </c>
      <c r="F33" s="457">
        <f t="shared" ca="1" si="19"/>
        <v>13022.237303589631</v>
      </c>
      <c r="G33" s="457">
        <f t="shared" si="19"/>
        <v>18958.148706216816</v>
      </c>
      <c r="H33" s="457">
        <f t="shared" si="19"/>
        <v>5122.283793509504</v>
      </c>
      <c r="I33" s="457">
        <f t="shared" si="19"/>
        <v>0</v>
      </c>
      <c r="J33" s="457">
        <f t="shared" si="19"/>
        <v>304.28154492600913</v>
      </c>
      <c r="K33" s="457">
        <f t="shared" si="19"/>
        <v>0</v>
      </c>
      <c r="L33" s="457">
        <f t="shared" ca="1" si="19"/>
        <v>0</v>
      </c>
      <c r="M33" s="457">
        <f t="shared" si="19"/>
        <v>0</v>
      </c>
      <c r="N33" s="457">
        <f t="shared" ca="1" si="19"/>
        <v>0</v>
      </c>
      <c r="O33" s="457">
        <f t="shared" si="19"/>
        <v>0</v>
      </c>
      <c r="P33" s="457">
        <f t="shared" si="19"/>
        <v>0</v>
      </c>
      <c r="Q33" s="457">
        <f t="shared" ca="1" si="19"/>
        <v>58248.659603587854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5971.5619292169122</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5971.5619292169122</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0.19252768683168187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0.19252768683168187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0.19252768683168187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0.19252768683168187</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5507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2522.77</v>
      </c>
      <c r="C14" s="326"/>
      <c r="D14" s="326"/>
      <c r="E14" s="326"/>
      <c r="F14" s="326"/>
    </row>
    <row r="15" spans="1:6">
      <c r="A15" s="1310" t="s">
        <v>177</v>
      </c>
      <c r="B15" s="1311">
        <v>21</v>
      </c>
      <c r="C15" s="326"/>
      <c r="D15" s="326"/>
      <c r="E15" s="326"/>
      <c r="F15" s="326"/>
    </row>
    <row r="16" spans="1:6">
      <c r="A16" s="1310" t="s">
        <v>6</v>
      </c>
      <c r="B16" s="1311">
        <v>847</v>
      </c>
      <c r="C16" s="326"/>
      <c r="D16" s="326"/>
      <c r="E16" s="326"/>
      <c r="F16" s="326"/>
    </row>
    <row r="17" spans="1:6">
      <c r="A17" s="1310" t="s">
        <v>7</v>
      </c>
      <c r="B17" s="1311">
        <v>605</v>
      </c>
      <c r="C17" s="326"/>
      <c r="D17" s="326"/>
      <c r="E17" s="326"/>
      <c r="F17" s="326"/>
    </row>
    <row r="18" spans="1:6">
      <c r="A18" s="1310" t="s">
        <v>8</v>
      </c>
      <c r="B18" s="1311">
        <v>925</v>
      </c>
      <c r="C18" s="326"/>
      <c r="D18" s="326"/>
      <c r="E18" s="326"/>
      <c r="F18" s="326"/>
    </row>
    <row r="19" spans="1:6">
      <c r="A19" s="1310" t="s">
        <v>9</v>
      </c>
      <c r="B19" s="1311">
        <v>1011</v>
      </c>
      <c r="C19" s="326"/>
      <c r="D19" s="326"/>
      <c r="E19" s="326"/>
      <c r="F19" s="326"/>
    </row>
    <row r="20" spans="1:6">
      <c r="A20" s="1310" t="s">
        <v>10</v>
      </c>
      <c r="B20" s="1311">
        <v>672</v>
      </c>
      <c r="C20" s="326"/>
      <c r="D20" s="326"/>
      <c r="E20" s="326"/>
      <c r="F20" s="326"/>
    </row>
    <row r="21" spans="1:6">
      <c r="A21" s="1310" t="s">
        <v>11</v>
      </c>
      <c r="B21" s="1311">
        <v>1025</v>
      </c>
      <c r="C21" s="326"/>
      <c r="D21" s="326"/>
      <c r="E21" s="326"/>
      <c r="F21" s="326"/>
    </row>
    <row r="22" spans="1:6">
      <c r="A22" s="1310" t="s">
        <v>12</v>
      </c>
      <c r="B22" s="1311">
        <v>7228</v>
      </c>
      <c r="C22" s="326"/>
      <c r="D22" s="326"/>
      <c r="E22" s="326"/>
      <c r="F22" s="326"/>
    </row>
    <row r="23" spans="1:6">
      <c r="A23" s="1310" t="s">
        <v>13</v>
      </c>
      <c r="B23" s="1311">
        <v>39</v>
      </c>
      <c r="C23" s="326"/>
      <c r="D23" s="326"/>
      <c r="E23" s="326"/>
      <c r="F23" s="326"/>
    </row>
    <row r="24" spans="1:6">
      <c r="A24" s="1310" t="s">
        <v>14</v>
      </c>
      <c r="B24" s="1311">
        <v>1</v>
      </c>
      <c r="C24" s="326"/>
      <c r="D24" s="326"/>
      <c r="E24" s="326"/>
      <c r="F24" s="326"/>
    </row>
    <row r="25" spans="1:6">
      <c r="A25" s="1310" t="s">
        <v>15</v>
      </c>
      <c r="B25" s="1311">
        <v>215</v>
      </c>
      <c r="C25" s="326"/>
      <c r="D25" s="326"/>
      <c r="E25" s="326"/>
      <c r="F25" s="326"/>
    </row>
    <row r="26" spans="1:6">
      <c r="A26" s="1310" t="s">
        <v>16</v>
      </c>
      <c r="B26" s="1311">
        <v>262</v>
      </c>
      <c r="C26" s="326"/>
      <c r="D26" s="326"/>
      <c r="E26" s="326"/>
      <c r="F26" s="326"/>
    </row>
    <row r="27" spans="1:6">
      <c r="A27" s="1310" t="s">
        <v>17</v>
      </c>
      <c r="B27" s="1311">
        <v>285</v>
      </c>
      <c r="C27" s="326"/>
      <c r="D27" s="326"/>
      <c r="E27" s="326"/>
      <c r="F27" s="326"/>
    </row>
    <row r="28" spans="1:6">
      <c r="A28" s="1310" t="s">
        <v>18</v>
      </c>
      <c r="B28" s="1312">
        <v>8545</v>
      </c>
      <c r="C28" s="326"/>
      <c r="D28" s="326"/>
      <c r="E28" s="326"/>
      <c r="F28" s="326"/>
    </row>
    <row r="29" spans="1:6">
      <c r="A29" s="1310" t="s">
        <v>678</v>
      </c>
      <c r="B29" s="1312">
        <v>242</v>
      </c>
      <c r="C29" s="326"/>
      <c r="D29" s="326"/>
      <c r="E29" s="326"/>
      <c r="F29" s="326"/>
    </row>
    <row r="30" spans="1:6">
      <c r="A30" s="1305" t="s">
        <v>679</v>
      </c>
      <c r="B30" s="1313">
        <v>45</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2067</v>
      </c>
    </row>
    <row r="39" spans="1:6">
      <c r="A39" s="1310" t="s">
        <v>29</v>
      </c>
      <c r="B39" s="1310" t="s">
        <v>30</v>
      </c>
      <c r="C39" s="1311">
        <v>2751</v>
      </c>
      <c r="D39" s="1311">
        <v>43580439.760086298</v>
      </c>
      <c r="E39" s="1311">
        <v>5276</v>
      </c>
      <c r="F39" s="1311">
        <v>21947319.707191098</v>
      </c>
    </row>
    <row r="40" spans="1:6">
      <c r="A40" s="1310" t="s">
        <v>29</v>
      </c>
      <c r="B40" s="1310" t="s">
        <v>28</v>
      </c>
      <c r="C40" s="1311">
        <v>0</v>
      </c>
      <c r="D40" s="1311">
        <v>0</v>
      </c>
      <c r="E40" s="1311">
        <v>0</v>
      </c>
      <c r="F40" s="1311">
        <v>0</v>
      </c>
    </row>
    <row r="41" spans="1:6">
      <c r="A41" s="1310" t="s">
        <v>31</v>
      </c>
      <c r="B41" s="1310" t="s">
        <v>32</v>
      </c>
      <c r="C41" s="1311">
        <v>64</v>
      </c>
      <c r="D41" s="1311">
        <v>1440002.99168932</v>
      </c>
      <c r="E41" s="1311">
        <v>184</v>
      </c>
      <c r="F41" s="1311">
        <v>1272885.9971813101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4</v>
      </c>
      <c r="D44" s="1311">
        <v>482083.30853956798</v>
      </c>
      <c r="E44" s="1311">
        <v>12</v>
      </c>
      <c r="F44" s="1311">
        <v>585264.46943209495</v>
      </c>
    </row>
    <row r="45" spans="1:6">
      <c r="A45" s="1310" t="s">
        <v>31</v>
      </c>
      <c r="B45" s="1310" t="s">
        <v>36</v>
      </c>
      <c r="C45" s="1311">
        <v>0</v>
      </c>
      <c r="D45" s="1311">
        <v>0</v>
      </c>
      <c r="E45" s="1311">
        <v>4</v>
      </c>
      <c r="F45" s="1311">
        <v>712187.20374203997</v>
      </c>
    </row>
    <row r="46" spans="1:6">
      <c r="A46" s="1310" t="s">
        <v>31</v>
      </c>
      <c r="B46" s="1310" t="s">
        <v>37</v>
      </c>
      <c r="C46" s="1311">
        <v>0</v>
      </c>
      <c r="D46" s="1311">
        <v>0</v>
      </c>
      <c r="E46" s="1311">
        <v>0</v>
      </c>
      <c r="F46" s="1311">
        <v>0</v>
      </c>
    </row>
    <row r="47" spans="1:6">
      <c r="A47" s="1310" t="s">
        <v>31</v>
      </c>
      <c r="B47" s="1310" t="s">
        <v>38</v>
      </c>
      <c r="C47" s="1311">
        <v>0</v>
      </c>
      <c r="D47" s="1311">
        <v>0</v>
      </c>
      <c r="E47" s="1311">
        <v>5</v>
      </c>
      <c r="F47" s="1311">
        <v>27324.187220043299</v>
      </c>
    </row>
    <row r="48" spans="1:6">
      <c r="A48" s="1310" t="s">
        <v>31</v>
      </c>
      <c r="B48" s="1310" t="s">
        <v>28</v>
      </c>
      <c r="C48" s="1311">
        <v>5</v>
      </c>
      <c r="D48" s="1311">
        <v>169360.1466368243</v>
      </c>
      <c r="E48" s="1311">
        <v>0</v>
      </c>
      <c r="F48" s="1311">
        <v>0</v>
      </c>
    </row>
    <row r="49" spans="1:6">
      <c r="A49" s="1310" t="s">
        <v>31</v>
      </c>
      <c r="B49" s="1310" t="s">
        <v>39</v>
      </c>
      <c r="C49" s="1311">
        <v>0</v>
      </c>
      <c r="D49" s="1311">
        <v>0</v>
      </c>
      <c r="E49" s="1311">
        <v>3</v>
      </c>
      <c r="F49" s="1311">
        <v>29099.119990340099</v>
      </c>
    </row>
    <row r="50" spans="1:6">
      <c r="A50" s="1310" t="s">
        <v>31</v>
      </c>
      <c r="B50" s="1310" t="s">
        <v>40</v>
      </c>
      <c r="C50" s="1311">
        <v>6</v>
      </c>
      <c r="D50" s="1311">
        <v>3969634.7194461501</v>
      </c>
      <c r="E50" s="1311">
        <v>16</v>
      </c>
      <c r="F50" s="1311">
        <v>3299947.2066783002</v>
      </c>
    </row>
    <row r="51" spans="1:6">
      <c r="A51" s="1310" t="s">
        <v>41</v>
      </c>
      <c r="B51" s="1310" t="s">
        <v>42</v>
      </c>
      <c r="C51" s="1311">
        <v>16</v>
      </c>
      <c r="D51" s="1311">
        <v>392574.94191204198</v>
      </c>
      <c r="E51" s="1311">
        <v>112</v>
      </c>
      <c r="F51" s="1311">
        <v>2416969.53194045</v>
      </c>
    </row>
    <row r="52" spans="1:6">
      <c r="A52" s="1310" t="s">
        <v>41</v>
      </c>
      <c r="B52" s="1310" t="s">
        <v>28</v>
      </c>
      <c r="C52" s="1311">
        <v>0</v>
      </c>
      <c r="D52" s="1311">
        <v>0</v>
      </c>
      <c r="E52" s="1311">
        <v>0</v>
      </c>
      <c r="F52" s="1311">
        <v>0</v>
      </c>
    </row>
    <row r="53" spans="1:6">
      <c r="A53" s="1310" t="s">
        <v>43</v>
      </c>
      <c r="B53" s="1310" t="s">
        <v>44</v>
      </c>
      <c r="C53" s="1311">
        <v>51</v>
      </c>
      <c r="D53" s="1311">
        <v>753146.07514897501</v>
      </c>
      <c r="E53" s="1311">
        <v>152</v>
      </c>
      <c r="F53" s="1311">
        <v>519410.15488378401</v>
      </c>
    </row>
    <row r="54" spans="1:6">
      <c r="A54" s="1310" t="s">
        <v>45</v>
      </c>
      <c r="B54" s="1310" t="s">
        <v>46</v>
      </c>
      <c r="C54" s="1311">
        <v>0</v>
      </c>
      <c r="D54" s="1311">
        <v>0</v>
      </c>
      <c r="E54" s="1311">
        <v>2</v>
      </c>
      <c r="F54" s="1311">
        <v>1019850</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36</v>
      </c>
      <c r="D57" s="1311">
        <v>1313962.18364899</v>
      </c>
      <c r="E57" s="1311">
        <v>82</v>
      </c>
      <c r="F57" s="1311">
        <v>1025156.79604692</v>
      </c>
    </row>
    <row r="58" spans="1:6">
      <c r="A58" s="1310" t="s">
        <v>48</v>
      </c>
      <c r="B58" s="1310" t="s">
        <v>50</v>
      </c>
      <c r="C58" s="1311">
        <v>20</v>
      </c>
      <c r="D58" s="1311">
        <v>2127594.11206683</v>
      </c>
      <c r="E58" s="1311">
        <v>44</v>
      </c>
      <c r="F58" s="1311">
        <v>976234.59950637701</v>
      </c>
    </row>
    <row r="59" spans="1:6">
      <c r="A59" s="1310" t="s">
        <v>48</v>
      </c>
      <c r="B59" s="1310" t="s">
        <v>51</v>
      </c>
      <c r="C59" s="1311">
        <v>48</v>
      </c>
      <c r="D59" s="1311">
        <v>1680781.7249980399</v>
      </c>
      <c r="E59" s="1311">
        <v>131</v>
      </c>
      <c r="F59" s="1311">
        <v>3120032.0698486399</v>
      </c>
    </row>
    <row r="60" spans="1:6">
      <c r="A60" s="1310" t="s">
        <v>48</v>
      </c>
      <c r="B60" s="1310" t="s">
        <v>52</v>
      </c>
      <c r="C60" s="1311">
        <v>28</v>
      </c>
      <c r="D60" s="1311">
        <v>2439795.0450277999</v>
      </c>
      <c r="E60" s="1311">
        <v>49</v>
      </c>
      <c r="F60" s="1311">
        <v>1328699.23065849</v>
      </c>
    </row>
    <row r="61" spans="1:6">
      <c r="A61" s="1310" t="s">
        <v>48</v>
      </c>
      <c r="B61" s="1310" t="s">
        <v>53</v>
      </c>
      <c r="C61" s="1311">
        <v>122</v>
      </c>
      <c r="D61" s="1311">
        <v>3597511.0450913198</v>
      </c>
      <c r="E61" s="1311">
        <v>285</v>
      </c>
      <c r="F61" s="1311">
        <v>2368919.96385682</v>
      </c>
    </row>
    <row r="62" spans="1:6">
      <c r="A62" s="1310" t="s">
        <v>48</v>
      </c>
      <c r="B62" s="1310" t="s">
        <v>54</v>
      </c>
      <c r="C62" s="1311">
        <v>8</v>
      </c>
      <c r="D62" s="1311">
        <v>289191.22381088999</v>
      </c>
      <c r="E62" s="1311">
        <v>14</v>
      </c>
      <c r="F62" s="1311">
        <v>127551.084781236</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7</v>
      </c>
      <c r="F66" s="1311">
        <v>104882</v>
      </c>
    </row>
    <row r="67" spans="1:6">
      <c r="A67" s="1310" t="s">
        <v>55</v>
      </c>
      <c r="B67" s="1310" t="s">
        <v>58</v>
      </c>
      <c r="C67" s="1311">
        <v>0</v>
      </c>
      <c r="D67" s="1311">
        <v>0</v>
      </c>
      <c r="E67" s="1311">
        <v>0</v>
      </c>
      <c r="F67" s="1311">
        <v>0</v>
      </c>
    </row>
    <row r="68" spans="1:6">
      <c r="A68" s="1305" t="s">
        <v>55</v>
      </c>
      <c r="B68" s="1305" t="s">
        <v>59</v>
      </c>
      <c r="C68" s="1313">
        <v>4</v>
      </c>
      <c r="D68" s="1313">
        <v>108160.993448019</v>
      </c>
      <c r="E68" s="1313">
        <v>6</v>
      </c>
      <c r="F68" s="1313">
        <v>36902.586667064999</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76713340</v>
      </c>
      <c r="E73" s="445"/>
      <c r="F73" s="326"/>
    </row>
    <row r="74" spans="1:6">
      <c r="A74" s="1310" t="s">
        <v>63</v>
      </c>
      <c r="B74" s="1310" t="s">
        <v>632</v>
      </c>
      <c r="C74" s="1323" t="s">
        <v>634</v>
      </c>
      <c r="D74" s="1311">
        <v>7106571.9930221168</v>
      </c>
      <c r="E74" s="445"/>
      <c r="F74" s="326"/>
    </row>
    <row r="75" spans="1:6">
      <c r="A75" s="1310" t="s">
        <v>64</v>
      </c>
      <c r="B75" s="1310" t="s">
        <v>631</v>
      </c>
      <c r="C75" s="1323" t="s">
        <v>635</v>
      </c>
      <c r="D75" s="1311">
        <v>30979249</v>
      </c>
      <c r="E75" s="445"/>
      <c r="F75" s="326"/>
    </row>
    <row r="76" spans="1:6">
      <c r="A76" s="1310" t="s">
        <v>64</v>
      </c>
      <c r="B76" s="1310" t="s">
        <v>632</v>
      </c>
      <c r="C76" s="1323" t="s">
        <v>636</v>
      </c>
      <c r="D76" s="1311">
        <v>1097030.9930221171</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158120.01395576599</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5340.2201665201792</v>
      </c>
      <c r="C91" s="326"/>
      <c r="D91" s="326"/>
      <c r="E91" s="326"/>
      <c r="F91" s="326"/>
    </row>
    <row r="92" spans="1:6">
      <c r="A92" s="1305" t="s">
        <v>68</v>
      </c>
      <c r="B92" s="1306">
        <v>631.34176269673299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652</v>
      </c>
      <c r="C97" s="326"/>
      <c r="D97" s="326"/>
      <c r="E97" s="326"/>
      <c r="F97" s="326"/>
    </row>
    <row r="98" spans="1:6">
      <c r="A98" s="1310" t="s">
        <v>71</v>
      </c>
      <c r="B98" s="1311">
        <v>0</v>
      </c>
      <c r="C98" s="326"/>
      <c r="D98" s="326"/>
      <c r="E98" s="326"/>
      <c r="F98" s="326"/>
    </row>
    <row r="99" spans="1:6">
      <c r="A99" s="1310" t="s">
        <v>72</v>
      </c>
      <c r="B99" s="1311">
        <v>126</v>
      </c>
      <c r="C99" s="326"/>
      <c r="D99" s="326"/>
      <c r="E99" s="326"/>
      <c r="F99" s="326"/>
    </row>
    <row r="100" spans="1:6">
      <c r="A100" s="1310" t="s">
        <v>73</v>
      </c>
      <c r="B100" s="1311">
        <v>687</v>
      </c>
      <c r="C100" s="326"/>
      <c r="D100" s="326"/>
      <c r="E100" s="326"/>
      <c r="F100" s="326"/>
    </row>
    <row r="101" spans="1:6">
      <c r="A101" s="1310" t="s">
        <v>74</v>
      </c>
      <c r="B101" s="1311">
        <v>108</v>
      </c>
      <c r="C101" s="326"/>
      <c r="D101" s="326"/>
      <c r="E101" s="326"/>
      <c r="F101" s="326"/>
    </row>
    <row r="102" spans="1:6">
      <c r="A102" s="1310" t="s">
        <v>75</v>
      </c>
      <c r="B102" s="1311">
        <v>99</v>
      </c>
      <c r="C102" s="326"/>
      <c r="D102" s="326"/>
      <c r="E102" s="326"/>
      <c r="F102" s="326"/>
    </row>
    <row r="103" spans="1:6">
      <c r="A103" s="1310" t="s">
        <v>76</v>
      </c>
      <c r="B103" s="1311">
        <v>350</v>
      </c>
      <c r="C103" s="326"/>
      <c r="D103" s="326"/>
      <c r="E103" s="326"/>
      <c r="F103" s="326"/>
    </row>
    <row r="104" spans="1:6">
      <c r="A104" s="1310" t="s">
        <v>77</v>
      </c>
      <c r="B104" s="1311">
        <v>2839</v>
      </c>
      <c r="C104" s="326"/>
      <c r="D104" s="326"/>
      <c r="E104" s="326"/>
      <c r="F104" s="326"/>
    </row>
    <row r="105" spans="1:6">
      <c r="A105" s="1305" t="s">
        <v>78</v>
      </c>
      <c r="B105" s="1313">
        <v>9</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70</v>
      </c>
      <c r="C123" s="1311">
        <v>47</v>
      </c>
      <c r="D123" s="326"/>
      <c r="E123" s="326"/>
      <c r="F123" s="326"/>
    </row>
    <row r="124" spans="1:6">
      <c r="A124" s="1310" t="s">
        <v>88</v>
      </c>
      <c r="B124" s="1311">
        <v>4</v>
      </c>
      <c r="C124" s="1311">
        <v>1</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197</v>
      </c>
      <c r="C129" s="326"/>
      <c r="D129" s="326"/>
      <c r="E129" s="326"/>
      <c r="F129" s="326"/>
    </row>
    <row r="130" spans="1:6">
      <c r="A130" s="1310" t="s">
        <v>284</v>
      </c>
      <c r="B130" s="1311">
        <v>1</v>
      </c>
      <c r="C130" s="326"/>
      <c r="D130" s="326"/>
      <c r="E130" s="326"/>
      <c r="F130" s="326"/>
    </row>
    <row r="131" spans="1:6">
      <c r="A131" s="1310" t="s">
        <v>285</v>
      </c>
      <c r="B131" s="1311">
        <v>3</v>
      </c>
      <c r="C131" s="326"/>
      <c r="D131" s="326"/>
      <c r="E131" s="326"/>
      <c r="F131" s="326"/>
    </row>
    <row r="132" spans="1:6">
      <c r="A132" s="1305" t="s">
        <v>286</v>
      </c>
      <c r="B132" s="1306">
        <v>56</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46350.824344873326</v>
      </c>
      <c r="C3" s="43" t="s">
        <v>163</v>
      </c>
      <c r="D3" s="43"/>
      <c r="E3" s="154"/>
      <c r="F3" s="43"/>
      <c r="G3" s="43"/>
      <c r="H3" s="43"/>
      <c r="I3" s="43"/>
      <c r="J3" s="43"/>
      <c r="K3" s="96"/>
    </row>
    <row r="4" spans="1:11">
      <c r="A4" s="352" t="s">
        <v>164</v>
      </c>
      <c r="B4" s="49">
        <f>IF(ISERROR('SEAP template'!B78+'SEAP template'!C78),0,'SEAP template'!B78+'SEAP template'!C78)</f>
        <v>5971.5619292169122</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0.19252768683168187</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1019.85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1019.85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0.19252768683168187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196.34936141529076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21947.319707191098</v>
      </c>
      <c r="C5" s="17">
        <f>IF(ISERROR('Eigen informatie GS &amp; warmtenet'!B59),0,'Eigen informatie GS &amp; warmtenet'!B59)</f>
        <v>0</v>
      </c>
      <c r="D5" s="30">
        <f>(SUM(HH_hh_gas_kWh,HH_rest_gas_kWh)/1000)*0.903</f>
        <v>39353.137103357934</v>
      </c>
      <c r="E5" s="17">
        <f>B32*B41</f>
        <v>1754.2193560327923</v>
      </c>
      <c r="F5" s="17">
        <f>B36*B45</f>
        <v>38428.990999266105</v>
      </c>
      <c r="G5" s="18"/>
      <c r="H5" s="17"/>
      <c r="I5" s="17"/>
      <c r="J5" s="17">
        <f>B35*B44+C35*C44</f>
        <v>219.01102282798874</v>
      </c>
      <c r="K5" s="17"/>
      <c r="L5" s="17"/>
      <c r="M5" s="17"/>
      <c r="N5" s="17">
        <f>B34*B43+C34*C43</f>
        <v>7608.224491347436</v>
      </c>
      <c r="O5" s="17">
        <f>B52*B53*B54</f>
        <v>486.06976374982281</v>
      </c>
      <c r="P5" s="17">
        <f>B60*B61*B62/1000-B60*B61*B62/1000/B63</f>
        <v>1369.4147099990528</v>
      </c>
    </row>
    <row r="6" spans="1:16">
      <c r="A6" s="16" t="s">
        <v>597</v>
      </c>
      <c r="B6" s="778">
        <f>kWh_PV_kleiner_dan_10kW</f>
        <v>5340.2201665201792</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27287.539873711277</v>
      </c>
      <c r="C8" s="21">
        <f>C5</f>
        <v>0</v>
      </c>
      <c r="D8" s="21">
        <f>D5</f>
        <v>39353.137103357934</v>
      </c>
      <c r="E8" s="21">
        <f>E5</f>
        <v>1754.2193560327923</v>
      </c>
      <c r="F8" s="21">
        <f>F5</f>
        <v>38428.990999266105</v>
      </c>
      <c r="G8" s="21"/>
      <c r="H8" s="21"/>
      <c r="I8" s="21"/>
      <c r="J8" s="21">
        <f>J5</f>
        <v>219.01102282798874</v>
      </c>
      <c r="K8" s="21"/>
      <c r="L8" s="21">
        <f>L5</f>
        <v>0</v>
      </c>
      <c r="M8" s="21">
        <f>M5</f>
        <v>0</v>
      </c>
      <c r="N8" s="21">
        <f>N5</f>
        <v>7608.224491347436</v>
      </c>
      <c r="O8" s="21">
        <f>O5</f>
        <v>486.06976374982281</v>
      </c>
      <c r="P8" s="21">
        <f>P5</f>
        <v>1369.4147099990528</v>
      </c>
    </row>
    <row r="9" spans="1:16">
      <c r="B9" s="19"/>
      <c r="C9" s="19"/>
      <c r="D9" s="254"/>
      <c r="E9" s="19"/>
      <c r="F9" s="19"/>
      <c r="G9" s="19"/>
      <c r="H9" s="19"/>
      <c r="I9" s="19"/>
      <c r="J9" s="19"/>
      <c r="K9" s="19"/>
      <c r="L9" s="19"/>
      <c r="M9" s="19"/>
      <c r="N9" s="19"/>
      <c r="O9" s="19"/>
      <c r="P9" s="19"/>
    </row>
    <row r="10" spans="1:16">
      <c r="A10" s="24" t="s">
        <v>207</v>
      </c>
      <c r="B10" s="25">
        <f ca="1">'EF ele_warmte'!B12</f>
        <v>0.19252768683168187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5253.6069312129166</v>
      </c>
      <c r="C12" s="23">
        <f ca="1">C10*C8</f>
        <v>0</v>
      </c>
      <c r="D12" s="23">
        <f>D8*D10</f>
        <v>7949.3336948783035</v>
      </c>
      <c r="E12" s="23">
        <f>E10*E8</f>
        <v>398.20779381944385</v>
      </c>
      <c r="F12" s="23">
        <f>F10*F8</f>
        <v>10260.54059680405</v>
      </c>
      <c r="G12" s="23"/>
      <c r="H12" s="23"/>
      <c r="I12" s="23"/>
      <c r="J12" s="23">
        <f>J10*J8</f>
        <v>77.529902081108006</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5507</v>
      </c>
      <c r="C26" s="36"/>
      <c r="D26" s="225"/>
    </row>
    <row r="27" spans="1:5" s="15" customFormat="1">
      <c r="A27" s="227" t="s">
        <v>860</v>
      </c>
      <c r="B27" s="37">
        <f>SUM(HH_hh_gas_aantal,HH_rest_gas_aantal)</f>
        <v>2751</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2613.4499999999998</v>
      </c>
      <c r="C31" s="34" t="s">
        <v>104</v>
      </c>
      <c r="D31" s="171"/>
    </row>
    <row r="32" spans="1:5">
      <c r="A32" s="168" t="s">
        <v>72</v>
      </c>
      <c r="B32" s="33">
        <f>IF((B21*($B$26-($B$27-0.05*$B$27)-$B$60))&lt;0,0,(B21*($B$26-($B$27-0.05*$B$27)-$B$60)))</f>
        <v>43.871905350623237</v>
      </c>
      <c r="C32" s="34" t="s">
        <v>104</v>
      </c>
      <c r="D32" s="171"/>
    </row>
    <row r="33" spans="1:6">
      <c r="A33" s="168" t="s">
        <v>73</v>
      </c>
      <c r="B33" s="33">
        <f>IF((B22*($B$26-($B$27-0.05*$B$27)-$B$60))&lt;0,0,B22*($B$26-($B$27-0.05*$B$27)-$B$60))</f>
        <v>712.39285363188765</v>
      </c>
      <c r="C33" s="34" t="s">
        <v>104</v>
      </c>
      <c r="D33" s="171"/>
    </row>
    <row r="34" spans="1:6">
      <c r="A34" s="168" t="s">
        <v>74</v>
      </c>
      <c r="B34" s="33">
        <f>IF((B24*($B$26-($B$27-0.05*$B$27)-$B$60))&lt;0,0,B24*($B$26-($B$27-0.05*$B$27)-$B$60))</f>
        <v>136.57524361301876</v>
      </c>
      <c r="C34" s="33">
        <f>B26*C24</f>
        <v>1128.4170105146388</v>
      </c>
      <c r="D34" s="230"/>
    </row>
    <row r="35" spans="1:6">
      <c r="A35" s="168" t="s">
        <v>76</v>
      </c>
      <c r="B35" s="33">
        <f>IF((B19*($B$26-($B$27-0.05*$B$27)-$B$60))&lt;0,0,B19*($B$26-($B$27-0.05*$B$27)-$B$60))</f>
        <v>19.071012662430697</v>
      </c>
      <c r="C35" s="33">
        <f>B35/2</f>
        <v>9.5355063312153483</v>
      </c>
      <c r="D35" s="230"/>
    </row>
    <row r="36" spans="1:6">
      <c r="A36" s="168" t="s">
        <v>77</v>
      </c>
      <c r="B36" s="33">
        <f>IF((B18*($B$26-($B$27-0.05*$B$27)-$B$60))&lt;0,0,B18*($B$26-($B$27-0.05*$B$27)-$B$60))</f>
        <v>1851.6389847420394</v>
      </c>
      <c r="C36" s="34" t="s">
        <v>104</v>
      </c>
      <c r="D36" s="171"/>
    </row>
    <row r="37" spans="1:6">
      <c r="A37" s="168" t="s">
        <v>78</v>
      </c>
      <c r="B37" s="33">
        <f>B60</f>
        <v>130</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245</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130</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8946.5937446984844</v>
      </c>
      <c r="C5" s="17">
        <f>IF(ISERROR('Eigen informatie GS &amp; warmtenet'!B60),0,'Eigen informatie GS &amp; warmtenet'!B60)</f>
        <v>0</v>
      </c>
      <c r="D5" s="30">
        <f>SUM(D6:D12)</f>
        <v>10338.298307183415</v>
      </c>
      <c r="E5" s="17">
        <f>SUM(E6:E12)</f>
        <v>38.795428226198538</v>
      </c>
      <c r="F5" s="17">
        <f>SUM(F6:F12)</f>
        <v>1658.1948380335568</v>
      </c>
      <c r="G5" s="18"/>
      <c r="H5" s="17"/>
      <c r="I5" s="17"/>
      <c r="J5" s="17">
        <f>SUM(J6:J12)</f>
        <v>1.0368612282783476E-2</v>
      </c>
      <c r="K5" s="17"/>
      <c r="L5" s="17"/>
      <c r="M5" s="17"/>
      <c r="N5" s="17">
        <f>SUM(N6:N12)</f>
        <v>404.3026454033407</v>
      </c>
      <c r="O5" s="17">
        <f>B38*B39*B40</f>
        <v>4.8972607658411542</v>
      </c>
      <c r="P5" s="17">
        <f>B46*B47*B48/1000-B46*B47*B48/1000/B49</f>
        <v>157.61741491948504</v>
      </c>
      <c r="R5" s="32"/>
    </row>
    <row r="6" spans="1:18">
      <c r="A6" s="32" t="s">
        <v>53</v>
      </c>
      <c r="B6" s="37">
        <f>B26</f>
        <v>2368.9199638568202</v>
      </c>
      <c r="C6" s="33"/>
      <c r="D6" s="37">
        <f>IF(ISERROR(TER_kantoor_gas_kWh/1000),0,TER_kantoor_gas_kWh/1000)*0.903</f>
        <v>3248.5524737174619</v>
      </c>
      <c r="E6" s="33">
        <f>$C$26*'E Balans VL '!I12/100/3.6*1000000</f>
        <v>0.56444380423461094</v>
      </c>
      <c r="F6" s="33">
        <f>$C$26*('E Balans VL '!L12+'E Balans VL '!N12)/100/3.6*1000000</f>
        <v>205.7639051537804</v>
      </c>
      <c r="G6" s="34"/>
      <c r="H6" s="33"/>
      <c r="I6" s="33"/>
      <c r="J6" s="33">
        <f>$C$26*('E Balans VL '!D12+'E Balans VL '!E12)/100/3.6*1000000</f>
        <v>0</v>
      </c>
      <c r="K6" s="33"/>
      <c r="L6" s="33"/>
      <c r="M6" s="33"/>
      <c r="N6" s="33">
        <f>$C$26*'E Balans VL '!Y12/100/3.6*1000000</f>
        <v>3.1663929440691203</v>
      </c>
      <c r="O6" s="33"/>
      <c r="P6" s="33"/>
      <c r="R6" s="32"/>
    </row>
    <row r="7" spans="1:18">
      <c r="A7" s="32" t="s">
        <v>52</v>
      </c>
      <c r="B7" s="37">
        <f t="shared" ref="B7:B12" si="0">B27</f>
        <v>1328.69923065849</v>
      </c>
      <c r="C7" s="33"/>
      <c r="D7" s="37">
        <f>IF(ISERROR(TER_horeca_gas_kWh/1000),0,TER_horeca_gas_kWh/1000)*0.903</f>
        <v>2203.1349256601034</v>
      </c>
      <c r="E7" s="33">
        <f>$C$27*'E Balans VL '!I9/100/3.6*1000000</f>
        <v>0</v>
      </c>
      <c r="F7" s="33">
        <f>$C$27*('E Balans VL '!L9+'E Balans VL '!N9)/100/3.6*1000000</f>
        <v>108.26494127748816</v>
      </c>
      <c r="G7" s="34"/>
      <c r="H7" s="33"/>
      <c r="I7" s="33"/>
      <c r="J7" s="33">
        <f>$C$27*('E Balans VL '!D9+'E Balans VL '!E9)/100/3.6*1000000</f>
        <v>0</v>
      </c>
      <c r="K7" s="33"/>
      <c r="L7" s="33"/>
      <c r="M7" s="33"/>
      <c r="N7" s="33">
        <f>$C$27*'E Balans VL '!Y9/100/3.6*1000000</f>
        <v>0.36802495003275315</v>
      </c>
      <c r="O7" s="33"/>
      <c r="P7" s="33"/>
      <c r="R7" s="32"/>
    </row>
    <row r="8" spans="1:18">
      <c r="A8" s="6" t="s">
        <v>51</v>
      </c>
      <c r="B8" s="37">
        <f t="shared" si="0"/>
        <v>3120.0320698486398</v>
      </c>
      <c r="C8" s="33"/>
      <c r="D8" s="37">
        <f>IF(ISERROR(TER_handel_gas_kWh/1000),0,TER_handel_gas_kWh/1000)*0.903</f>
        <v>1517.74589767323</v>
      </c>
      <c r="E8" s="33">
        <f>$C$28*'E Balans VL '!I13/100/3.6*1000000</f>
        <v>24.940333901703148</v>
      </c>
      <c r="F8" s="33">
        <f>$C$28*('E Balans VL '!L13+'E Balans VL '!N13)/100/3.6*1000000</f>
        <v>309.95579088850383</v>
      </c>
      <c r="G8" s="34"/>
      <c r="H8" s="33"/>
      <c r="I8" s="33"/>
      <c r="J8" s="33">
        <f>$C$28*('E Balans VL '!D13+'E Balans VL '!E13)/100/3.6*1000000</f>
        <v>0</v>
      </c>
      <c r="K8" s="33"/>
      <c r="L8" s="33"/>
      <c r="M8" s="33"/>
      <c r="N8" s="33">
        <f>$C$28*'E Balans VL '!Y13/100/3.6*1000000</f>
        <v>1.1655176947592154</v>
      </c>
      <c r="O8" s="33"/>
      <c r="P8" s="33"/>
      <c r="R8" s="32"/>
    </row>
    <row r="9" spans="1:18">
      <c r="A9" s="32" t="s">
        <v>50</v>
      </c>
      <c r="B9" s="37">
        <f t="shared" si="0"/>
        <v>976.23459950637698</v>
      </c>
      <c r="C9" s="33"/>
      <c r="D9" s="37">
        <f>IF(ISERROR(TER_gezond_gas_kWh/1000),0,TER_gezond_gas_kWh/1000)*0.903</f>
        <v>1921.2174831963475</v>
      </c>
      <c r="E9" s="33">
        <f>$C$29*'E Balans VL '!I10/100/3.6*1000000</f>
        <v>0</v>
      </c>
      <c r="F9" s="33">
        <f>$C$29*('E Balans VL '!L10+'E Balans VL '!N10)/100/3.6*1000000</f>
        <v>88.999692167902637</v>
      </c>
      <c r="G9" s="34"/>
      <c r="H9" s="33"/>
      <c r="I9" s="33"/>
      <c r="J9" s="33">
        <f>$C$29*('E Balans VL '!D10+'E Balans VL '!E10)/100/3.6*1000000</f>
        <v>0</v>
      </c>
      <c r="K9" s="33"/>
      <c r="L9" s="33"/>
      <c r="M9" s="33"/>
      <c r="N9" s="33">
        <f>$C$29*'E Balans VL '!Y10/100/3.6*1000000</f>
        <v>7.1354000599502196</v>
      </c>
      <c r="O9" s="33"/>
      <c r="P9" s="33"/>
      <c r="R9" s="32"/>
    </row>
    <row r="10" spans="1:18">
      <c r="A10" s="32" t="s">
        <v>49</v>
      </c>
      <c r="B10" s="37">
        <f t="shared" si="0"/>
        <v>1025.1567960469199</v>
      </c>
      <c r="C10" s="33"/>
      <c r="D10" s="37">
        <f>IF(ISERROR(TER_ander_gas_kWh/1000),0,TER_ander_gas_kWh/1000)*0.903</f>
        <v>1186.5078518350381</v>
      </c>
      <c r="E10" s="33">
        <f>$C$30*'E Balans VL '!I14/100/3.6*1000000</f>
        <v>13.290650520260781</v>
      </c>
      <c r="F10" s="33">
        <f>$C$30*('E Balans VL '!L14+'E Balans VL '!N14)/100/3.6*1000000</f>
        <v>940.21271672210935</v>
      </c>
      <c r="G10" s="34"/>
      <c r="H10" s="33"/>
      <c r="I10" s="33"/>
      <c r="J10" s="33">
        <f>$C$30*('E Balans VL '!D14+'E Balans VL '!E14)/100/3.6*1000000</f>
        <v>1.0368612282783476E-2</v>
      </c>
      <c r="K10" s="33"/>
      <c r="L10" s="33"/>
      <c r="M10" s="33"/>
      <c r="N10" s="33">
        <f>$C$30*'E Balans VL '!Y14/100/3.6*1000000</f>
        <v>392.06561987414625</v>
      </c>
      <c r="O10" s="33"/>
      <c r="P10" s="33"/>
      <c r="R10" s="32"/>
    </row>
    <row r="11" spans="1:18">
      <c r="A11" s="32" t="s">
        <v>54</v>
      </c>
      <c r="B11" s="37">
        <f t="shared" si="0"/>
        <v>127.551084781236</v>
      </c>
      <c r="C11" s="33"/>
      <c r="D11" s="37">
        <f>IF(ISERROR(TER_onderwijs_gas_kWh/1000),0,TER_onderwijs_gas_kWh/1000)*0.903</f>
        <v>261.13967510123365</v>
      </c>
      <c r="E11" s="33">
        <f>$C$31*'E Balans VL '!I11/100/3.6*1000000</f>
        <v>0</v>
      </c>
      <c r="F11" s="33">
        <f>$C$31*('E Balans VL '!L11+'E Balans VL '!N11)/100/3.6*1000000</f>
        <v>4.9977918237725891</v>
      </c>
      <c r="G11" s="34"/>
      <c r="H11" s="33"/>
      <c r="I11" s="33"/>
      <c r="J11" s="33">
        <f>$C$31*('E Balans VL '!D11+'E Balans VL '!E11)/100/3.6*1000000</f>
        <v>0</v>
      </c>
      <c r="K11" s="33"/>
      <c r="L11" s="33"/>
      <c r="M11" s="33"/>
      <c r="N11" s="33">
        <f>$C$31*'E Balans VL '!Y11/100/3.6*1000000</f>
        <v>0.40168988038313891</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8946.5937446984844</v>
      </c>
      <c r="C16" s="21">
        <f t="shared" ca="1" si="1"/>
        <v>0</v>
      </c>
      <c r="D16" s="21">
        <f t="shared" ca="1" si="1"/>
        <v>10338.298307183415</v>
      </c>
      <c r="E16" s="21">
        <f t="shared" si="1"/>
        <v>38.795428226198538</v>
      </c>
      <c r="F16" s="21">
        <f t="shared" ca="1" si="1"/>
        <v>1658.1948380335568</v>
      </c>
      <c r="G16" s="21">
        <f t="shared" si="1"/>
        <v>0</v>
      </c>
      <c r="H16" s="21">
        <f t="shared" si="1"/>
        <v>0</v>
      </c>
      <c r="I16" s="21">
        <f t="shared" si="1"/>
        <v>0</v>
      </c>
      <c r="J16" s="21">
        <f t="shared" si="1"/>
        <v>1.0368612282783476E-2</v>
      </c>
      <c r="K16" s="21">
        <f t="shared" si="1"/>
        <v>0</v>
      </c>
      <c r="L16" s="21">
        <f t="shared" ca="1" si="1"/>
        <v>0</v>
      </c>
      <c r="M16" s="21">
        <f t="shared" si="1"/>
        <v>0</v>
      </c>
      <c r="N16" s="21">
        <f t="shared" ca="1" si="1"/>
        <v>404.3026454033407</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0.19252768683168187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1722.4669986895938</v>
      </c>
      <c r="C20" s="23">
        <f t="shared" ref="C20:P20" ca="1" si="2">C16*C18</f>
        <v>0</v>
      </c>
      <c r="D20" s="23">
        <f t="shared" ca="1" si="2"/>
        <v>2088.3362580510502</v>
      </c>
      <c r="E20" s="23">
        <f t="shared" si="2"/>
        <v>8.8065622073470688</v>
      </c>
      <c r="F20" s="23">
        <f t="shared" ca="1" si="2"/>
        <v>442.73802175495968</v>
      </c>
      <c r="G20" s="23">
        <f t="shared" si="2"/>
        <v>0</v>
      </c>
      <c r="H20" s="23">
        <f t="shared" si="2"/>
        <v>0</v>
      </c>
      <c r="I20" s="23">
        <f t="shared" si="2"/>
        <v>0</v>
      </c>
      <c r="J20" s="23">
        <f t="shared" si="2"/>
        <v>3.6704887481053506E-3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2368.9199638568202</v>
      </c>
      <c r="C26" s="39">
        <f>IF(ISERROR(B26*3.6/1000000/'E Balans VL '!Z12*100),0,B26*3.6/1000000/'E Balans VL '!Z12*100)</f>
        <v>6.7964090835587063E-2</v>
      </c>
      <c r="D26" s="233" t="s">
        <v>835</v>
      </c>
      <c r="F26" s="6"/>
    </row>
    <row r="27" spans="1:18" ht="30">
      <c r="A27" s="228" t="s">
        <v>52</v>
      </c>
      <c r="B27" s="33">
        <f>IF(ISERROR(TER_horeca_ele_kWh/1000),0,TER_horeca_ele_kWh/1000)</f>
        <v>1328.69923065849</v>
      </c>
      <c r="C27" s="39">
        <f>IF(ISERROR(B27*3.6/1000000/'E Balans VL '!Z9*100),0,B27*3.6/1000000/'E Balans VL '!Z9*100)</f>
        <v>9.7340976044817229E-2</v>
      </c>
      <c r="D27" s="233" t="s">
        <v>835</v>
      </c>
      <c r="F27" s="6"/>
    </row>
    <row r="28" spans="1:18" ht="30">
      <c r="A28" s="168" t="s">
        <v>51</v>
      </c>
      <c r="B28" s="33">
        <f>IF(ISERROR(TER_handel_ele_kWh/1000),0,TER_handel_ele_kWh/1000)</f>
        <v>3120.0320698486398</v>
      </c>
      <c r="C28" s="39">
        <f>IF(ISERROR(B28*3.6/1000000/'E Balans VL '!Z13*100),0,B28*3.6/1000000/'E Balans VL '!Z13*100)</f>
        <v>9.6411622553542825E-2</v>
      </c>
      <c r="D28" s="233" t="s">
        <v>835</v>
      </c>
      <c r="F28" s="6"/>
    </row>
    <row r="29" spans="1:18" ht="30">
      <c r="A29" s="228" t="s">
        <v>50</v>
      </c>
      <c r="B29" s="33">
        <f>IF(ISERROR(TER_gezond_ele_kWh/1000),0,TER_gezond_ele_kWh/1000)</f>
        <v>976.23459950637698</v>
      </c>
      <c r="C29" s="39">
        <f>IF(ISERROR(B29*3.6/1000000/'E Balans VL '!Z10*100),0,B29*3.6/1000000/'E Balans VL '!Z10*100)</f>
        <v>9.5676993574245528E-2</v>
      </c>
      <c r="D29" s="233" t="s">
        <v>835</v>
      </c>
      <c r="F29" s="6"/>
    </row>
    <row r="30" spans="1:18" ht="30">
      <c r="A30" s="228" t="s">
        <v>49</v>
      </c>
      <c r="B30" s="33">
        <f>IF(ISERROR(TER_ander_ele_kWh/1000),0,TER_ander_ele_kWh/1000)</f>
        <v>1025.1567960469199</v>
      </c>
      <c r="C30" s="39">
        <f>IF(ISERROR(B30*3.6/1000000/'E Balans VL '!Z14*100),0,B30*3.6/1000000/'E Balans VL '!Z14*100)</f>
        <v>4.2465306277611505E-2</v>
      </c>
      <c r="D30" s="233" t="s">
        <v>835</v>
      </c>
      <c r="F30" s="6"/>
    </row>
    <row r="31" spans="1:18" ht="30">
      <c r="A31" s="228" t="s">
        <v>54</v>
      </c>
      <c r="B31" s="33">
        <f>IF(ISERROR(TER_onderwijs_ele_kWh/1000),0,TER_onderwijs_ele_kWh/1000)</f>
        <v>127.551084781236</v>
      </c>
      <c r="C31" s="39">
        <f>IF(ISERROR(B31*3.6/1000000/'E Balans VL '!Z11*100),0,B31*3.6/1000000/'E Balans VL '!Z11*100)</f>
        <v>3.9192570466101737E-2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1</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3</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5926.7081842441285</v>
      </c>
      <c r="C5" s="17">
        <f>IF(ISERROR('Eigen informatie GS &amp; warmtenet'!B61),0,'Eigen informatie GS &amp; warmtenet'!B61)</f>
        <v>0</v>
      </c>
      <c r="D5" s="30">
        <f>SUM(D6:D15)</f>
        <v>5473.1562931796116</v>
      </c>
      <c r="E5" s="17">
        <f>SUM(E6:E15)</f>
        <v>25.896948272650398</v>
      </c>
      <c r="F5" s="17">
        <f>SUM(F6:F15)</f>
        <v>1034.3614991769603</v>
      </c>
      <c r="G5" s="18"/>
      <c r="H5" s="17"/>
      <c r="I5" s="17"/>
      <c r="J5" s="17">
        <f>SUM(J6:J15)</f>
        <v>25.971542008594813</v>
      </c>
      <c r="K5" s="17"/>
      <c r="L5" s="17"/>
      <c r="M5" s="17"/>
      <c r="N5" s="17">
        <f>SUM(N6:N15)</f>
        <v>585.63655905676001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585.26446943209498</v>
      </c>
      <c r="C8" s="33"/>
      <c r="D8" s="37">
        <f>IF( ISERROR(IND_metaal_Gas_kWH/1000),0,IND_metaal_Gas_kWH/1000)*0.903</f>
        <v>435.32122761122992</v>
      </c>
      <c r="E8" s="33">
        <f>C30*'E Balans VL '!I18/100/3.6*1000000</f>
        <v>3.1903678992414664</v>
      </c>
      <c r="F8" s="33">
        <f>C30*'E Balans VL '!L18/100/3.6*1000000+C30*'E Balans VL '!N18/100/3.6*1000000</f>
        <v>37.691076535508202</v>
      </c>
      <c r="G8" s="34"/>
      <c r="H8" s="33"/>
      <c r="I8" s="33"/>
      <c r="J8" s="40">
        <f>C30*'E Balans VL '!D18/100/3.6*1000000+C30*'E Balans VL '!E18/100/3.6*1000000</f>
        <v>0.47940299009313336</v>
      </c>
      <c r="K8" s="33"/>
      <c r="L8" s="33"/>
      <c r="M8" s="33"/>
      <c r="N8" s="33">
        <f>C30*'E Balans VL '!Y18/100/3.6*1000000</f>
        <v>12.644252121134809</v>
      </c>
      <c r="O8" s="33"/>
      <c r="P8" s="33"/>
      <c r="R8" s="32"/>
    </row>
    <row r="9" spans="1:18">
      <c r="A9" s="6" t="s">
        <v>32</v>
      </c>
      <c r="B9" s="37">
        <f t="shared" si="0"/>
        <v>1272.8859971813101</v>
      </c>
      <c r="C9" s="33"/>
      <c r="D9" s="37">
        <f>IF( ISERROR(IND_andere_gas_kWh/1000),0,IND_andere_gas_kWh/1000)*0.903</f>
        <v>1300.3227014954559</v>
      </c>
      <c r="E9" s="33">
        <f>C31*'E Balans VL '!I19/100/3.6*1000000</f>
        <v>4.1090927720938524</v>
      </c>
      <c r="F9" s="33">
        <f>C31*'E Balans VL '!L19/100/3.6*1000000+C31*'E Balans VL '!N19/100/3.6*1000000</f>
        <v>823.05807801069204</v>
      </c>
      <c r="G9" s="34"/>
      <c r="H9" s="33"/>
      <c r="I9" s="33"/>
      <c r="J9" s="40">
        <f>C31*'E Balans VL '!D19/100/3.6*1000000+C31*'E Balans VL '!E19/100/3.6*1000000</f>
        <v>0</v>
      </c>
      <c r="K9" s="33"/>
      <c r="L9" s="33"/>
      <c r="M9" s="33"/>
      <c r="N9" s="33">
        <f>C31*'E Balans VL '!Y19/100/3.6*1000000</f>
        <v>51.435852833823745</v>
      </c>
      <c r="O9" s="33"/>
      <c r="P9" s="33"/>
      <c r="R9" s="32"/>
    </row>
    <row r="10" spans="1:18">
      <c r="A10" s="6" t="s">
        <v>40</v>
      </c>
      <c r="B10" s="37">
        <f t="shared" si="0"/>
        <v>3299.9472066783001</v>
      </c>
      <c r="C10" s="33"/>
      <c r="D10" s="37">
        <f>IF( ISERROR(IND_voed_gas_kWh/1000),0,IND_voed_gas_kWh/1000)*0.903</f>
        <v>3584.5801516598735</v>
      </c>
      <c r="E10" s="33">
        <f>C32*'E Balans VL '!I20/100/3.6*1000000</f>
        <v>6.9174980750053123</v>
      </c>
      <c r="F10" s="33">
        <f>C32*'E Balans VL '!L20/100/3.6*1000000+C32*'E Balans VL '!N20/100/3.6*1000000</f>
        <v>64.294375798261825</v>
      </c>
      <c r="G10" s="34"/>
      <c r="H10" s="33"/>
      <c r="I10" s="33"/>
      <c r="J10" s="40">
        <f>C32*'E Balans VL '!D20/100/3.6*1000000+C32*'E Balans VL '!E20/100/3.6*1000000</f>
        <v>0</v>
      </c>
      <c r="K10" s="33"/>
      <c r="L10" s="33"/>
      <c r="M10" s="33"/>
      <c r="N10" s="33">
        <f>C32*'E Balans VL '!Y20/100/3.6*1000000</f>
        <v>131.26275108717735</v>
      </c>
      <c r="O10" s="33"/>
      <c r="P10" s="33"/>
      <c r="R10" s="32"/>
    </row>
    <row r="11" spans="1:18">
      <c r="A11" s="6" t="s">
        <v>39</v>
      </c>
      <c r="B11" s="37">
        <f t="shared" si="0"/>
        <v>29.0991199903401</v>
      </c>
      <c r="C11" s="33"/>
      <c r="D11" s="37">
        <f>IF( ISERROR(IND_textiel_gas_kWh/1000),0,IND_textiel_gas_kWh/1000)*0.903</f>
        <v>0</v>
      </c>
      <c r="E11" s="33">
        <f>C33*'E Balans VL '!I21/100/3.6*1000000</f>
        <v>2.5003999074338434E-2</v>
      </c>
      <c r="F11" s="33">
        <f>C33*'E Balans VL '!L21/100/3.6*1000000+C33*'E Balans VL '!N21/100/3.6*1000000</f>
        <v>0.61009325205458909</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712.18720374203997</v>
      </c>
      <c r="C12" s="33"/>
      <c r="D12" s="37">
        <f>IF( ISERROR(IND_min_gas_kWh/1000),0,IND_min_gas_kWh/1000)*0.903</f>
        <v>0</v>
      </c>
      <c r="E12" s="33">
        <f>C34*'E Balans VL '!I22/100/3.6*1000000</f>
        <v>11.654985527235432</v>
      </c>
      <c r="F12" s="33">
        <f>C34*'E Balans VL '!L22/100/3.6*1000000+C34*'E Balans VL '!N22/100/3.6*1000000</f>
        <v>108.70421541942154</v>
      </c>
      <c r="G12" s="34"/>
      <c r="H12" s="33"/>
      <c r="I12" s="33"/>
      <c r="J12" s="40">
        <f>C34*'E Balans VL '!D22/100/3.6*1000000+C34*'E Balans VL '!E22/100/3.6*1000000</f>
        <v>25.486734122346572</v>
      </c>
      <c r="K12" s="33"/>
      <c r="L12" s="33"/>
      <c r="M12" s="33"/>
      <c r="N12" s="33">
        <f>C34*'E Balans VL '!Y22/100/3.6*1000000</f>
        <v>390.29370301462416</v>
      </c>
      <c r="O12" s="33"/>
      <c r="P12" s="33"/>
      <c r="R12" s="32"/>
    </row>
    <row r="13" spans="1:18">
      <c r="A13" s="6" t="s">
        <v>38</v>
      </c>
      <c r="B13" s="37">
        <f t="shared" si="0"/>
        <v>27.324187220043299</v>
      </c>
      <c r="C13" s="33"/>
      <c r="D13" s="37">
        <f>IF( ISERROR(IND_papier_gas_kWh/1000),0,IND_papier_gas_kWh/1000)*0.903</f>
        <v>0</v>
      </c>
      <c r="E13" s="33">
        <f>C35*'E Balans VL '!I23/100/3.6*1000000</f>
        <v>0</v>
      </c>
      <c r="F13" s="33">
        <f>C35*'E Balans VL '!L23/100/3.6*1000000+C35*'E Balans VL '!N23/100/3.6*1000000</f>
        <v>3.6601610221378635E-3</v>
      </c>
      <c r="G13" s="34"/>
      <c r="H13" s="33"/>
      <c r="I13" s="33"/>
      <c r="J13" s="40">
        <f>C35*'E Balans VL '!D23/100/3.6*1000000+C35*'E Balans VL '!E23/100/3.6*1000000</f>
        <v>5.4048961551077454E-3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0</v>
      </c>
      <c r="C15" s="33"/>
      <c r="D15" s="37">
        <f>IF( ISERROR(IND_rest_gas_kWh/1000),0,IND_rest_gas_kWh/1000)*0.903</f>
        <v>152.93221241305235</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5926.7081842441285</v>
      </c>
      <c r="C18" s="21">
        <f>C5+C16</f>
        <v>0</v>
      </c>
      <c r="D18" s="21">
        <f>MAX((D5+D16),0)</f>
        <v>5473.1562931796116</v>
      </c>
      <c r="E18" s="21">
        <f>MAX((E5+E16),0)</f>
        <v>25.896948272650398</v>
      </c>
      <c r="F18" s="21">
        <f>MAX((F5+F16),0)</f>
        <v>1034.3614991769603</v>
      </c>
      <c r="G18" s="21"/>
      <c r="H18" s="21"/>
      <c r="I18" s="21"/>
      <c r="J18" s="21">
        <f>MAX((J5+J16),0)</f>
        <v>25.971542008594813</v>
      </c>
      <c r="K18" s="21"/>
      <c r="L18" s="21">
        <f>MAX((L5+L16),0)</f>
        <v>0</v>
      </c>
      <c r="M18" s="21"/>
      <c r="N18" s="21">
        <f>MAX((N5+N16),0)</f>
        <v>585.63655905676001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0.19252768683168187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1141.0554172389195</v>
      </c>
      <c r="C22" s="23">
        <f ca="1">C18*C20</f>
        <v>0</v>
      </c>
      <c r="D22" s="23">
        <f>D18*D20</f>
        <v>1105.5775712222817</v>
      </c>
      <c r="E22" s="23">
        <f>E18*E20</f>
        <v>5.8786072578916402</v>
      </c>
      <c r="F22" s="23">
        <f>F18*F20</f>
        <v>276.17452028024843</v>
      </c>
      <c r="G22" s="23"/>
      <c r="H22" s="23"/>
      <c r="I22" s="23"/>
      <c r="J22" s="23">
        <f>J18*J20</f>
        <v>9.1939258710425626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585.26446943209498</v>
      </c>
      <c r="C30" s="39">
        <f>IF(ISERROR(B30*3.6/1000000/'E Balans VL '!Z18*100),0,B30*3.6/1000000/'E Balans VL '!Z18*100)</f>
        <v>3.5243021530228409E-2</v>
      </c>
      <c r="D30" s="233" t="s">
        <v>835</v>
      </c>
    </row>
    <row r="31" spans="1:18" ht="30">
      <c r="A31" s="6" t="s">
        <v>32</v>
      </c>
      <c r="B31" s="37">
        <f>IF( ISERROR(IND_ander_ele_kWh/1000),0,IND_ander_ele_kWh/1000)</f>
        <v>1272.8859971813101</v>
      </c>
      <c r="C31" s="39">
        <f>IF(ISERROR(B31*3.6/1000000/'E Balans VL '!Z19*100),0,B31*3.6/1000000/'E Balans VL '!Z19*100)</f>
        <v>5.1860010702440305E-2</v>
      </c>
      <c r="D31" s="233" t="s">
        <v>835</v>
      </c>
    </row>
    <row r="32" spans="1:18" ht="30">
      <c r="A32" s="168" t="s">
        <v>40</v>
      </c>
      <c r="B32" s="37">
        <f>IF( ISERROR(IND_voed_ele_kWh/1000),0,IND_voed_ele_kWh/1000)</f>
        <v>3299.9472066783001</v>
      </c>
      <c r="C32" s="39">
        <f>IF(ISERROR(B32*3.6/1000000/'E Balans VL '!Z20*100),0,B32*3.6/1000000/'E Balans VL '!Z20*100)</f>
        <v>9.5414753724946275E-2</v>
      </c>
      <c r="D32" s="233" t="s">
        <v>835</v>
      </c>
    </row>
    <row r="33" spans="1:5" ht="30">
      <c r="A33" s="168" t="s">
        <v>39</v>
      </c>
      <c r="B33" s="37">
        <f>IF( ISERROR(IND_textiel_ele_kWh/1000),0,IND_textiel_ele_kWh/1000)</f>
        <v>29.0991199903401</v>
      </c>
      <c r="C33" s="39">
        <f>IF(ISERROR(B33*3.6/1000000/'E Balans VL '!Z21*100),0,B33*3.6/1000000/'E Balans VL '!Z21*100)</f>
        <v>4.7854543682944372E-3</v>
      </c>
      <c r="D33" s="233" t="s">
        <v>835</v>
      </c>
    </row>
    <row r="34" spans="1:5" ht="30">
      <c r="A34" s="168" t="s">
        <v>36</v>
      </c>
      <c r="B34" s="37">
        <f>IF( ISERROR(IND_min_ele_kWh/1000),0,IND_min_ele_kWh/1000)</f>
        <v>712.18720374203997</v>
      </c>
      <c r="C34" s="39">
        <f>IF(ISERROR(B34*3.6/1000000/'E Balans VL '!Z22*100),0,B34*3.6/1000000/'E Balans VL '!Z22*100)</f>
        <v>0.30409731817727548</v>
      </c>
      <c r="D34" s="233" t="s">
        <v>835</v>
      </c>
    </row>
    <row r="35" spans="1:5" ht="30">
      <c r="A35" s="168" t="s">
        <v>38</v>
      </c>
      <c r="B35" s="37">
        <f>IF( ISERROR(IND_papier_ele_kWh/1000),0,IND_papier_ele_kWh/1000)</f>
        <v>27.324187220043299</v>
      </c>
      <c r="C35" s="39">
        <f>IF(ISERROR(B35*3.6/1000000/'E Balans VL '!Z22*100),0,B35*3.6/1000000/'E Balans VL '!Z22*100)</f>
        <v>1.1667174039816947E-2</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0</v>
      </c>
      <c r="C37" s="39">
        <f>IF(ISERROR(B37*3.6/1000000/'E Balans VL '!Z15*100),0,B37*3.6/1000000/'E Balans VL '!Z15*100)</f>
        <v>0</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2416.96953194045</v>
      </c>
      <c r="C5" s="17">
        <f>'Eigen informatie GS &amp; warmtenet'!B62</f>
        <v>0</v>
      </c>
      <c r="D5" s="30">
        <f>IF(ISERROR(SUM(LB_lb_gas_kWh,LB_rest_gas_kWh)/1000),0,SUM(LB_lb_gas_kWh,LB_rest_gas_kWh)/1000)*0.903</f>
        <v>354.49517254657394</v>
      </c>
      <c r="E5" s="17">
        <f>B17*'E Balans VL '!I25/3.6*1000000/100</f>
        <v>69.226097656065335</v>
      </c>
      <c r="F5" s="17">
        <f>B17*('E Balans VL '!L25/3.6*1000000+'E Balans VL '!N25/3.6*1000000)/100</f>
        <v>7650.8770215369759</v>
      </c>
      <c r="G5" s="18"/>
      <c r="H5" s="17"/>
      <c r="I5" s="17"/>
      <c r="J5" s="17">
        <f>('E Balans VL '!D25+'E Balans VL '!E25)/3.6*1000000*landbouw!B17/100</f>
        <v>614.5594533477697</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2416.96953194045</v>
      </c>
      <c r="C8" s="21">
        <f>C5+C6</f>
        <v>0</v>
      </c>
      <c r="D8" s="21">
        <f>MAX((D5+D6),0)</f>
        <v>354.49517254657394</v>
      </c>
      <c r="E8" s="21">
        <f>MAX((E5+E6),0)</f>
        <v>69.226097656065335</v>
      </c>
      <c r="F8" s="21">
        <f>MAX((F5+F6),0)</f>
        <v>7650.8770215369759</v>
      </c>
      <c r="G8" s="21"/>
      <c r="H8" s="21"/>
      <c r="I8" s="21"/>
      <c r="J8" s="21">
        <f>MAX((J5+J6),0)</f>
        <v>614.5594533477697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0.19252768683168187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465.33355312714764</v>
      </c>
      <c r="C12" s="23">
        <f ca="1">C8*C10</f>
        <v>0</v>
      </c>
      <c r="D12" s="23">
        <f>D8*D10</f>
        <v>71.608024854407944</v>
      </c>
      <c r="E12" s="23">
        <f>E8*E10</f>
        <v>15.714324167926831</v>
      </c>
      <c r="F12" s="23">
        <f>F8*F10</f>
        <v>2042.7841647503726</v>
      </c>
      <c r="G12" s="23"/>
      <c r="H12" s="23"/>
      <c r="I12" s="23"/>
      <c r="J12" s="23">
        <f>J8*J10</f>
        <v>217.55404648511046</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0.33469545001202755</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282.88108801388336</v>
      </c>
      <c r="C26" s="243">
        <f>B26*'GWP N2O_CH4'!B5</f>
        <v>5940.5028482915504</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78.196122123521974</v>
      </c>
      <c r="C27" s="243">
        <f>B27*'GWP N2O_CH4'!B5</f>
        <v>1642.1185645939615</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3.966596879349642</v>
      </c>
      <c r="C28" s="243">
        <f>B28*'GWP N2O_CH4'!B4</f>
        <v>1229.645032598389</v>
      </c>
      <c r="D28" s="50"/>
    </row>
    <row r="29" spans="1:4">
      <c r="A29" s="41" t="s">
        <v>266</v>
      </c>
      <c r="B29" s="243">
        <f>B34*'ha_N2O bodem landbouw'!B4</f>
        <v>16.452755340134782</v>
      </c>
      <c r="C29" s="243">
        <f>B29*'GWP N2O_CH4'!B4</f>
        <v>5100.3541554417825</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3.7377715537474988E-3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8.1099201779844367E-4</v>
      </c>
      <c r="C5" s="432" t="s">
        <v>204</v>
      </c>
      <c r="D5" s="417">
        <f>SUM(D6:D11)</f>
        <v>1.5158502364161575E-3</v>
      </c>
      <c r="E5" s="417">
        <f>SUM(E6:E11)</f>
        <v>5.9054077750405633E-4</v>
      </c>
      <c r="F5" s="430" t="s">
        <v>204</v>
      </c>
      <c r="G5" s="417">
        <f>SUM(G6:G11)</f>
        <v>0.25370495273286336</v>
      </c>
      <c r="H5" s="417">
        <f>SUM(H6:H11)</f>
        <v>7.4057115086884395E-2</v>
      </c>
      <c r="I5" s="432" t="s">
        <v>204</v>
      </c>
      <c r="J5" s="432" t="s">
        <v>204</v>
      </c>
      <c r="K5" s="432" t="s">
        <v>204</v>
      </c>
      <c r="L5" s="432" t="s">
        <v>204</v>
      </c>
      <c r="M5" s="417">
        <f>SUM(M6:M11)</f>
        <v>1.9817316931162617E-2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5.3792969789533129E-4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8.968827983578798E-4</v>
      </c>
      <c r="E6" s="884">
        <f>vkm_GW_PW*SUMIFS(TableVerdeelsleutelVkm[LPG],TableVerdeelsleutelVkm[Voertuigtype],"Lichte voertuigen")*SUMIFS(TableECFTransport[EnergieConsumptieFactor (PJ per km)],TableECFTransport[Index],CONCATENATE($A6,"_LPG_LPG"))</f>
        <v>3.5557755136998942E-4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0.10685998645131169</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4.3984702197126628E-2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9.2538767942034802E-3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1.7290167588390701E-6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6.8539314138200122E-2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5.0572093103439991E-7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3.9354115079521341E-3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2.7106639738805728E-4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6.1896743805827758E-4</v>
      </c>
      <c r="E8" s="420">
        <f>vkm_NGW_PW*SUMIFS(TableVerdeelsleutelVkm[LPG],TableVerdeelsleutelVkm[Voertuigtype],"Lichte voertuigen")*SUMIFS(TableECFTransport[EnergieConsumptieFactor (PJ per km)],TableECFTransport[Index],CONCATENATE($A8,"_LPG_LPG"))</f>
        <v>2.3496322613406691E-4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6.4680696044566305E-2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3.0071812939494746E-2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5.845707138428238E-3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2.669057562160131E-7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1.3624956098785234E-2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9.4229331993901154E-8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7.8232149057876348E-4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225.27556049956769</v>
      </c>
      <c r="C14" s="21"/>
      <c r="D14" s="21">
        <f t="shared" ref="D14:M14" si="0">((D5)*10^9/3600)+D12</f>
        <v>421.06951011559931</v>
      </c>
      <c r="E14" s="21">
        <f t="shared" si="0"/>
        <v>164.03910486223788</v>
      </c>
      <c r="F14" s="21"/>
      <c r="G14" s="21">
        <f t="shared" si="0"/>
        <v>70473.597981350933</v>
      </c>
      <c r="H14" s="21">
        <f t="shared" si="0"/>
        <v>20571.420857467889</v>
      </c>
      <c r="I14" s="21"/>
      <c r="J14" s="21"/>
      <c r="K14" s="21"/>
      <c r="L14" s="21"/>
      <c r="M14" s="21">
        <f t="shared" si="0"/>
        <v>5504.8102586562827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0.19252768683168187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43.371782562692367</v>
      </c>
      <c r="C18" s="23"/>
      <c r="D18" s="23">
        <f t="shared" ref="D18:M18" si="1">D14*D16</f>
        <v>85.056041043351073</v>
      </c>
      <c r="E18" s="23">
        <f t="shared" si="1"/>
        <v>37.236876803728002</v>
      </c>
      <c r="F18" s="23"/>
      <c r="G18" s="23">
        <f t="shared" si="1"/>
        <v>18816.450661020699</v>
      </c>
      <c r="H18" s="23">
        <f t="shared" si="1"/>
        <v>5122.283793509504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3.0518261624278829E-5</v>
      </c>
      <c r="C50" s="315">
        <f t="shared" ref="C50:P50" si="2">SUM(C51:C52)</f>
        <v>0</v>
      </c>
      <c r="D50" s="315">
        <f t="shared" si="2"/>
        <v>0</v>
      </c>
      <c r="E50" s="315">
        <f t="shared" si="2"/>
        <v>0</v>
      </c>
      <c r="F50" s="315">
        <f t="shared" si="2"/>
        <v>0</v>
      </c>
      <c r="G50" s="315">
        <f t="shared" si="2"/>
        <v>1.910535440846518E-3</v>
      </c>
      <c r="H50" s="315">
        <f t="shared" si="2"/>
        <v>0</v>
      </c>
      <c r="I50" s="315">
        <f t="shared" si="2"/>
        <v>0</v>
      </c>
      <c r="J50" s="315">
        <f t="shared" si="2"/>
        <v>0</v>
      </c>
      <c r="K50" s="315">
        <f t="shared" si="2"/>
        <v>0</v>
      </c>
      <c r="L50" s="315">
        <f t="shared" si="2"/>
        <v>0</v>
      </c>
      <c r="M50" s="315">
        <f t="shared" si="2"/>
        <v>1.0969871464308548E-4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3.0518261624278829E-5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1.910535440846518E-3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1.0969871464308548E-4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8.4772948956330083</v>
      </c>
      <c r="C54" s="21">
        <f t="shared" ref="C54:P54" si="3">(C50)*10^9/3600</f>
        <v>0</v>
      </c>
      <c r="D54" s="21">
        <f t="shared" si="3"/>
        <v>0</v>
      </c>
      <c r="E54" s="21">
        <f t="shared" si="3"/>
        <v>0</v>
      </c>
      <c r="F54" s="21">
        <f t="shared" si="3"/>
        <v>0</v>
      </c>
      <c r="G54" s="21">
        <f t="shared" si="3"/>
        <v>530.7042891240327</v>
      </c>
      <c r="H54" s="21">
        <f t="shared" si="3"/>
        <v>0</v>
      </c>
      <c r="I54" s="21">
        <f t="shared" si="3"/>
        <v>0</v>
      </c>
      <c r="J54" s="21">
        <f t="shared" si="3"/>
        <v>0</v>
      </c>
      <c r="K54" s="21">
        <f t="shared" si="3"/>
        <v>0</v>
      </c>
      <c r="L54" s="21">
        <f t="shared" si="3"/>
        <v>0</v>
      </c>
      <c r="M54" s="21">
        <f t="shared" si="3"/>
        <v>30.471865178634854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0.19252768683168187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1.6321139768462469</v>
      </c>
      <c r="C58" s="23">
        <f t="shared" ref="C58:P58" ca="1" si="4">C54*C56</f>
        <v>0</v>
      </c>
      <c r="D58" s="23">
        <f t="shared" si="4"/>
        <v>0</v>
      </c>
      <c r="E58" s="23">
        <f t="shared" si="4"/>
        <v>0</v>
      </c>
      <c r="F58" s="23">
        <f t="shared" si="4"/>
        <v>0</v>
      </c>
      <c r="G58" s="23">
        <f t="shared" si="4"/>
        <v>141.69804519611674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5971.5619292169122</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5971.5619292169122</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2021-11-11T12:19:54Z</dcterms:modified>
</cp:coreProperties>
</file>