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9981C407-BB11-4BD5-A8AA-92DCFFA2FF2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D8" i="22" s="1"/>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F6" i="17" s="1"/>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18" i="15"/>
  <c r="C20" i="15" s="1"/>
  <c r="D40" i="14" s="1"/>
  <c r="C10" i="13"/>
  <c r="C12" i="13" s="1"/>
  <c r="C29" i="20"/>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<sst xmlns="http://schemas.openxmlformats.org/spreadsheetml/2006/main" count="2442" uniqueCount="872">
  <si>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</si>
  <si>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</si>
  <si>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</si>
  <si>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</si>
  <si>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</si>
  <si>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</si>
  <si>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</si>
  <si>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</si>
  <si>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</si>
  <si>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</si>
  <si>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</si>
  <si>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</si>
  <si>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</si>
  <si>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</si>
  <si>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</si>
  <si>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</si>
  <si>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</si>
  <si>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</si>
  <si>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</si>
  <si>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</si>
  <si>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</si>
  <si>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</si>
  <si>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</si>
  <si>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</si>
  <si>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</si>
  <si>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</si>
  <si>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</si>
  <si>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</si>
  <si>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</si>
  <si>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</si>
  <si>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</si>
  <si>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</si>
  <si>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</si>
  <si>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</si>
  <si>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</si>
  <si>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</si>
  <si>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</si>
  <si>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</si>
  <si>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</si>
  <si>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</si>
  <si>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</si>
  <si>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</si>
  <si>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</si>
  <si>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</si>
  <si>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</si>
  <si>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</si>
  <si>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</si>
  <si>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</si>
  <si>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</si>
  <si>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</si>
  <si>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</si>
  <si>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</si>
  <si>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</si>
  <si>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</si>
  <si>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</si>
  <si>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</si>
  <si>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</si>
  <si>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</si>
  <si>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</si>
  <si>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</si>
  <si>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</si>
  <si>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</si>
  <si>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</si>
  <si>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</si>
  <si>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</si>
  <si>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</si>
  <si>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</si>
  <si>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</si>
  <si>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</si>
  <si>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</si>
  <si>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</si>
  <si>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</si>
  <si>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</si>
  <si>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</si>
  <si>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</si>
  <si>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</si>
  <si>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</si>
  <si>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</si>
  <si>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</si>
  <si>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</si>
  <si>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</si>
  <si>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</si>
  <si>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</si>
  <si>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</si>
  <si>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</si>
  <si>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</si>
  <si>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</si>
  <si>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</si>
  <si>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</si>
  <si>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</si>
  <si>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</si>
  <si>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</si>
  <si>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</si>
  <si>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</si>
  <si>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</si>
  <si>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</si>
  <si>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</si>
  <si>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</si>
  <si>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</si>
  <si>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</si>
  <si>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</si>
  <si>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</si>
  <si>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</si>
  <si>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</si>
  <si>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</si>
  <si>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</si>
  <si>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</si>
  <si>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</si>
  <si>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</si>
  <si>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</si>
  <si>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</si>
  <si>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</si>
  <si>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</si>
  <si>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</si>
  <si>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</si>
  <si>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</si>
  <si>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</si>
  <si>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</si>
  <si>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</si>
  <si>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</si>
  <si>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</si>
  <si>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</si>
  <si>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</si>
  <si>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</si>
  <si>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</si>
  <si>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</si>
  <si>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</si>
  <si>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</si>
  <si>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</si>
  <si>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</si>
  <si>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</si>
  <si>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</si>
  <si>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</si>
  <si>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</si>
  <si>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</si>
  <si>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</si>
  <si>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</si>
  <si>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</si>
  <si>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</si>
  <si>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</si>
  <si>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</si>
  <si>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</si>
  <si>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</si>
  <si>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</si>
  <si>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</si>
  <si>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</si>
  <si>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</si>
  <si>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</si>
  <si>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</si>
  <si>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</si>
  <si>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</si>
  <si>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</si>
  <si>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</si>
  <si>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</si>
  <si>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</si>
  <si>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</si>
  <si>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</si>
  <si>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</si>
  <si>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</si>
  <si>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</si>
  <si>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</si>
  <si>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</si>
  <si>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</si>
  <si>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</si>
  <si>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</si>
  <si>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</si>
  <si>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</si>
  <si>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</si>
  <si>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</si>
  <si>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</si>
  <si>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</si>
  <si>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</si>
  <si>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</si>
  <si>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</si>
  <si>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</si>
  <si>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</si>
  <si>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</si>
  <si>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</si>
  <si>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</si>
  <si>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</si>
  <si>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</si>
  <si>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</si>
  <si>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</si>
  <si>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</si>
  <si>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</si>
  <si>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</si>
  <si>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</si>
  <si>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</si>
  <si>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</si>
  <si>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</si>
  <si>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</si>
  <si>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</si>
  <si>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</si>
  <si>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</si>
  <si>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</si>
  <si>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</si>
  <si>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</si>
  <si>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</si>
  <si>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</si>
  <si>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</si>
  <si>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</si>
  <si>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</si>
  <si>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</si>
  <si>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</si>
  <si>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</si>
  <si>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</si>
  <si>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</si>
  <si>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</si>
  <si>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</si>
  <si>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</si>
  <si>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</si>
  <si>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</si>
  <si>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</si>
  <si>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</si>
  <si>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</si>
  <si>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</si>
  <si>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</si>
  <si>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</si>
  <si>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</si>
  <si>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</si>
  <si>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</si>
  <si>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</si>
  <si>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</si>
  <si>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</si>
  <si>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</si>
  <si>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</si>
  <si>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</si>
  <si>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</si>
  <si>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</si>
  <si>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</si>
  <si>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</si>
  <si>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</si>
  <si>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</si>
  <si>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</si>
  <si>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</si>
  <si>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</si>
  <si>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</si>
  <si>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</si>
  <si>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</si>
  <si>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</si>
  <si>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</si>
  <si>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</si>
  <si>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</si>
  <si>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</si>
  <si>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</si>
  <si>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</si>
  <si>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</si>
  <si>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</si>
  <si>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</si>
  <si>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</si>
  <si>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</si>
  <si>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</si>
  <si>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</si>
  <si>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</si>
  <si>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</si>
  <si>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</si>
  <si>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</si>
  <si>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</si>
  <si>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</si>
  <si>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</si>
  <si>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</si>
  <si>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</si>
  <si>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</si>
  <si>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</si>
  <si>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</si>
  <si>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</si>
  <si>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</si>
  <si>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</si>
  <si>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</si>
  <si>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</si>
  <si>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</si>
  <si>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</si>
  <si>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</si>
  <si>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</si>
  <si>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</si>
  <si>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</si>
  <si>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</si>
  <si>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</si>
  <si>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</si>
  <si>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</si>
  <si>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</si>
  <si>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</si>
  <si>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</si>
  <si>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</si>
  <si>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</si>
  <si>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</si>
  <si>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</si>
  <si>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</si>
  <si>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</si>
  <si>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</si>
  <si>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</si>
  <si>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</si>
  <si>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</si>
  <si>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</si>
  <si>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</si>
  <si>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</si>
  <si>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</si>
  <si>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</si>
  <si>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</si>
  <si>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</si>
  <si>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</si>
  <si>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</si>
  <si>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</si>
  <si>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</si>
  <si>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</si>
  <si>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</si>
  <si>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</si>
  <si>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</si>
  <si>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</si>
  <si>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</si>
  <si>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</si>
  <si>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</si>
  <si>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</si>
  <si>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</si>
  <si>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</si>
  <si>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</si>
  <si>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</si>
  <si>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</si>
  <si>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</si>
  <si>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</si>
  <si>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</si>
  <si>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</si>
  <si>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</si>
  <si>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</si>
  <si>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</si>
  <si>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</si>
  <si>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</si>
  <si>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</si>
  <si>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</si>
  <si>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</si>
  <si>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</si>
  <si>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</si>
  <si>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</si>
  <si>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</si>
  <si>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</si>
  <si>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</si>
  <si>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</si>
  <si>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</si>
  <si>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</si>
  <si>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</si>
  <si>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</si>
  <si>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</si>
  <si>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</si>
  <si>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</si>
  <si>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</si>
  <si>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</si>
  <si>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</si>
  <si>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</si>
  <si>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</si>
  <si>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</si>
  <si>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</si>
  <si>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</si>
  <si>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</si>
  <si>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</si>
  <si>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</si>
  <si>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</si>
  <si>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</si>
  <si>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</si>
  <si>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</si>
  <si>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</si>
  <si>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</si>
  <si>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</si>
  <si>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</si>
  <si>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</si>
  <si>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</si>
  <si>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</si>
  <si>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</si>
  <si>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</si>
  <si>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</si>
  <si>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</si>
  <si>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</si>
  <si>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</si>
  <si>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</si>
  <si>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</si>
  <si>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</si>
  <si>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</si>
  <si>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</si>
  <si>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</si>
  <si>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</si>
  <si>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</si>
  <si>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</si>
  <si>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</si>
  <si>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</si>
  <si>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</si>
  <si>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</si>
  <si>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</si>
  <si>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</si>
  <si>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</si>
  <si>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</si>
  <si>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</si>
  <si>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</si>
  <si>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</si>
  <si>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</si>
  <si>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</si>
  <si>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</si>
  <si>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</si>
  <si>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</si>
  <si>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</si>
  <si>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</si>
  <si>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</si>
  <si>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</si>
  <si>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</si>
  <si>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</si>
  <si>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</si>
  <si>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</si>
  <si>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</si>
  <si>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</si>
  <si>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</si>
  <si>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</si>
  <si>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</si>
  <si>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</si>
  <si>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</si>
  <si>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</si>
  <si>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</si>
  <si>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</si>
  <si>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</si>
  <si>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</si>
  <si>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</si>
  <si>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</si>
  <si>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</si>
  <si>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</si>
  <si>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</si>
  <si>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</si>
  <si>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</si>
  <si>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</si>
  <si>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</si>
  <si>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</si>
  <si>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</si>
  <si>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</si>
  <si>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</si>
  <si>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</si>
  <si>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</si>
  <si>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</si>
  <si>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</si>
  <si>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</si>
  <si>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</si>
  <si>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</si>
  <si>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</si>
  <si>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</si>
  <si>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</si>
  <si>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</si>
  <si>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</si>
  <si>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</si>
  <si>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</si>
  <si>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</si>
  <si>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</si>
  <si>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</si>
  <si>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</si>
  <si>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</si>
  <si>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</si>
  <si>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</si>
  <si>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</si>
  <si>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</si>
  <si>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</si>
  <si>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</si>
  <si>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</si>
  <si>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</si>
  <si>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</si>
  <si>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</si>
  <si>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</si>
  <si>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</si>
  <si>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</si>
  <si>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</si>
  <si>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</si>
  <si>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</si>
  <si>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</si>
  <si>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</si>
  <si>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</si>
  <si>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</si>
  <si>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</si>
  <si>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</si>
  <si>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</si>
  <si>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</si>
  <si>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</si>
  <si>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</si>
  <si>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</si>
  <si>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</si>
  <si>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</si>
  <si>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</si>
  <si>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</si>
  <si>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</si>
  <si>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</si>
  <si>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</si>
  <si>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</si>
  <si>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</si>
  <si>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</si>
  <si>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</si>
  <si>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</si>
  <si>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</si>
  <si>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</si>
  <si>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</si>
  <si>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</si>
  <si>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</si>
  <si>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</si>
  <si>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</si>
  <si>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</si>
  <si>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</si>
  <si>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</si>
  <si>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</si>
  <si>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</si>
  <si>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</si>
  <si>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</si>
  <si>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</si>
  <si>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</si>
  <si>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</si>
  <si>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</si>
  <si>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</si>
  <si>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</si>
  <si>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</si>
  <si>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</si>
  <si>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</si>
  <si>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</si>
  <si>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</si>
  <si>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</si>
  <si>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</si>
  <si>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</si>
  <si>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</si>
  <si>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</si>
  <si>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</si>
  <si>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</si>
  <si>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</si>
  <si>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</si>
  <si>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</si>
  <si>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</si>
  <si>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</si>
  <si>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</si>
  <si>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</si>
  <si>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</si>
  <si>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</si>
  <si>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</si>
  <si>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</si>
  <si>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</si>
  <si>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</si>
  <si>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</si>
  <si>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</si>
  <si>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</si>
  <si>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</si>
  <si>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</si>
  <si>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</si>
  <si>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</si>
  <si>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</si>
  <si>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</si>
  <si>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</si>
  <si>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</si>
  <si>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</si>
  <si>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</si>
  <si>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</si>
  <si>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</si>
  <si>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</si>
  <si>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</si>
  <si>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</si>
  <si>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</si>
  <si>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</si>
  <si>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</si>
  <si>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</si>
  <si>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</si>
  <si>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</si>
  <si>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</si>
  <si>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</si>
  <si>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</si>
  <si>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</si>
  <si>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</si>
  <si>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</si>
  <si>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</si>
  <si>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</si>
  <si>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</si>
  <si>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</si>
  <si>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</si>
  <si>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</si>
  <si>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</si>
  <si>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</si>
  <si>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</si>
  <si>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</si>
  <si>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</si>
  <si>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</si>
  <si>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</si>
  <si>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</si>
  <si>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</si>
  <si>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</si>
  <si>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</si>
  <si>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</si>
  <si>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</si>
  <si>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</si>
  <si>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</si>
  <si>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</si>
  <si>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</si>
  <si>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</si>
  <si>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</si>
  <si>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</si>
  <si>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</si>
  <si>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</si>
  <si>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</si>
  <si>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</si>
  <si>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</si>
  <si>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</si>
  <si>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</si>
  <si>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</si>
  <si>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</si>
  <si>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</si>
  <si>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</si>
  <si>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</si>
  <si>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</si>
  <si>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</si>
  <si>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</si>
  <si>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</si>
  <si>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</si>
  <si>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</si>
  <si>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</si>
  <si>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</si>
  <si>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</si>
  <si>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</si>
  <si>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</si>
  <si>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</si>
  <si>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</si>
  <si>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</si>
  <si>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</si>
  <si>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</si>
  <si>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</si>
  <si>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</si>
  <si>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</si>
  <si>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</si>
  <si>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</si>
  <si>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</si>
  <si>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</si>
  <si>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</si>
  <si>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</si>
  <si>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</si>
  <si>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</si>
  <si>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</si>
  <si>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</si>
  <si>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</si>
  <si>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</si>
  <si>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</si>
  <si>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</si>
  <si>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</si>
  <si>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</si>
  <si>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</si>
  <si>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</si>
  <si>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</si>
  <si>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</si>
  <si>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</si>
  <si>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</si>
  <si>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</si>
  <si>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</si>
  <si>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</si>
  <si>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</si>
  <si>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</si>
  <si>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</si>
  <si>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</si>
  <si>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</si>
  <si>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</si>
  <si>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</si>
  <si>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</si>
  <si>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</si>
  <si>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</si>
  <si>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</si>
  <si>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</si>
  <si>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</si>
  <si>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</si>
  <si>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</si>
  <si>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</si>
  <si>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</si>
  <si>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</si>
  <si>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</si>
  <si>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</si>
  <si>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</si>
  <si>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</si>
  <si>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</si>
  <si>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</si>
  <si>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</si>
  <si>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</si>
  <si>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</si>
  <si>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</si>
  <si>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</si>
  <si>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</si>
  <si>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</si>
  <si>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</si>
  <si>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</si>
  <si>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</si>
  <si>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</si>
  <si>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</si>
  <si>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</si>
  <si>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</si>
  <si>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</si>
  <si>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</si>
  <si>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</si>
  <si>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</si>
  <si>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</si>
  <si>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</si>
  <si>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</si>
  <si>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</si>
  <si>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</si>
  <si>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</si>
  <si>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</si>
  <si>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</si>
  <si>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</si>
  <si>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</si>
  <si>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</si>
  <si>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</si>
  <si>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</si>
  <si>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</si>
  <si>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</si>
  <si>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</si>
  <si>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</si>
  <si>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</si>
  <si>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</si>
  <si>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</si>
  <si>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</si>
  <si>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</si>
  <si>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</si>
  <si>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</si>
  <si>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</si>
  <si>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</si>
  <si>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</si>
  <si>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</si>
  <si>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</si>
  <si>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</si>
  <si>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</si>
  <si>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</si>
  <si>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</si>
  <si>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</si>
  <si>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</si>
  <si>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</si>
  <si>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</si>
  <si>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</si>
  <si>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</si>
  <si>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</si>
  <si>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</si>
  <si>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</si>
  <si>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</si>
  <si>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</si>
  <si>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</si>
  <si>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</si>
  <si>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</si>
  <si>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</si>
  <si>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</si>
  <si>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</si>
  <si>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</si>
  <si>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</si>
  <si>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</si>
  <si>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</si>
  <si>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</si>
  <si>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</si>
  <si>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</si>
  <si>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</si>
  <si>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</si>
  <si>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</si>
  <si>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</si>
  <si>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</si>
  <si>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</si>
  <si>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</si>
  <si>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</si>
  <si>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</si>
  <si>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</si>
  <si>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</si>
  <si>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</si>
  <si>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</si>
  <si>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</si>
  <si>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</si>
  <si>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</si>
  <si>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</si>
  <si>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</si>
  <si>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</si>
  <si>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</si>
  <si>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</si>
  <si>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</si>
  <si>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</si>
  <si>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</si>
  <si>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</si>
  <si>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</si>
  <si>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</si>
  <si>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</si>
  <si>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</si>
  <si>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</si>
  <si>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</si>
  <si>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</si>
  <si>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</si>
  <si>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</si>
  <si>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</si>
  <si>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</si>
  <si>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</si>
  <si>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</si>
  <si>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</si>
  <si>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</si>
  <si>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</si>
  <si>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</si>
  <si>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</si>
  <si>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</si>
  <si>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</si>
  <si>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</si>
  <si>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</si>
  <si>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</si>
  <si>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</si>
  <si>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</si>
  <si>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</si>
  <si>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</si>
  <si>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</si>
  <si>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</si>
  <si>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</si>
  <si>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</si>
  <si>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</si>
  <si>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</si>
  <si>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</si>
  <si>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</si>
  <si>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</si>
  <si>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</si>
  <si>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</si>
  <si>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</si>
  <si>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</si>
  <si>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</si>
  <si>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</si>
  <si>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</si>
  <si>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</si>
  <si>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</si>
  <si>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</si>
  <si>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</si>
  <si>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</si>
  <si>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</si>
  <si>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</si>
  <si>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</si>
  <si>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</si>
  <si>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</si>
  <si>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</si>
  <si>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</si>
  <si>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</si>
  <si>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</si>
  <si>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</si>
  <si>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</si>
  <si>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</si>
  <si>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</si>
  <si>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</si>
  <si>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</si>
  <si>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</si>
  <si>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</si>
  <si>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</si>
  <si>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</si>
  <si>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</si>
  <si>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</si>
  <si>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</si>
  <si>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</si>
  <si>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</si>
  <si>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</si>
  <si>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</si>
  <si>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</si>
  <si>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</si>
  <si>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</si>
  <si>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</si>
  <si>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</si>
  <si>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</si>
  <si>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</si>
  <si>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</si>
  <si>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</si>
  <si>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</si>
  <si>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</si>
  <si>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</si>
  <si>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</si>
  <si>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</si>
  <si>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</si>
  <si>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</si>
  <si>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</si>
  <si>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</si>
  <si>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</si>
  <si>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</si>
  <si>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</si>
  <si>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44034</t>
  </si>
  <si>
    <t>LOCHRISTI</t>
  </si>
  <si>
    <t>referentietaak LNE (2017); Jaarverslag De Lijn</t>
  </si>
  <si>
    <t>waterkracht</t>
  </si>
  <si>
    <t>interne verbrandingsmotor</t>
  </si>
  <si>
    <t>WKK interne verbrandinsgmotor (gas)</t>
  </si>
  <si>
    <t>IMEWO</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</si>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</sst>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7580706-2611-46EE-9C01-DF81C77B7A4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179418.25154262132</c:v>
                </c:pt>
                <c:pt idx="1">
                  <c:v>63163.657989518004</c:v>
                </c:pt>
                <c:pt idx="2">
                  <c:v>1537.37</c:v>
                </c:pt>
                <c:pt idx="3">
                  <c:v>113037.7888429147</c:v>
                </c:pt>
                <c:pt idx="4">
                  <c:v>20696.41371435158</c:v>
                </c:pt>
                <c:pt idx="5">
                  <c:v>290682.54242857778</c:v>
                </c:pt>
                <c:pt idx="6">
                  <c:v>2003.4289112740653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179418.25154262132</c:v>
                </c:pt>
                <c:pt idx="1">
                  <c:v>63163.657989518004</c:v>
                </c:pt>
                <c:pt idx="2">
                  <c:v>1537.37</c:v>
                </c:pt>
                <c:pt idx="3">
                  <c:v>113037.7888429147</c:v>
                </c:pt>
                <c:pt idx="4">
                  <c:v>20696.41371435158</c:v>
                </c:pt>
                <c:pt idx="5">
                  <c:v>290682.54242857778</c:v>
                </c:pt>
                <c:pt idx="6">
                  <c:v>2003.4289112740653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34328.199817666922</c:v>
                </c:pt>
                <c:pt idx="1">
                  <c:v>11511.847575949258</c:v>
                </c:pt>
                <c:pt idx="2">
                  <c:v>231.98511388460565</c:v>
                </c:pt>
                <c:pt idx="3">
                  <c:v>25338.589506076118</c:v>
                </c:pt>
                <c:pt idx="4">
                  <c:v>3774.4561487016144</c:v>
                </c:pt>
                <c:pt idx="5">
                  <c:v>72336.303033690187</c:v>
                </c:pt>
                <c:pt idx="6">
                  <c:v>502.84036788405922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34328.199817666922</c:v>
                </c:pt>
                <c:pt idx="1">
                  <c:v>11511.847575949258</c:v>
                </c:pt>
                <c:pt idx="2">
                  <c:v>231.98511388460565</c:v>
                </c:pt>
                <c:pt idx="3">
                  <c:v>25338.589506076118</c:v>
                </c:pt>
                <c:pt idx="4">
                  <c:v>3774.4561487016144</c:v>
                </c:pt>
                <c:pt idx="5">
                  <c:v>72336.303033690187</c:v>
                </c:pt>
                <c:pt idx="6">
                  <c:v>502.84036788405922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44034</v>
      </c>
      <c r="B6" s="384"/>
      <c r="C6" s="385"/>
    </row>
    <row r="7" spans="1:7" s="382" customFormat="1" ht="15.75" customHeight="1">
      <c r="A7" s="386" t="str">
        <f>txtMunicipality</f>
        <v>LOCHRISTI</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26584.918171335161</v>
      </c>
      <c r="D10" s="681">
        <f ca="1">tertiair!C16</f>
        <v>192.85714285714286</v>
      </c>
      <c r="E10" s="681">
        <f ca="1">tertiair!D16</f>
        <v>31840.333695982128</v>
      </c>
      <c r="F10" s="681">
        <f>tertiair!E16</f>
        <v>125.92041561079503</v>
      </c>
      <c r="G10" s="681">
        <f ca="1">tertiair!F16</f>
        <v>4592.797079152625</v>
      </c>
      <c r="H10" s="681">
        <f>tertiair!G16</f>
        <v>0</v>
      </c>
      <c r="I10" s="681">
        <f>tertiair!H16</f>
        <v>0</v>
      </c>
      <c r="J10" s="681">
        <f>tertiair!I16</f>
        <v>0</v>
      </c>
      <c r="K10" s="681">
        <f>tertiair!J16</f>
        <v>2.81848328713134E-2</v>
      </c>
      <c r="L10" s="681">
        <f>tertiair!K16</f>
        <v>0</v>
      </c>
      <c r="M10" s="681">
        <f ca="1">tertiair!L16</f>
        <v>0</v>
      </c>
      <c r="N10" s="681">
        <f>tertiair!M16</f>
        <v>0</v>
      </c>
      <c r="O10" s="681">
        <f ca="1">tertiair!N16</f>
        <v>1091.683086683124</v>
      </c>
      <c r="P10" s="681">
        <f>tertiair!O16</f>
        <v>9.7945215316823084</v>
      </c>
      <c r="Q10" s="682">
        <f>tertiair!P16</f>
        <v>262.69569153247511</v>
      </c>
      <c r="R10" s="684">
        <f ca="1">SUM(C10:Q10)</f>
        <v>64701.027989518007</v>
      </c>
      <c r="S10" s="67"/>
    </row>
    <row r="11" spans="1:19" s="443" customFormat="1">
      <c r="A11" s="802" t="s">
        <v>214</v>
      </c>
      <c r="B11" s="807"/>
      <c r="C11" s="681">
        <f>huishoudens!B8</f>
        <v>40539.374470541676</v>
      </c>
      <c r="D11" s="681">
        <f>huishoudens!C8</f>
        <v>0</v>
      </c>
      <c r="E11" s="681">
        <f>huishoudens!D8</f>
        <v>75506.164030138287</v>
      </c>
      <c r="F11" s="681">
        <f>huishoudens!E8</f>
        <v>2117.3396840958121</v>
      </c>
      <c r="G11" s="681">
        <f>huishoudens!F8</f>
        <v>46383.724693655626</v>
      </c>
      <c r="H11" s="681">
        <f>huishoudens!G8</f>
        <v>0</v>
      </c>
      <c r="I11" s="681">
        <f>huishoudens!H8</f>
        <v>0</v>
      </c>
      <c r="J11" s="681">
        <f>huishoudens!I8</f>
        <v>0</v>
      </c>
      <c r="K11" s="681">
        <f>huishoudens!J8</f>
        <v>264.34592019143469</v>
      </c>
      <c r="L11" s="681">
        <f>huishoudens!K8</f>
        <v>0</v>
      </c>
      <c r="M11" s="681">
        <f>huishoudens!L8</f>
        <v>0</v>
      </c>
      <c r="N11" s="681">
        <f>huishoudens!M8</f>
        <v>0</v>
      </c>
      <c r="O11" s="681">
        <f>huishoudens!N8</f>
        <v>11865.551152532646</v>
      </c>
      <c r="P11" s="681">
        <f>huishoudens!O8</f>
        <v>803.50307885174777</v>
      </c>
      <c r="Q11" s="682">
        <f>huishoudens!P8</f>
        <v>1938.2485126140441</v>
      </c>
      <c r="R11" s="684">
        <f>SUM(C11:Q11)</f>
        <v>179418.25154262132</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8654.4740673022716</v>
      </c>
      <c r="D13" s="681">
        <f>industrie!C18</f>
        <v>0</v>
      </c>
      <c r="E13" s="681">
        <f>industrie!D18</f>
        <v>9040.198695265959</v>
      </c>
      <c r="F13" s="681">
        <f>industrie!E18</f>
        <v>38.0030177576431</v>
      </c>
      <c r="G13" s="681">
        <f>industrie!F18</f>
        <v>2348.3369995767875</v>
      </c>
      <c r="H13" s="681">
        <f>industrie!G18</f>
        <v>0</v>
      </c>
      <c r="I13" s="681">
        <f>industrie!H18</f>
        <v>0</v>
      </c>
      <c r="J13" s="681">
        <f>industrie!I18</f>
        <v>0</v>
      </c>
      <c r="K13" s="681">
        <f>industrie!J18</f>
        <v>19.112533336305983</v>
      </c>
      <c r="L13" s="681">
        <f>industrie!K18</f>
        <v>0</v>
      </c>
      <c r="M13" s="681">
        <f>industrie!L18</f>
        <v>0</v>
      </c>
      <c r="N13" s="681">
        <f>industrie!M18</f>
        <v>0</v>
      </c>
      <c r="O13" s="681">
        <f>industrie!N18</f>
        <v>596.28840111261013</v>
      </c>
      <c r="P13" s="681">
        <f>industrie!O18</f>
        <v>0</v>
      </c>
      <c r="Q13" s="682">
        <f>industrie!P18</f>
        <v>0</v>
      </c>
      <c r="R13" s="684">
        <f>SUM(C13:Q13)</f>
        <v>20696.41371435158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75778.766709179108</v>
      </c>
      <c r="D16" s="717">
        <f t="shared" ref="D16:R16" ca="1" si="0">SUM(D9:D15)</f>
        <v>192.85714285714286</v>
      </c>
      <c r="E16" s="717">
        <f t="shared" ca="1" si="0"/>
        <v>116386.69642138638</v>
      </c>
      <c r="F16" s="717">
        <f t="shared" si="0"/>
        <v>2281.2631174642502</v>
      </c>
      <c r="G16" s="717">
        <f t="shared" ca="1" si="0"/>
        <v>53324.858772385036</v>
      </c>
      <c r="H16" s="717">
        <f t="shared" si="0"/>
        <v>0</v>
      </c>
      <c r="I16" s="717">
        <f t="shared" si="0"/>
        <v>0</v>
      </c>
      <c r="J16" s="717">
        <f t="shared" si="0"/>
        <v>0</v>
      </c>
      <c r="K16" s="717">
        <f t="shared" si="0"/>
        <v>283.48663836061201</v>
      </c>
      <c r="L16" s="717">
        <f t="shared" si="0"/>
        <v>0</v>
      </c>
      <c r="M16" s="717">
        <f t="shared" ca="1" si="0"/>
        <v>0</v>
      </c>
      <c r="N16" s="717">
        <f t="shared" si="0"/>
        <v>0</v>
      </c>
      <c r="O16" s="717">
        <f t="shared" ca="1" si="0"/>
        <v>13553.52264032838</v>
      </c>
      <c r="P16" s="717">
        <f t="shared" si="0"/>
        <v>813.29760038343011</v>
      </c>
      <c r="Q16" s="717">
        <f t="shared" si="0"/>
        <v>2200.944204146519</v>
      </c>
      <c r="R16" s="717">
        <f t="shared" ca="1" si="0"/>
        <v>264815.6932464909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29.814017113754176</v>
      </c>
      <c r="D19" s="681">
        <f>transport!C54</f>
        <v>0</v>
      </c>
      <c r="E19" s="681">
        <f>transport!D54</f>
        <v>0</v>
      </c>
      <c r="F19" s="681">
        <f>transport!E54</f>
        <v>0</v>
      </c>
      <c r="G19" s="681">
        <f>transport!F54</f>
        <v>0</v>
      </c>
      <c r="H19" s="681">
        <f>transport!G54</f>
        <v>1866.4476054074064</v>
      </c>
      <c r="I19" s="681">
        <f>transport!H54</f>
        <v>0</v>
      </c>
      <c r="J19" s="681">
        <f>transport!I54</f>
        <v>0</v>
      </c>
      <c r="K19" s="681">
        <f>transport!J54</f>
        <v>0</v>
      </c>
      <c r="L19" s="681">
        <f>transport!K54</f>
        <v>0</v>
      </c>
      <c r="M19" s="681">
        <f>transport!L54</f>
        <v>0</v>
      </c>
      <c r="N19" s="681">
        <f>transport!M54</f>
        <v>107.16728875290491</v>
      </c>
      <c r="O19" s="681">
        <f>transport!N54</f>
        <v>0</v>
      </c>
      <c r="P19" s="681">
        <f>transport!O54</f>
        <v>0</v>
      </c>
      <c r="Q19" s="682">
        <f>transport!P54</f>
        <v>0</v>
      </c>
      <c r="R19" s="684">
        <f>SUM(C19:Q19)</f>
        <v>2003.4289112740653</v>
      </c>
      <c r="S19" s="67"/>
    </row>
    <row r="20" spans="1:19" s="443" customFormat="1">
      <c r="A20" s="802" t="s">
        <v>296</v>
      </c>
      <c r="B20" s="807"/>
      <c r="C20" s="681">
        <f>transport!B14</f>
        <v>557.08585072663834</v>
      </c>
      <c r="D20" s="681">
        <f>transport!C14</f>
        <v>0</v>
      </c>
      <c r="E20" s="681">
        <f>transport!D14</f>
        <v>882.39658068434881</v>
      </c>
      <c r="F20" s="681">
        <f>transport!E14</f>
        <v>390.09752987803842</v>
      </c>
      <c r="G20" s="681">
        <f>transport!F14</f>
        <v>0</v>
      </c>
      <c r="H20" s="681">
        <f>transport!G14</f>
        <v>228192.74365218342</v>
      </c>
      <c r="I20" s="681">
        <f>transport!H14</f>
        <v>44409.563981848631</v>
      </c>
      <c r="J20" s="681">
        <f>transport!I14</f>
        <v>0</v>
      </c>
      <c r="K20" s="681">
        <f>transport!J14</f>
        <v>0</v>
      </c>
      <c r="L20" s="681">
        <f>transport!K14</f>
        <v>0</v>
      </c>
      <c r="M20" s="681">
        <f>transport!L14</f>
        <v>0</v>
      </c>
      <c r="N20" s="681">
        <f>transport!M14</f>
        <v>16250.654833256707</v>
      </c>
      <c r="O20" s="681">
        <f>transport!N14</f>
        <v>0</v>
      </c>
      <c r="P20" s="681">
        <f>transport!O14</f>
        <v>0</v>
      </c>
      <c r="Q20" s="682">
        <f>transport!P14</f>
        <v>0</v>
      </c>
      <c r="R20" s="684">
        <f>SUM(C20:Q20)</f>
        <v>290682.54242857778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586.89986784039252</v>
      </c>
      <c r="D22" s="805">
        <f t="shared" ref="D22:R22" si="1">SUM(D18:D21)</f>
        <v>0</v>
      </c>
      <c r="E22" s="805">
        <f t="shared" si="1"/>
        <v>882.39658068434881</v>
      </c>
      <c r="F22" s="805">
        <f t="shared" si="1"/>
        <v>390.09752987803842</v>
      </c>
      <c r="G22" s="805">
        <f t="shared" si="1"/>
        <v>0</v>
      </c>
      <c r="H22" s="805">
        <f t="shared" si="1"/>
        <v>230059.19125759084</v>
      </c>
      <c r="I22" s="805">
        <f t="shared" si="1"/>
        <v>44409.563981848631</v>
      </c>
      <c r="J22" s="805">
        <f t="shared" si="1"/>
        <v>0</v>
      </c>
      <c r="K22" s="805">
        <f t="shared" si="1"/>
        <v>0</v>
      </c>
      <c r="L22" s="805">
        <f t="shared" si="1"/>
        <v>0</v>
      </c>
      <c r="M22" s="805">
        <f t="shared" si="1"/>
        <v>0</v>
      </c>
      <c r="N22" s="805">
        <f t="shared" si="1"/>
        <v>16357.822122009613</v>
      </c>
      <c r="O22" s="805">
        <f t="shared" si="1"/>
        <v>0</v>
      </c>
      <c r="P22" s="805">
        <f t="shared" si="1"/>
        <v>0</v>
      </c>
      <c r="Q22" s="805">
        <f t="shared" si="1"/>
        <v>0</v>
      </c>
      <c r="R22" s="805">
        <f t="shared" si="1"/>
        <v>292685.97133985185</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10545.164306561099</v>
      </c>
      <c r="D24" s="681">
        <f>+landbouw!C8</f>
        <v>13285.928571428571</v>
      </c>
      <c r="E24" s="681">
        <f>+landbouw!D8</f>
        <v>52842.817518916738</v>
      </c>
      <c r="F24" s="681">
        <f>+landbouw!E8</f>
        <v>302.03135142509495</v>
      </c>
      <c r="G24" s="681">
        <f>+landbouw!F8</f>
        <v>33380.542954807941</v>
      </c>
      <c r="H24" s="681">
        <f>+landbouw!G8</f>
        <v>0</v>
      </c>
      <c r="I24" s="681">
        <f>+landbouw!H8</f>
        <v>0</v>
      </c>
      <c r="J24" s="681">
        <f>+landbouw!I8</f>
        <v>0</v>
      </c>
      <c r="K24" s="681">
        <f>+landbouw!J8</f>
        <v>2681.3041397752613</v>
      </c>
      <c r="L24" s="681">
        <f>+landbouw!K8</f>
        <v>0</v>
      </c>
      <c r="M24" s="681">
        <f>+landbouw!L8</f>
        <v>0</v>
      </c>
      <c r="N24" s="681">
        <f>+landbouw!M8</f>
        <v>0</v>
      </c>
      <c r="O24" s="681">
        <f>+landbouw!N8</f>
        <v>0</v>
      </c>
      <c r="P24" s="681">
        <f>+landbouw!O8</f>
        <v>0</v>
      </c>
      <c r="Q24" s="682">
        <f>+landbouw!P8</f>
        <v>0</v>
      </c>
      <c r="R24" s="684">
        <f>SUM(C24:Q24)</f>
        <v>113037.7888429147</v>
      </c>
      <c r="S24" s="67"/>
    </row>
    <row r="25" spans="1:19" s="443" customFormat="1" ht="15" thickBot="1">
      <c r="A25" s="824" t="s">
        <v>690</v>
      </c>
      <c r="B25" s="937"/>
      <c r="C25" s="938">
        <f>IF(Onbekend_ele_kWh="---",0,Onbekend_ele_kWh)/1000+IF(REST_rest_ele_kWh="---",0,REST_rest_ele_kWh)/1000</f>
        <v>1132.2744556073901</v>
      </c>
      <c r="D25" s="938"/>
      <c r="E25" s="938">
        <f>IF(onbekend_gas_kWh="---",0,onbekend_gas_kWh)/1000+IF(REST_rest_gas_kWh="---",0,REST_rest_gas_kWh)/1000</f>
        <v>1692.47401664874</v>
      </c>
      <c r="F25" s="938"/>
      <c r="G25" s="938"/>
      <c r="H25" s="938"/>
      <c r="I25" s="938"/>
      <c r="J25" s="938"/>
      <c r="K25" s="938"/>
      <c r="L25" s="938"/>
      <c r="M25" s="938"/>
      <c r="N25" s="938"/>
      <c r="O25" s="938"/>
      <c r="P25" s="938"/>
      <c r="Q25" s="939"/>
      <c r="R25" s="684">
        <f>SUM(C25:Q25)</f>
        <v>2824.7484722561303</v>
      </c>
      <c r="S25" s="67"/>
    </row>
    <row r="26" spans="1:19" s="443" customFormat="1" ht="15.75" thickBot="1">
      <c r="A26" s="689" t="s">
        <v>691</v>
      </c>
      <c r="B26" s="810"/>
      <c r="C26" s="805">
        <f>SUM(C24:C25)</f>
        <v>11677.438762168489</v>
      </c>
      <c r="D26" s="805">
        <f t="shared" ref="D26:R26" si="2">SUM(D24:D25)</f>
        <v>13285.928571428571</v>
      </c>
      <c r="E26" s="805">
        <f t="shared" si="2"/>
        <v>54535.291535565477</v>
      </c>
      <c r="F26" s="805">
        <f t="shared" si="2"/>
        <v>302.03135142509495</v>
      </c>
      <c r="G26" s="805">
        <f t="shared" si="2"/>
        <v>33380.542954807941</v>
      </c>
      <c r="H26" s="805">
        <f t="shared" si="2"/>
        <v>0</v>
      </c>
      <c r="I26" s="805">
        <f t="shared" si="2"/>
        <v>0</v>
      </c>
      <c r="J26" s="805">
        <f t="shared" si="2"/>
        <v>0</v>
      </c>
      <c r="K26" s="805">
        <f t="shared" si="2"/>
        <v>2681.3041397752613</v>
      </c>
      <c r="L26" s="805">
        <f t="shared" si="2"/>
        <v>0</v>
      </c>
      <c r="M26" s="805">
        <f t="shared" si="2"/>
        <v>0</v>
      </c>
      <c r="N26" s="805">
        <f t="shared" si="2"/>
        <v>0</v>
      </c>
      <c r="O26" s="805">
        <f t="shared" si="2"/>
        <v>0</v>
      </c>
      <c r="P26" s="805">
        <f t="shared" si="2"/>
        <v>0</v>
      </c>
      <c r="Q26" s="805">
        <f t="shared" si="2"/>
        <v>0</v>
      </c>
      <c r="R26" s="805">
        <f t="shared" si="2"/>
        <v>115862.53731517083</v>
      </c>
      <c r="S26" s="67"/>
    </row>
    <row r="27" spans="1:19" s="443" customFormat="1" ht="17.25" thickTop="1" thickBot="1">
      <c r="A27" s="690" t="s">
        <v>109</v>
      </c>
      <c r="B27" s="797"/>
      <c r="C27" s="691">
        <f ca="1">C22+C16+C26</f>
        <v>88043.105339187983</v>
      </c>
      <c r="D27" s="691">
        <f t="shared" ref="D27:R27" ca="1" si="3">D22+D16+D26</f>
        <v>13478.785714285714</v>
      </c>
      <c r="E27" s="691">
        <f t="shared" ca="1" si="3"/>
        <v>171804.38453763622</v>
      </c>
      <c r="F27" s="691">
        <f t="shared" si="3"/>
        <v>2973.3919987673835</v>
      </c>
      <c r="G27" s="691">
        <f t="shared" ca="1" si="3"/>
        <v>86705.401727192977</v>
      </c>
      <c r="H27" s="691">
        <f t="shared" si="3"/>
        <v>230059.19125759084</v>
      </c>
      <c r="I27" s="691">
        <f t="shared" si="3"/>
        <v>44409.563981848631</v>
      </c>
      <c r="J27" s="691">
        <f t="shared" si="3"/>
        <v>0</v>
      </c>
      <c r="K27" s="691">
        <f t="shared" si="3"/>
        <v>2964.7907781358736</v>
      </c>
      <c r="L27" s="691">
        <f t="shared" si="3"/>
        <v>0</v>
      </c>
      <c r="M27" s="691">
        <f t="shared" ca="1" si="3"/>
        <v>0</v>
      </c>
      <c r="N27" s="691">
        <f t="shared" si="3"/>
        <v>16357.822122009613</v>
      </c>
      <c r="O27" s="691">
        <f t="shared" ca="1" si="3"/>
        <v>13553.52264032838</v>
      </c>
      <c r="P27" s="691">
        <f t="shared" si="3"/>
        <v>813.29760038343011</v>
      </c>
      <c r="Q27" s="691">
        <f t="shared" si="3"/>
        <v>2200.944204146519</v>
      </c>
      <c r="R27" s="691">
        <f t="shared" ca="1" si="3"/>
        <v>673364.20190151362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4011.5946516389095</v>
      </c>
      <c r="D40" s="681">
        <f ca="1">tertiair!C20</f>
        <v>45.619899698325469</v>
      </c>
      <c r="E40" s="681">
        <f ca="1">tertiair!D20</f>
        <v>6431.7474065883907</v>
      </c>
      <c r="F40" s="681">
        <f>tertiair!E20</f>
        <v>28.583934343650473</v>
      </c>
      <c r="G40" s="681">
        <f ca="1">tertiair!F20</f>
        <v>1226.276820133751</v>
      </c>
      <c r="H40" s="681">
        <f>tertiair!G20</f>
        <v>0</v>
      </c>
      <c r="I40" s="681">
        <f>tertiair!H20</f>
        <v>0</v>
      </c>
      <c r="J40" s="681">
        <f>tertiair!I20</f>
        <v>0</v>
      </c>
      <c r="K40" s="681">
        <f>tertiair!J20</f>
        <v>9.9774308364449435E-3</v>
      </c>
      <c r="L40" s="681">
        <f>tertiair!K20</f>
        <v>0</v>
      </c>
      <c r="M40" s="681">
        <f ca="1">tertiair!L20</f>
        <v>0</v>
      </c>
      <c r="N40" s="681">
        <f>tertiair!M20</f>
        <v>0</v>
      </c>
      <c r="O40" s="681">
        <f ca="1">tertiair!N20</f>
        <v>0</v>
      </c>
      <c r="P40" s="681">
        <f>tertiair!O20</f>
        <v>0</v>
      </c>
      <c r="Q40" s="764">
        <f>tertiair!P20</f>
        <v>0</v>
      </c>
      <c r="R40" s="843">
        <f t="shared" ca="1" si="4"/>
        <v>11743.832689833864</v>
      </c>
    </row>
    <row r="41" spans="1:18">
      <c r="A41" s="815" t="s">
        <v>214</v>
      </c>
      <c r="B41" s="822"/>
      <c r="C41" s="681">
        <f ca="1">huishoudens!B12</f>
        <v>6117.2856263354215</v>
      </c>
      <c r="D41" s="681">
        <f ca="1">huishoudens!C12</f>
        <v>0</v>
      </c>
      <c r="E41" s="681">
        <f>huishoudens!D12</f>
        <v>15252.245134087934</v>
      </c>
      <c r="F41" s="681">
        <f>huishoudens!E12</f>
        <v>480.63610828974936</v>
      </c>
      <c r="G41" s="681">
        <f>huishoudens!F12</f>
        <v>12384.454493206053</v>
      </c>
      <c r="H41" s="681">
        <f>huishoudens!G12</f>
        <v>0</v>
      </c>
      <c r="I41" s="681">
        <f>huishoudens!H12</f>
        <v>0</v>
      </c>
      <c r="J41" s="681">
        <f>huishoudens!I12</f>
        <v>0</v>
      </c>
      <c r="K41" s="681">
        <f>huishoudens!J12</f>
        <v>93.578455747767876</v>
      </c>
      <c r="L41" s="681">
        <f>huishoudens!K12</f>
        <v>0</v>
      </c>
      <c r="M41" s="681">
        <f>huishoudens!L12</f>
        <v>0</v>
      </c>
      <c r="N41" s="681">
        <f>huishoudens!M12</f>
        <v>0</v>
      </c>
      <c r="O41" s="681">
        <f>huishoudens!N12</f>
        <v>0</v>
      </c>
      <c r="P41" s="681">
        <f>huishoudens!O12</f>
        <v>0</v>
      </c>
      <c r="Q41" s="764">
        <f>huishoudens!P12</f>
        <v>0</v>
      </c>
      <c r="R41" s="843">
        <f t="shared" ca="1" si="4"/>
        <v>34328.199817666922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1305.9375115388514</v>
      </c>
      <c r="D43" s="681">
        <f ca="1">industrie!C22</f>
        <v>0</v>
      </c>
      <c r="E43" s="681">
        <f>industrie!D22</f>
        <v>1826.1201364437238</v>
      </c>
      <c r="F43" s="681">
        <f>industrie!E22</f>
        <v>8.6266850309849836</v>
      </c>
      <c r="G43" s="681">
        <f>industrie!F22</f>
        <v>627.00597888700236</v>
      </c>
      <c r="H43" s="681">
        <f>industrie!G22</f>
        <v>0</v>
      </c>
      <c r="I43" s="681">
        <f>industrie!H22</f>
        <v>0</v>
      </c>
      <c r="J43" s="681">
        <f>industrie!I22</f>
        <v>0</v>
      </c>
      <c r="K43" s="681">
        <f>industrie!J22</f>
        <v>6.765836801052318</v>
      </c>
      <c r="L43" s="681">
        <f>industrie!K22</f>
        <v>0</v>
      </c>
      <c r="M43" s="681">
        <f>industrie!L22</f>
        <v>0</v>
      </c>
      <c r="N43" s="681">
        <f>industrie!M22</f>
        <v>0</v>
      </c>
      <c r="O43" s="681">
        <f>industrie!N22</f>
        <v>0</v>
      </c>
      <c r="P43" s="681">
        <f>industrie!O22</f>
        <v>0</v>
      </c>
      <c r="Q43" s="764">
        <f>industrie!P22</f>
        <v>0</v>
      </c>
      <c r="R43" s="842">
        <f t="shared" ca="1" si="4"/>
        <v>3774.4561487016144</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11434.817789513183</v>
      </c>
      <c r="D46" s="717">
        <f t="shared" ref="D46:Q46" ca="1" si="5">SUM(D39:D45)</f>
        <v>45.619899698325469</v>
      </c>
      <c r="E46" s="717">
        <f t="shared" ca="1" si="5"/>
        <v>23510.112677120051</v>
      </c>
      <c r="F46" s="717">
        <f t="shared" si="5"/>
        <v>517.84672766438484</v>
      </c>
      <c r="G46" s="717">
        <f t="shared" ca="1" si="5"/>
        <v>14237.737292226806</v>
      </c>
      <c r="H46" s="717">
        <f t="shared" si="5"/>
        <v>0</v>
      </c>
      <c r="I46" s="717">
        <f t="shared" si="5"/>
        <v>0</v>
      </c>
      <c r="J46" s="717">
        <f t="shared" si="5"/>
        <v>0</v>
      </c>
      <c r="K46" s="717">
        <f t="shared" si="5"/>
        <v>100.35426997965664</v>
      </c>
      <c r="L46" s="717">
        <f t="shared" si="5"/>
        <v>0</v>
      </c>
      <c r="M46" s="717">
        <f t="shared" ca="1" si="5"/>
        <v>0</v>
      </c>
      <c r="N46" s="717">
        <f t="shared" si="5"/>
        <v>0</v>
      </c>
      <c r="O46" s="717">
        <f t="shared" ca="1" si="5"/>
        <v>0</v>
      </c>
      <c r="P46" s="717">
        <f t="shared" si="5"/>
        <v>0</v>
      </c>
      <c r="Q46" s="717">
        <f t="shared" si="5"/>
        <v>0</v>
      </c>
      <c r="R46" s="717">
        <f ca="1">SUM(R39:R45)</f>
        <v>49846.488656202404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4.4988572402816791</v>
      </c>
      <c r="D49" s="681">
        <f ca="1">transport!C58</f>
        <v>0</v>
      </c>
      <c r="E49" s="681">
        <f>transport!D58</f>
        <v>0</v>
      </c>
      <c r="F49" s="681">
        <f>transport!E58</f>
        <v>0</v>
      </c>
      <c r="G49" s="681">
        <f>transport!F58</f>
        <v>0</v>
      </c>
      <c r="H49" s="681">
        <f>transport!G58</f>
        <v>498.34151064377755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502.84036788405922</v>
      </c>
    </row>
    <row r="50" spans="1:18">
      <c r="A50" s="818" t="s">
        <v>296</v>
      </c>
      <c r="B50" s="828"/>
      <c r="C50" s="687">
        <f ca="1">transport!B18</f>
        <v>84.062798496342225</v>
      </c>
      <c r="D50" s="687">
        <f>transport!C18</f>
        <v>0</v>
      </c>
      <c r="E50" s="687">
        <f>transport!D18</f>
        <v>178.24410929823847</v>
      </c>
      <c r="F50" s="687">
        <f>transport!E18</f>
        <v>88.552139282314727</v>
      </c>
      <c r="G50" s="687">
        <f>transport!F18</f>
        <v>0</v>
      </c>
      <c r="H50" s="687">
        <f>transport!G18</f>
        <v>60927.462555132974</v>
      </c>
      <c r="I50" s="687">
        <f>transport!H18</f>
        <v>11057.98143148031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72336.303033690187</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88.561655736623905</v>
      </c>
      <c r="D52" s="717">
        <f t="shared" ref="D52:Q52" ca="1" si="6">SUM(D48:D51)</f>
        <v>0</v>
      </c>
      <c r="E52" s="717">
        <f t="shared" si="6"/>
        <v>178.24410929823847</v>
      </c>
      <c r="F52" s="717">
        <f t="shared" si="6"/>
        <v>88.552139282314727</v>
      </c>
      <c r="G52" s="717">
        <f t="shared" si="6"/>
        <v>0</v>
      </c>
      <c r="H52" s="717">
        <f t="shared" si="6"/>
        <v>61425.804065776749</v>
      </c>
      <c r="I52" s="717">
        <f t="shared" si="6"/>
        <v>11057.98143148031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72839.143401574242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1591.2377258496363</v>
      </c>
      <c r="D54" s="687">
        <f ca="1">+landbouw!C12</f>
        <v>3142.7548902176413</v>
      </c>
      <c r="E54" s="687">
        <f>+landbouw!D12</f>
        <v>10674.249138821182</v>
      </c>
      <c r="F54" s="687">
        <f>+landbouw!E12</f>
        <v>68.561116773496551</v>
      </c>
      <c r="G54" s="687">
        <f>+landbouw!F12</f>
        <v>8912.6049689337215</v>
      </c>
      <c r="H54" s="687">
        <f>+landbouw!G12</f>
        <v>0</v>
      </c>
      <c r="I54" s="687">
        <f>+landbouw!H12</f>
        <v>0</v>
      </c>
      <c r="J54" s="687">
        <f>+landbouw!I12</f>
        <v>0</v>
      </c>
      <c r="K54" s="687">
        <f>+landbouw!J12</f>
        <v>949.18166548044246</v>
      </c>
      <c r="L54" s="687">
        <f>+landbouw!K12</f>
        <v>0</v>
      </c>
      <c r="M54" s="687">
        <f>+landbouw!L12</f>
        <v>0</v>
      </c>
      <c r="N54" s="687">
        <f>+landbouw!M12</f>
        <v>0</v>
      </c>
      <c r="O54" s="687">
        <f>+landbouw!N12</f>
        <v>0</v>
      </c>
      <c r="P54" s="687">
        <f>+landbouw!O12</f>
        <v>0</v>
      </c>
      <c r="Q54" s="688">
        <f>+landbouw!P12</f>
        <v>0</v>
      </c>
      <c r="R54" s="716">
        <f ca="1">SUM(C54:Q54)</f>
        <v>25338.589506076118</v>
      </c>
    </row>
    <row r="55" spans="1:18" ht="15" thickBot="1">
      <c r="A55" s="818" t="s">
        <v>690</v>
      </c>
      <c r="B55" s="828"/>
      <c r="C55" s="687">
        <f ca="1">C25*'EF ele_warmte'!B12</f>
        <v>170.85725526887495</v>
      </c>
      <c r="D55" s="687"/>
      <c r="E55" s="687">
        <f>E25*EF_CO2_aardgas</f>
        <v>341.8797513630455</v>
      </c>
      <c r="F55" s="687"/>
      <c r="G55" s="687"/>
      <c r="H55" s="687"/>
      <c r="I55" s="687"/>
      <c r="J55" s="687"/>
      <c r="K55" s="687"/>
      <c r="L55" s="687"/>
      <c r="M55" s="687"/>
      <c r="N55" s="687"/>
      <c r="O55" s="687"/>
      <c r="P55" s="687"/>
      <c r="Q55" s="688"/>
      <c r="R55" s="716">
        <f ca="1">SUM(C55:Q55)</f>
        <v>512.73700663192039</v>
      </c>
    </row>
    <row r="56" spans="1:18" ht="15.75" thickBot="1">
      <c r="A56" s="816" t="s">
        <v>691</v>
      </c>
      <c r="B56" s="829"/>
      <c r="C56" s="717">
        <f ca="1">SUM(C54:C55)</f>
        <v>1762.0949811185112</v>
      </c>
      <c r="D56" s="717">
        <f t="shared" ref="D56:Q56" ca="1" si="7">SUM(D54:D55)</f>
        <v>3142.7548902176413</v>
      </c>
      <c r="E56" s="717">
        <f t="shared" si="7"/>
        <v>11016.128890184227</v>
      </c>
      <c r="F56" s="717">
        <f t="shared" si="7"/>
        <v>68.561116773496551</v>
      </c>
      <c r="G56" s="717">
        <f t="shared" si="7"/>
        <v>8912.6049689337215</v>
      </c>
      <c r="H56" s="717">
        <f t="shared" si="7"/>
        <v>0</v>
      </c>
      <c r="I56" s="717">
        <f t="shared" si="7"/>
        <v>0</v>
      </c>
      <c r="J56" s="717">
        <f t="shared" si="7"/>
        <v>0</v>
      </c>
      <c r="K56" s="717">
        <f t="shared" si="7"/>
        <v>949.18166548044246</v>
      </c>
      <c r="L56" s="717">
        <f t="shared" si="7"/>
        <v>0</v>
      </c>
      <c r="M56" s="717">
        <f t="shared" si="7"/>
        <v>0</v>
      </c>
      <c r="N56" s="717">
        <f t="shared" si="7"/>
        <v>0</v>
      </c>
      <c r="O56" s="717">
        <f t="shared" si="7"/>
        <v>0</v>
      </c>
      <c r="P56" s="717">
        <f t="shared" si="7"/>
        <v>0</v>
      </c>
      <c r="Q56" s="718">
        <f t="shared" si="7"/>
        <v>0</v>
      </c>
      <c r="R56" s="719">
        <f ca="1">SUM(R54:R55)</f>
        <v>25851.326512708038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13285.474426368319</v>
      </c>
      <c r="D61" s="725">
        <f t="shared" ref="D61:Q61" ca="1" si="8">D46+D52+D56</f>
        <v>3188.3747899159666</v>
      </c>
      <c r="E61" s="725">
        <f t="shared" ca="1" si="8"/>
        <v>34704.485676602519</v>
      </c>
      <c r="F61" s="725">
        <f t="shared" si="8"/>
        <v>674.95998372019619</v>
      </c>
      <c r="G61" s="725">
        <f t="shared" ca="1" si="8"/>
        <v>23150.342261160527</v>
      </c>
      <c r="H61" s="725">
        <f t="shared" si="8"/>
        <v>61425.804065776749</v>
      </c>
      <c r="I61" s="725">
        <f t="shared" si="8"/>
        <v>11057.98143148031</v>
      </c>
      <c r="J61" s="725">
        <f t="shared" si="8"/>
        <v>0</v>
      </c>
      <c r="K61" s="725">
        <f t="shared" si="8"/>
        <v>1049.5359354600992</v>
      </c>
      <c r="L61" s="725">
        <f t="shared" si="8"/>
        <v>0</v>
      </c>
      <c r="M61" s="725">
        <f t="shared" ca="1" si="8"/>
        <v>0</v>
      </c>
      <c r="N61" s="725">
        <f t="shared" si="8"/>
        <v>0</v>
      </c>
      <c r="O61" s="725">
        <f t="shared" ca="1" si="8"/>
        <v>0</v>
      </c>
      <c r="P61" s="725">
        <f t="shared" si="8"/>
        <v>0</v>
      </c>
      <c r="Q61" s="725">
        <f t="shared" si="8"/>
        <v>0</v>
      </c>
      <c r="R61" s="725">
        <f ca="1">R46+R52+R56</f>
        <v>148536.95857048468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0.15089738572016217</v>
      </c>
      <c r="D63" s="771">
        <f t="shared" ca="1" si="9"/>
        <v>0.23654762806539131</v>
      </c>
      <c r="E63" s="963">
        <f t="shared" ca="1" si="9"/>
        <v>0.20200000000000001</v>
      </c>
      <c r="F63" s="771">
        <f t="shared" si="9"/>
        <v>0.22700000000000004</v>
      </c>
      <c r="G63" s="771">
        <f t="shared" ca="1" si="9"/>
        <v>0.26700000000000002</v>
      </c>
      <c r="H63" s="771">
        <f t="shared" si="9"/>
        <v>0.26699999999999996</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18237.073629663271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10354.537485872503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43.649999999999984</v>
      </c>
      <c r="C76" s="738">
        <f>'lokale energieproductie'!B8*IFERROR(SUM(D76:H76)/SUM(D76:O76),0)</f>
        <v>9391.5</v>
      </c>
      <c r="D76" s="946">
        <f>'lokale energieproductie'!C8</f>
        <v>11048.823529411766</v>
      </c>
      <c r="E76" s="947">
        <f>'lokale energieproductie'!D8</f>
        <v>0</v>
      </c>
      <c r="F76" s="947">
        <f>'lokale energieproductie'!E8</f>
        <v>0</v>
      </c>
      <c r="G76" s="947">
        <f>'lokale energieproductie'!F8</f>
        <v>0</v>
      </c>
      <c r="H76" s="947">
        <f>'lokale energieproductie'!G8</f>
        <v>0</v>
      </c>
      <c r="I76" s="947">
        <f>'lokale energieproductie'!I8</f>
        <v>0</v>
      </c>
      <c r="J76" s="947">
        <f>'lokale energieproductie'!J8</f>
        <v>51.35294117647058</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2231.8623529411771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28635.261115535774</v>
      </c>
      <c r="C78" s="743">
        <f>SUM(C72:C77)</f>
        <v>9391.5</v>
      </c>
      <c r="D78" s="744">
        <f t="shared" ref="D78:H78" si="10">SUM(D76:D77)</f>
        <v>11048.823529411766</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2231.8623529411771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62.357142857142847</v>
      </c>
      <c r="C87" s="756">
        <f>'lokale energieproductie'!B17*IFERROR(SUM(D87:H87)/SUM(D87:O87),0)</f>
        <v>13416.428571428572</v>
      </c>
      <c r="D87" s="767">
        <f>'lokale energieproductie'!C17</f>
        <v>15784.033613445379</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3188.3747899159666</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62.357142857142847</v>
      </c>
      <c r="C90" s="743">
        <f>SUM(C87:C89)</f>
        <v>13416.428571428572</v>
      </c>
      <c r="D90" s="743">
        <f t="shared" ref="D90:H90" si="12">SUM(D87:D89)</f>
        <v>15784.033613445379</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3188.3747899159666</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40539.374470541676</v>
      </c>
      <c r="C4" s="447">
        <f>huishoudens!C8</f>
        <v>0</v>
      </c>
      <c r="D4" s="447">
        <f>huishoudens!D8</f>
        <v>75506.164030138287</v>
      </c>
      <c r="E4" s="447">
        <f>huishoudens!E8</f>
        <v>2117.3396840958121</v>
      </c>
      <c r="F4" s="447">
        <f>huishoudens!F8</f>
        <v>46383.724693655626</v>
      </c>
      <c r="G4" s="447">
        <f>huishoudens!G8</f>
        <v>0</v>
      </c>
      <c r="H4" s="447">
        <f>huishoudens!H8</f>
        <v>0</v>
      </c>
      <c r="I4" s="447">
        <f>huishoudens!I8</f>
        <v>0</v>
      </c>
      <c r="J4" s="447">
        <f>huishoudens!J8</f>
        <v>264.34592019143469</v>
      </c>
      <c r="K4" s="447">
        <f>huishoudens!K8</f>
        <v>0</v>
      </c>
      <c r="L4" s="447">
        <f>huishoudens!L8</f>
        <v>0</v>
      </c>
      <c r="M4" s="447">
        <f>huishoudens!M8</f>
        <v>0</v>
      </c>
      <c r="N4" s="447">
        <f>huishoudens!N8</f>
        <v>11865.551152532646</v>
      </c>
      <c r="O4" s="447">
        <f>huishoudens!O8</f>
        <v>803.50307885174777</v>
      </c>
      <c r="P4" s="448">
        <f>huishoudens!P8</f>
        <v>1938.2485126140441</v>
      </c>
      <c r="Q4" s="449">
        <f>SUM(B4:P4)</f>
        <v>179418.25154262132</v>
      </c>
    </row>
    <row r="5" spans="1:17">
      <c r="A5" s="446" t="s">
        <v>149</v>
      </c>
      <c r="B5" s="447">
        <f ca="1">tertiair!B16</f>
        <v>25047.548171335162</v>
      </c>
      <c r="C5" s="447">
        <f ca="1">tertiair!C16</f>
        <v>192.85714285714286</v>
      </c>
      <c r="D5" s="447">
        <f ca="1">tertiair!D16</f>
        <v>31840.333695982128</v>
      </c>
      <c r="E5" s="447">
        <f>tertiair!E16</f>
        <v>125.92041561079503</v>
      </c>
      <c r="F5" s="447">
        <f ca="1">tertiair!F16</f>
        <v>4592.797079152625</v>
      </c>
      <c r="G5" s="447">
        <f>tertiair!G16</f>
        <v>0</v>
      </c>
      <c r="H5" s="447">
        <f>tertiair!H16</f>
        <v>0</v>
      </c>
      <c r="I5" s="447">
        <f>tertiair!I16</f>
        <v>0</v>
      </c>
      <c r="J5" s="447">
        <f>tertiair!J16</f>
        <v>2.81848328713134E-2</v>
      </c>
      <c r="K5" s="447">
        <f>tertiair!K16</f>
        <v>0</v>
      </c>
      <c r="L5" s="447">
        <f ca="1">tertiair!L16</f>
        <v>0</v>
      </c>
      <c r="M5" s="447">
        <f>tertiair!M16</f>
        <v>0</v>
      </c>
      <c r="N5" s="447">
        <f ca="1">tertiair!N16</f>
        <v>1091.683086683124</v>
      </c>
      <c r="O5" s="447">
        <f>tertiair!O16</f>
        <v>9.7945215316823084</v>
      </c>
      <c r="P5" s="448">
        <f>tertiair!P16</f>
        <v>262.69569153247511</v>
      </c>
      <c r="Q5" s="446">
        <f t="shared" ref="Q5:Q14" ca="1" si="0">SUM(B5:P5)</f>
        <v>63163.657989518004</v>
      </c>
    </row>
    <row r="6" spans="1:17">
      <c r="A6" s="446" t="s">
        <v>187</v>
      </c>
      <c r="B6" s="447">
        <f>'openbare verlichting'!B8</f>
        <v>1537.37</v>
      </c>
      <c r="C6" s="447"/>
      <c r="D6" s="447"/>
      <c r="E6" s="447"/>
      <c r="F6" s="447"/>
      <c r="G6" s="447"/>
      <c r="H6" s="447"/>
      <c r="I6" s="447"/>
      <c r="J6" s="447"/>
      <c r="K6" s="447"/>
      <c r="L6" s="447"/>
      <c r="M6" s="447"/>
      <c r="N6" s="447"/>
      <c r="O6" s="447"/>
      <c r="P6" s="448"/>
      <c r="Q6" s="446">
        <f t="shared" si="0"/>
        <v>1537.37</v>
      </c>
    </row>
    <row r="7" spans="1:17">
      <c r="A7" s="446" t="s">
        <v>105</v>
      </c>
      <c r="B7" s="447">
        <f>landbouw!B8</f>
        <v>10545.164306561099</v>
      </c>
      <c r="C7" s="447">
        <f>landbouw!C8</f>
        <v>13285.928571428571</v>
      </c>
      <c r="D7" s="447">
        <f>landbouw!D8</f>
        <v>52842.817518916738</v>
      </c>
      <c r="E7" s="447">
        <f>landbouw!E8</f>
        <v>302.03135142509495</v>
      </c>
      <c r="F7" s="447">
        <f>landbouw!F8</f>
        <v>33380.542954807941</v>
      </c>
      <c r="G7" s="447">
        <f>landbouw!G8</f>
        <v>0</v>
      </c>
      <c r="H7" s="447">
        <f>landbouw!H8</f>
        <v>0</v>
      </c>
      <c r="I7" s="447">
        <f>landbouw!I8</f>
        <v>0</v>
      </c>
      <c r="J7" s="447">
        <f>landbouw!J8</f>
        <v>2681.3041397752613</v>
      </c>
      <c r="K7" s="447">
        <f>landbouw!K8</f>
        <v>0</v>
      </c>
      <c r="L7" s="447">
        <f>landbouw!L8</f>
        <v>0</v>
      </c>
      <c r="M7" s="447">
        <f>landbouw!M8</f>
        <v>0</v>
      </c>
      <c r="N7" s="447">
        <f>landbouw!N8</f>
        <v>0</v>
      </c>
      <c r="O7" s="447">
        <f>landbouw!O8</f>
        <v>0</v>
      </c>
      <c r="P7" s="448">
        <f>landbouw!P8</f>
        <v>0</v>
      </c>
      <c r="Q7" s="446">
        <f t="shared" si="0"/>
        <v>113037.7888429147</v>
      </c>
    </row>
    <row r="8" spans="1:17">
      <c r="A8" s="446" t="s">
        <v>611</v>
      </c>
      <c r="B8" s="447">
        <f>industrie!B18</f>
        <v>8654.4740673022716</v>
      </c>
      <c r="C8" s="447">
        <f>industrie!C18</f>
        <v>0</v>
      </c>
      <c r="D8" s="447">
        <f>industrie!D18</f>
        <v>9040.198695265959</v>
      </c>
      <c r="E8" s="447">
        <f>industrie!E18</f>
        <v>38.0030177576431</v>
      </c>
      <c r="F8" s="447">
        <f>industrie!F18</f>
        <v>2348.3369995767875</v>
      </c>
      <c r="G8" s="447">
        <f>industrie!G18</f>
        <v>0</v>
      </c>
      <c r="H8" s="447">
        <f>industrie!H18</f>
        <v>0</v>
      </c>
      <c r="I8" s="447">
        <f>industrie!I18</f>
        <v>0</v>
      </c>
      <c r="J8" s="447">
        <f>industrie!J18</f>
        <v>19.112533336305983</v>
      </c>
      <c r="K8" s="447">
        <f>industrie!K18</f>
        <v>0</v>
      </c>
      <c r="L8" s="447">
        <f>industrie!L18</f>
        <v>0</v>
      </c>
      <c r="M8" s="447">
        <f>industrie!M18</f>
        <v>0</v>
      </c>
      <c r="N8" s="447">
        <f>industrie!N18</f>
        <v>596.28840111261013</v>
      </c>
      <c r="O8" s="447">
        <f>industrie!O18</f>
        <v>0</v>
      </c>
      <c r="P8" s="448">
        <f>industrie!P18</f>
        <v>0</v>
      </c>
      <c r="Q8" s="446">
        <f t="shared" si="0"/>
        <v>20696.41371435158</v>
      </c>
    </row>
    <row r="9" spans="1:17" s="452" customFormat="1">
      <c r="A9" s="450" t="s">
        <v>537</v>
      </c>
      <c r="B9" s="451">
        <f>transport!B14</f>
        <v>557.08585072663834</v>
      </c>
      <c r="C9" s="451">
        <f>transport!C14</f>
        <v>0</v>
      </c>
      <c r="D9" s="451">
        <f>transport!D14</f>
        <v>882.39658068434881</v>
      </c>
      <c r="E9" s="451">
        <f>transport!E14</f>
        <v>390.09752987803842</v>
      </c>
      <c r="F9" s="451">
        <f>transport!F14</f>
        <v>0</v>
      </c>
      <c r="G9" s="451">
        <f>transport!G14</f>
        <v>228192.74365218342</v>
      </c>
      <c r="H9" s="451">
        <f>transport!H14</f>
        <v>44409.563981848631</v>
      </c>
      <c r="I9" s="451">
        <f>transport!I14</f>
        <v>0</v>
      </c>
      <c r="J9" s="451">
        <f>transport!J14</f>
        <v>0</v>
      </c>
      <c r="K9" s="451">
        <f>transport!K14</f>
        <v>0</v>
      </c>
      <c r="L9" s="451">
        <f>transport!L14</f>
        <v>0</v>
      </c>
      <c r="M9" s="451">
        <f>transport!M14</f>
        <v>16250.654833256707</v>
      </c>
      <c r="N9" s="451">
        <f>transport!N14</f>
        <v>0</v>
      </c>
      <c r="O9" s="451">
        <f>transport!O14</f>
        <v>0</v>
      </c>
      <c r="P9" s="451">
        <f>transport!P14</f>
        <v>0</v>
      </c>
      <c r="Q9" s="450">
        <f>SUM(B9:P9)</f>
        <v>290682.54242857778</v>
      </c>
    </row>
    <row r="10" spans="1:17">
      <c r="A10" s="446" t="s">
        <v>527</v>
      </c>
      <c r="B10" s="447">
        <f>transport!B54</f>
        <v>29.814017113754176</v>
      </c>
      <c r="C10" s="447">
        <f>transport!C54</f>
        <v>0</v>
      </c>
      <c r="D10" s="447">
        <f>transport!D54</f>
        <v>0</v>
      </c>
      <c r="E10" s="447">
        <f>transport!E54</f>
        <v>0</v>
      </c>
      <c r="F10" s="447">
        <f>transport!F54</f>
        <v>0</v>
      </c>
      <c r="G10" s="447">
        <f>transport!G54</f>
        <v>1866.4476054074064</v>
      </c>
      <c r="H10" s="447">
        <f>transport!H54</f>
        <v>0</v>
      </c>
      <c r="I10" s="447">
        <f>transport!I54</f>
        <v>0</v>
      </c>
      <c r="J10" s="447">
        <f>transport!J54</f>
        <v>0</v>
      </c>
      <c r="K10" s="447">
        <f>transport!K54</f>
        <v>0</v>
      </c>
      <c r="L10" s="447">
        <f>transport!L54</f>
        <v>0</v>
      </c>
      <c r="M10" s="447">
        <f>transport!M54</f>
        <v>107.16728875290491</v>
      </c>
      <c r="N10" s="447">
        <f>transport!N54</f>
        <v>0</v>
      </c>
      <c r="O10" s="447">
        <f>transport!O54</f>
        <v>0</v>
      </c>
      <c r="P10" s="448">
        <f>transport!P54</f>
        <v>0</v>
      </c>
      <c r="Q10" s="446">
        <f t="shared" si="0"/>
        <v>2003.4289112740653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1132.2744556073901</v>
      </c>
      <c r="C14" s="454"/>
      <c r="D14" s="454">
        <f>'SEAP template'!E25</f>
        <v>1692.47401664874</v>
      </c>
      <c r="E14" s="454"/>
      <c r="F14" s="454"/>
      <c r="G14" s="454"/>
      <c r="H14" s="454"/>
      <c r="I14" s="454"/>
      <c r="J14" s="454"/>
      <c r="K14" s="454"/>
      <c r="L14" s="454"/>
      <c r="M14" s="454"/>
      <c r="N14" s="454"/>
      <c r="O14" s="454"/>
      <c r="P14" s="455"/>
      <c r="Q14" s="446">
        <f t="shared" si="0"/>
        <v>2824.7484722561303</v>
      </c>
    </row>
    <row r="15" spans="1:17" s="458" customFormat="1">
      <c r="A15" s="456" t="s">
        <v>531</v>
      </c>
      <c r="B15" s="457">
        <f ca="1">SUM(B4:B14)</f>
        <v>88043.105339187983</v>
      </c>
      <c r="C15" s="457">
        <f t="shared" ref="C15:Q15" ca="1" si="1">SUM(C4:C14)</f>
        <v>13478.785714285714</v>
      </c>
      <c r="D15" s="457">
        <f t="shared" ca="1" si="1"/>
        <v>171804.38453763619</v>
      </c>
      <c r="E15" s="457">
        <f t="shared" si="1"/>
        <v>2973.3919987673839</v>
      </c>
      <c r="F15" s="457">
        <f t="shared" ca="1" si="1"/>
        <v>86705.401727192977</v>
      </c>
      <c r="G15" s="457">
        <f t="shared" si="1"/>
        <v>230059.19125759084</v>
      </c>
      <c r="H15" s="457">
        <f t="shared" si="1"/>
        <v>44409.563981848631</v>
      </c>
      <c r="I15" s="457">
        <f t="shared" si="1"/>
        <v>0</v>
      </c>
      <c r="J15" s="457">
        <f t="shared" si="1"/>
        <v>2964.7907781358736</v>
      </c>
      <c r="K15" s="457">
        <f t="shared" si="1"/>
        <v>0</v>
      </c>
      <c r="L15" s="457">
        <f t="shared" ca="1" si="1"/>
        <v>0</v>
      </c>
      <c r="M15" s="457">
        <f t="shared" si="1"/>
        <v>16357.822122009613</v>
      </c>
      <c r="N15" s="457">
        <f t="shared" ca="1" si="1"/>
        <v>13553.52264032838</v>
      </c>
      <c r="O15" s="457">
        <f t="shared" si="1"/>
        <v>813.29760038343011</v>
      </c>
      <c r="P15" s="457">
        <f t="shared" si="1"/>
        <v>2200.944204146519</v>
      </c>
      <c r="Q15" s="457">
        <f t="shared" ca="1" si="1"/>
        <v>673364.20190151362</v>
      </c>
    </row>
    <row r="17" spans="1:17">
      <c r="A17" s="459" t="s">
        <v>532</v>
      </c>
      <c r="B17" s="776">
        <f ca="1">huishoudens!B10</f>
        <v>0.15089738572016215</v>
      </c>
      <c r="C17" s="776">
        <f ca="1">huishoudens!C10</f>
        <v>0.23654762806539131</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6117.2856263354215</v>
      </c>
      <c r="C22" s="447">
        <f t="shared" ref="C22:C32" ca="1" si="3">C4*$C$17</f>
        <v>0</v>
      </c>
      <c r="D22" s="447">
        <f t="shared" ref="D22:D32" si="4">D4*$D$17</f>
        <v>15252.245134087934</v>
      </c>
      <c r="E22" s="447">
        <f t="shared" ref="E22:E32" si="5">E4*$E$17</f>
        <v>480.63610828974936</v>
      </c>
      <c r="F22" s="447">
        <f t="shared" ref="F22:F32" si="6">F4*$F$17</f>
        <v>12384.454493206053</v>
      </c>
      <c r="G22" s="447">
        <f t="shared" ref="G22:G32" si="7">G4*$G$17</f>
        <v>0</v>
      </c>
      <c r="H22" s="447">
        <f t="shared" ref="H22:H32" si="8">H4*$H$17</f>
        <v>0</v>
      </c>
      <c r="I22" s="447">
        <f t="shared" ref="I22:I32" si="9">I4*$I$17</f>
        <v>0</v>
      </c>
      <c r="J22" s="447">
        <f t="shared" ref="J22:J32" si="10">J4*$J$17</f>
        <v>93.578455747767876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34328.199817666922</v>
      </c>
    </row>
    <row r="23" spans="1:17">
      <c r="A23" s="446" t="s">
        <v>149</v>
      </c>
      <c r="B23" s="447">
        <f t="shared" ca="1" si="2"/>
        <v>3779.6095377543038</v>
      </c>
      <c r="C23" s="447">
        <f t="shared" ca="1" si="3"/>
        <v>45.619899698325469</v>
      </c>
      <c r="D23" s="447">
        <f t="shared" ca="1" si="4"/>
        <v>6431.7474065883907</v>
      </c>
      <c r="E23" s="447">
        <f t="shared" si="5"/>
        <v>28.583934343650473</v>
      </c>
      <c r="F23" s="447">
        <f t="shared" ca="1" si="6"/>
        <v>1226.276820133751</v>
      </c>
      <c r="G23" s="447">
        <f t="shared" si="7"/>
        <v>0</v>
      </c>
      <c r="H23" s="447">
        <f t="shared" si="8"/>
        <v>0</v>
      </c>
      <c r="I23" s="447">
        <f t="shared" si="9"/>
        <v>0</v>
      </c>
      <c r="J23" s="447">
        <f t="shared" si="10"/>
        <v>9.9774308364449435E-3</v>
      </c>
      <c r="K23" s="447">
        <f t="shared" si="11"/>
        <v>0</v>
      </c>
      <c r="L23" s="447">
        <f t="shared" ca="1" si="12"/>
        <v>0</v>
      </c>
      <c r="M23" s="447">
        <f t="shared" si="13"/>
        <v>0</v>
      </c>
      <c r="N23" s="447">
        <f t="shared" ca="1" si="14"/>
        <v>0</v>
      </c>
      <c r="O23" s="447">
        <f t="shared" si="15"/>
        <v>0</v>
      </c>
      <c r="P23" s="448">
        <f t="shared" si="16"/>
        <v>0</v>
      </c>
      <c r="Q23" s="446">
        <f t="shared" ref="Q23:Q31" ca="1" si="17">SUM(B23:P23)</f>
        <v>11511.847575949258</v>
      </c>
    </row>
    <row r="24" spans="1:17">
      <c r="A24" s="446" t="s">
        <v>187</v>
      </c>
      <c r="B24" s="447">
        <f t="shared" ca="1" si="2"/>
        <v>231.98511388460565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231.98511388460565</v>
      </c>
    </row>
    <row r="25" spans="1:17">
      <c r="A25" s="446" t="s">
        <v>105</v>
      </c>
      <c r="B25" s="447">
        <f t="shared" ca="1" si="2"/>
        <v>1591.2377258496363</v>
      </c>
      <c r="C25" s="447">
        <f t="shared" ca="1" si="3"/>
        <v>3142.7548902176413</v>
      </c>
      <c r="D25" s="447">
        <f t="shared" si="4"/>
        <v>10674.249138821182</v>
      </c>
      <c r="E25" s="447">
        <f t="shared" si="5"/>
        <v>68.561116773496551</v>
      </c>
      <c r="F25" s="447">
        <f t="shared" si="6"/>
        <v>8912.6049689337215</v>
      </c>
      <c r="G25" s="447">
        <f t="shared" si="7"/>
        <v>0</v>
      </c>
      <c r="H25" s="447">
        <f t="shared" si="8"/>
        <v>0</v>
      </c>
      <c r="I25" s="447">
        <f t="shared" si="9"/>
        <v>0</v>
      </c>
      <c r="J25" s="447">
        <f t="shared" si="10"/>
        <v>949.18166548044246</v>
      </c>
      <c r="K25" s="447">
        <f t="shared" si="11"/>
        <v>0</v>
      </c>
      <c r="L25" s="447">
        <f t="shared" si="12"/>
        <v>0</v>
      </c>
      <c r="M25" s="447">
        <f t="shared" si="13"/>
        <v>0</v>
      </c>
      <c r="N25" s="447">
        <f t="shared" si="14"/>
        <v>0</v>
      </c>
      <c r="O25" s="447">
        <f t="shared" si="15"/>
        <v>0</v>
      </c>
      <c r="P25" s="448">
        <f t="shared" si="16"/>
        <v>0</v>
      </c>
      <c r="Q25" s="446">
        <f t="shared" ca="1" si="17"/>
        <v>25338.589506076118</v>
      </c>
    </row>
    <row r="26" spans="1:17">
      <c r="A26" s="446" t="s">
        <v>611</v>
      </c>
      <c r="B26" s="447">
        <f t="shared" ca="1" si="2"/>
        <v>1305.9375115388514</v>
      </c>
      <c r="C26" s="447">
        <f t="shared" ca="1" si="3"/>
        <v>0</v>
      </c>
      <c r="D26" s="447">
        <f t="shared" si="4"/>
        <v>1826.1201364437238</v>
      </c>
      <c r="E26" s="447">
        <f t="shared" si="5"/>
        <v>8.6266850309849836</v>
      </c>
      <c r="F26" s="447">
        <f t="shared" si="6"/>
        <v>627.00597888700236</v>
      </c>
      <c r="G26" s="447">
        <f t="shared" si="7"/>
        <v>0</v>
      </c>
      <c r="H26" s="447">
        <f t="shared" si="8"/>
        <v>0</v>
      </c>
      <c r="I26" s="447">
        <f t="shared" si="9"/>
        <v>0</v>
      </c>
      <c r="J26" s="447">
        <f t="shared" si="10"/>
        <v>6.765836801052318</v>
      </c>
      <c r="K26" s="447">
        <f t="shared" si="11"/>
        <v>0</v>
      </c>
      <c r="L26" s="447">
        <f t="shared" si="12"/>
        <v>0</v>
      </c>
      <c r="M26" s="447">
        <f t="shared" si="13"/>
        <v>0</v>
      </c>
      <c r="N26" s="447">
        <f t="shared" si="14"/>
        <v>0</v>
      </c>
      <c r="O26" s="447">
        <f t="shared" si="15"/>
        <v>0</v>
      </c>
      <c r="P26" s="448">
        <f t="shared" si="16"/>
        <v>0</v>
      </c>
      <c r="Q26" s="446">
        <f t="shared" ca="1" si="17"/>
        <v>3774.4561487016144</v>
      </c>
    </row>
    <row r="27" spans="1:17" s="452" customFormat="1">
      <c r="A27" s="450" t="s">
        <v>537</v>
      </c>
      <c r="B27" s="770">
        <f t="shared" ca="1" si="2"/>
        <v>84.062798496342225</v>
      </c>
      <c r="C27" s="451">
        <f t="shared" ca="1" si="3"/>
        <v>0</v>
      </c>
      <c r="D27" s="451">
        <f t="shared" si="4"/>
        <v>178.24410929823847</v>
      </c>
      <c r="E27" s="451">
        <f t="shared" si="5"/>
        <v>88.552139282314727</v>
      </c>
      <c r="F27" s="451">
        <f t="shared" si="6"/>
        <v>0</v>
      </c>
      <c r="G27" s="451">
        <f t="shared" si="7"/>
        <v>60927.462555132974</v>
      </c>
      <c r="H27" s="451">
        <f t="shared" si="8"/>
        <v>11057.98143148031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72336.303033690187</v>
      </c>
    </row>
    <row r="28" spans="1:17" ht="16.5" customHeight="1">
      <c r="A28" s="446" t="s">
        <v>527</v>
      </c>
      <c r="B28" s="447">
        <f t="shared" ca="1" si="2"/>
        <v>4.4988572402816791</v>
      </c>
      <c r="C28" s="447">
        <f t="shared" ca="1" si="3"/>
        <v>0</v>
      </c>
      <c r="D28" s="447">
        <f t="shared" si="4"/>
        <v>0</v>
      </c>
      <c r="E28" s="447">
        <f t="shared" si="5"/>
        <v>0</v>
      </c>
      <c r="F28" s="447">
        <f t="shared" si="6"/>
        <v>0</v>
      </c>
      <c r="G28" s="447">
        <f t="shared" si="7"/>
        <v>498.34151064377755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502.84036788405922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170.85725526887495</v>
      </c>
      <c r="C32" s="447">
        <f t="shared" ca="1" si="3"/>
        <v>0</v>
      </c>
      <c r="D32" s="447">
        <f t="shared" si="4"/>
        <v>341.8797513630455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512.73700663192039</v>
      </c>
    </row>
    <row r="33" spans="1:17" s="458" customFormat="1">
      <c r="A33" s="456" t="s">
        <v>531</v>
      </c>
      <c r="B33" s="457">
        <f ca="1">SUM(B22:B32)</f>
        <v>13285.474426368319</v>
      </c>
      <c r="C33" s="457">
        <f t="shared" ref="C33:Q33" ca="1" si="19">SUM(C22:C32)</f>
        <v>3188.3747899159666</v>
      </c>
      <c r="D33" s="457">
        <f t="shared" ca="1" si="19"/>
        <v>34704.485676602519</v>
      </c>
      <c r="E33" s="457">
        <f t="shared" si="19"/>
        <v>674.95998372019608</v>
      </c>
      <c r="F33" s="457">
        <f t="shared" ca="1" si="19"/>
        <v>23150.342261160527</v>
      </c>
      <c r="G33" s="457">
        <f t="shared" si="19"/>
        <v>61425.804065776749</v>
      </c>
      <c r="H33" s="457">
        <f t="shared" si="19"/>
        <v>11057.98143148031</v>
      </c>
      <c r="I33" s="457">
        <f t="shared" si="19"/>
        <v>0</v>
      </c>
      <c r="J33" s="457">
        <f t="shared" si="19"/>
        <v>1049.5359354600992</v>
      </c>
      <c r="K33" s="457">
        <f t="shared" si="19"/>
        <v>0</v>
      </c>
      <c r="L33" s="457">
        <f t="shared" ca="1" si="19"/>
        <v>0</v>
      </c>
      <c r="M33" s="457">
        <f t="shared" si="19"/>
        <v>0</v>
      </c>
      <c r="N33" s="457">
        <f t="shared" ca="1" si="19"/>
        <v>0</v>
      </c>
      <c r="O33" s="457">
        <f t="shared" si="19"/>
        <v>0</v>
      </c>
      <c r="P33" s="457">
        <f t="shared" si="19"/>
        <v>0</v>
      </c>
      <c r="Q33" s="457">
        <f t="shared" ca="1" si="19"/>
        <v>148536.95857048468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18237.073629663271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10354.537485872503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43.649999999999984</v>
      </c>
      <c r="C8" s="1014">
        <f>'SEAP template'!C76</f>
        <v>9391.5</v>
      </c>
      <c r="D8" s="1014">
        <f>'SEAP template'!D76</f>
        <v>11048.823529411766</v>
      </c>
      <c r="E8" s="1014">
        <f>'SEAP template'!E76</f>
        <v>0</v>
      </c>
      <c r="F8" s="1014">
        <f>'SEAP template'!F76</f>
        <v>0</v>
      </c>
      <c r="G8" s="1014">
        <f>'SEAP template'!G76</f>
        <v>0</v>
      </c>
      <c r="H8" s="1014">
        <f>'SEAP template'!H76</f>
        <v>0</v>
      </c>
      <c r="I8" s="1014">
        <f>'SEAP template'!I76</f>
        <v>0</v>
      </c>
      <c r="J8" s="1014">
        <f>'SEAP template'!J76</f>
        <v>51.35294117647058</v>
      </c>
      <c r="K8" s="1014">
        <f>'SEAP template'!K76</f>
        <v>0</v>
      </c>
      <c r="L8" s="1014">
        <f>'SEAP template'!L76</f>
        <v>0</v>
      </c>
      <c r="M8" s="1014">
        <f>'SEAP template'!M76</f>
        <v>0</v>
      </c>
      <c r="N8" s="1014">
        <f>'SEAP template'!N76</f>
        <v>0</v>
      </c>
      <c r="O8" s="1014">
        <f>'SEAP template'!O76</f>
        <v>0</v>
      </c>
      <c r="P8" s="1015">
        <f>'SEAP template'!Q76</f>
        <v>2231.8623529411771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28635.261115535774</v>
      </c>
      <c r="C10" s="1016">
        <f>SUM(C4:C9)</f>
        <v>9391.5</v>
      </c>
      <c r="D10" s="1016">
        <f t="shared" ref="D10:H10" si="0">SUM(D8:D9)</f>
        <v>11048.823529411766</v>
      </c>
      <c r="E10" s="1016">
        <f t="shared" si="0"/>
        <v>0</v>
      </c>
      <c r="F10" s="1016">
        <f t="shared" si="0"/>
        <v>0</v>
      </c>
      <c r="G10" s="1016">
        <f t="shared" si="0"/>
        <v>0</v>
      </c>
      <c r="H10" s="1016">
        <f t="shared" si="0"/>
        <v>0</v>
      </c>
      <c r="I10" s="1016">
        <f>SUM(I8:I9)</f>
        <v>0</v>
      </c>
      <c r="J10" s="1016">
        <f>SUM(J8:J9)</f>
        <v>51.35294117647058</v>
      </c>
      <c r="K10" s="1016">
        <f t="shared" ref="K10:L10" si="1">SUM(K8:K9)</f>
        <v>0</v>
      </c>
      <c r="L10" s="1016">
        <f t="shared" si="1"/>
        <v>0</v>
      </c>
      <c r="M10" s="1016">
        <f>SUM(M8:M9)</f>
        <v>0</v>
      </c>
      <c r="N10" s="1016">
        <f>SUM(N8:N9)</f>
        <v>0</v>
      </c>
      <c r="O10" s="1016">
        <f>SUM(O8:O9)</f>
        <v>0</v>
      </c>
      <c r="P10" s="1016">
        <f>SUM(P8:P9)</f>
        <v>2231.8623529411771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0.15089738572016215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62.357142857142847</v>
      </c>
      <c r="C17" s="1017">
        <f>'SEAP template'!C87</f>
        <v>13416.428571428572</v>
      </c>
      <c r="D17" s="1015">
        <f>'SEAP template'!D87</f>
        <v>15784.033613445379</v>
      </c>
      <c r="E17" s="1015">
        <f>'SEAP template'!E87</f>
        <v>0</v>
      </c>
      <c r="F17" s="1015">
        <f>'SEAP template'!F87</f>
        <v>0</v>
      </c>
      <c r="G17" s="1015">
        <f>'SEAP template'!G87</f>
        <v>0</v>
      </c>
      <c r="H17" s="1015">
        <f>'SEAP template'!H87</f>
        <v>0</v>
      </c>
      <c r="I17" s="1015">
        <f>'SEAP template'!I87</f>
        <v>0</v>
      </c>
      <c r="J17" s="1015">
        <f>'SEAP template'!J87</f>
        <v>73.361344537815114</v>
      </c>
      <c r="K17" s="1015">
        <f>'SEAP template'!K87</f>
        <v>0</v>
      </c>
      <c r="L17" s="1015">
        <f>'SEAP template'!L87</f>
        <v>0</v>
      </c>
      <c r="M17" s="1015">
        <f>'SEAP template'!M87</f>
        <v>0</v>
      </c>
      <c r="N17" s="1015">
        <f>'SEAP template'!N87</f>
        <v>0</v>
      </c>
      <c r="O17" s="1015">
        <f>'SEAP template'!O87</f>
        <v>0</v>
      </c>
      <c r="P17" s="1015">
        <f>'SEAP template'!Q87</f>
        <v>3188.3747899159666</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62.357142857142847</v>
      </c>
      <c r="C20" s="1016">
        <f>SUM(C17:C19)</f>
        <v>13416.428571428572</v>
      </c>
      <c r="D20" s="1016">
        <f t="shared" ref="D20:H20" si="2">SUM(D17:D19)</f>
        <v>15784.033613445379</v>
      </c>
      <c r="E20" s="1016">
        <f t="shared" si="2"/>
        <v>0</v>
      </c>
      <c r="F20" s="1016">
        <f t="shared" si="2"/>
        <v>0</v>
      </c>
      <c r="G20" s="1016">
        <f t="shared" si="2"/>
        <v>0</v>
      </c>
      <c r="H20" s="1016">
        <f t="shared" si="2"/>
        <v>0</v>
      </c>
      <c r="I20" s="1016">
        <f>SUM(I17:I19)</f>
        <v>0</v>
      </c>
      <c r="J20" s="1016">
        <f>SUM(J17:J19)</f>
        <v>73.361344537815114</v>
      </c>
      <c r="K20" s="1016">
        <f t="shared" ref="K20:L20" si="3">SUM(K17:K19)</f>
        <v>0</v>
      </c>
      <c r="L20" s="1016">
        <f t="shared" si="3"/>
        <v>0</v>
      </c>
      <c r="M20" s="1016">
        <f>SUM(M17:M19)</f>
        <v>0</v>
      </c>
      <c r="N20" s="1016">
        <f>SUM(N17:N19)</f>
        <v>0</v>
      </c>
      <c r="O20" s="1016">
        <f>SUM(O17:O19)</f>
        <v>0</v>
      </c>
      <c r="P20" s="1016">
        <f>SUM(P17:P19)</f>
        <v>3188.3747899159666</v>
      </c>
    </row>
    <row r="21" spans="1:16">
      <c r="B21" s="881"/>
    </row>
    <row r="22" spans="1:16">
      <c r="A22" s="459" t="s">
        <v>749</v>
      </c>
      <c r="B22" s="776" t="s">
        <v>747</v>
      </c>
      <c r="C22" s="776">
        <f ca="1">'EF ele_warmte'!B22</f>
        <v>0.23654762806539131</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0.15089738572016215</v>
      </c>
      <c r="C17" s="496">
        <f ca="1">'EF ele_warmte'!B22</f>
        <v>0.23654762806539131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0.15089738572016215</v>
      </c>
      <c r="C17" s="496">
        <f ca="1">'EF ele_warmte'!B22</f>
        <v>0.23654762806539131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0.15089738572016215</v>
      </c>
      <c r="C29" s="497">
        <f ca="1">'EF ele_warmte'!B22</f>
        <v>0.23654762806539131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8984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3481.15</v>
      </c>
      <c r="C14" s="326"/>
      <c r="D14" s="326"/>
      <c r="E14" s="326"/>
      <c r="F14" s="326"/>
    </row>
    <row r="15" spans="1:6">
      <c r="A15" s="1310" t="s">
        <v>177</v>
      </c>
      <c r="B15" s="1311">
        <v>66</v>
      </c>
      <c r="C15" s="326"/>
      <c r="D15" s="326"/>
      <c r="E15" s="326"/>
      <c r="F15" s="326"/>
    </row>
    <row r="16" spans="1:6">
      <c r="A16" s="1310" t="s">
        <v>6</v>
      </c>
      <c r="B16" s="1311">
        <v>2189</v>
      </c>
      <c r="C16" s="326"/>
      <c r="D16" s="326"/>
      <c r="E16" s="326"/>
      <c r="F16" s="326"/>
    </row>
    <row r="17" spans="1:6">
      <c r="A17" s="1310" t="s">
        <v>7</v>
      </c>
      <c r="B17" s="1311">
        <v>1379</v>
      </c>
      <c r="C17" s="326"/>
      <c r="D17" s="326"/>
      <c r="E17" s="326"/>
      <c r="F17" s="326"/>
    </row>
    <row r="18" spans="1:6">
      <c r="A18" s="1310" t="s">
        <v>8</v>
      </c>
      <c r="B18" s="1311">
        <v>2346</v>
      </c>
      <c r="C18" s="326"/>
      <c r="D18" s="326"/>
      <c r="E18" s="326"/>
      <c r="F18" s="326"/>
    </row>
    <row r="19" spans="1:6">
      <c r="A19" s="1310" t="s">
        <v>9</v>
      </c>
      <c r="B19" s="1311">
        <v>2591</v>
      </c>
      <c r="C19" s="326"/>
      <c r="D19" s="326"/>
      <c r="E19" s="326"/>
      <c r="F19" s="326"/>
    </row>
    <row r="20" spans="1:6">
      <c r="A20" s="1310" t="s">
        <v>10</v>
      </c>
      <c r="B20" s="1311">
        <v>1567</v>
      </c>
      <c r="C20" s="326"/>
      <c r="D20" s="326"/>
      <c r="E20" s="326"/>
      <c r="F20" s="326"/>
    </row>
    <row r="21" spans="1:6">
      <c r="A21" s="1310" t="s">
        <v>11</v>
      </c>
      <c r="B21" s="1311">
        <v>8258</v>
      </c>
      <c r="C21" s="326"/>
      <c r="D21" s="326"/>
      <c r="E21" s="326"/>
      <c r="F21" s="326"/>
    </row>
    <row r="22" spans="1:6">
      <c r="A22" s="1310" t="s">
        <v>12</v>
      </c>
      <c r="B22" s="1311">
        <v>10782</v>
      </c>
      <c r="C22" s="326"/>
      <c r="D22" s="326"/>
      <c r="E22" s="326"/>
      <c r="F22" s="326"/>
    </row>
    <row r="23" spans="1:6">
      <c r="A23" s="1310" t="s">
        <v>13</v>
      </c>
      <c r="B23" s="1311">
        <v>639</v>
      </c>
      <c r="C23" s="326"/>
      <c r="D23" s="326"/>
      <c r="E23" s="326"/>
      <c r="F23" s="326"/>
    </row>
    <row r="24" spans="1:6">
      <c r="A24" s="1310" t="s">
        <v>14</v>
      </c>
      <c r="B24" s="1311">
        <v>34</v>
      </c>
      <c r="C24" s="326"/>
      <c r="D24" s="326"/>
      <c r="E24" s="326"/>
      <c r="F24" s="326"/>
    </row>
    <row r="25" spans="1:6">
      <c r="A25" s="1310" t="s">
        <v>15</v>
      </c>
      <c r="B25" s="1311">
        <v>2429</v>
      </c>
      <c r="C25" s="326"/>
      <c r="D25" s="326"/>
      <c r="E25" s="326"/>
      <c r="F25" s="326"/>
    </row>
    <row r="26" spans="1:6">
      <c r="A26" s="1310" t="s">
        <v>16</v>
      </c>
      <c r="B26" s="1311">
        <v>601</v>
      </c>
      <c r="C26" s="326"/>
      <c r="D26" s="326"/>
      <c r="E26" s="326"/>
      <c r="F26" s="326"/>
    </row>
    <row r="27" spans="1:6">
      <c r="A27" s="1310" t="s">
        <v>17</v>
      </c>
      <c r="B27" s="1311">
        <v>1044</v>
      </c>
      <c r="C27" s="326"/>
      <c r="D27" s="326"/>
      <c r="E27" s="326"/>
      <c r="F27" s="326"/>
    </row>
    <row r="28" spans="1:6">
      <c r="A28" s="1310" t="s">
        <v>18</v>
      </c>
      <c r="B28" s="1312">
        <v>39468</v>
      </c>
      <c r="C28" s="326"/>
      <c r="D28" s="326"/>
      <c r="E28" s="326"/>
      <c r="F28" s="326"/>
    </row>
    <row r="29" spans="1:6">
      <c r="A29" s="1310" t="s">
        <v>678</v>
      </c>
      <c r="B29" s="1312">
        <v>203</v>
      </c>
      <c r="C29" s="326"/>
      <c r="D29" s="326"/>
      <c r="E29" s="326"/>
      <c r="F29" s="326"/>
    </row>
    <row r="30" spans="1:6">
      <c r="A30" s="1305" t="s">
        <v>679</v>
      </c>
      <c r="B30" s="1313">
        <v>60</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257785.97526480001</v>
      </c>
      <c r="E36" s="1311">
        <v>10</v>
      </c>
      <c r="F36" s="1311">
        <v>172694.846574583</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5752</v>
      </c>
      <c r="D39" s="1311">
        <v>83617014.429831997</v>
      </c>
      <c r="E39" s="1311">
        <v>8533</v>
      </c>
      <c r="F39" s="1311">
        <v>31387296.149179701</v>
      </c>
    </row>
    <row r="40" spans="1:6">
      <c r="A40" s="1310" t="s">
        <v>29</v>
      </c>
      <c r="B40" s="1310" t="s">
        <v>28</v>
      </c>
      <c r="C40" s="1311">
        <v>0</v>
      </c>
      <c r="D40" s="1311">
        <v>0</v>
      </c>
      <c r="E40" s="1311">
        <v>0</v>
      </c>
      <c r="F40" s="1311">
        <v>0</v>
      </c>
    </row>
    <row r="41" spans="1:6">
      <c r="A41" s="1310" t="s">
        <v>31</v>
      </c>
      <c r="B41" s="1310" t="s">
        <v>32</v>
      </c>
      <c r="C41" s="1311">
        <v>101</v>
      </c>
      <c r="D41" s="1311">
        <v>2273363.3407471199</v>
      </c>
      <c r="E41" s="1311">
        <v>215</v>
      </c>
      <c r="F41" s="1311">
        <v>3336220.87102958</v>
      </c>
    </row>
    <row r="42" spans="1:6">
      <c r="A42" s="1310" t="s">
        <v>31</v>
      </c>
      <c r="B42" s="1310" t="s">
        <v>33</v>
      </c>
      <c r="C42" s="1311">
        <v>0</v>
      </c>
      <c r="D42" s="1311">
        <v>0</v>
      </c>
      <c r="E42" s="1311">
        <v>3</v>
      </c>
      <c r="F42" s="1311">
        <v>35799.386341816797</v>
      </c>
    </row>
    <row r="43" spans="1:6">
      <c r="A43" s="1310" t="s">
        <v>31</v>
      </c>
      <c r="B43" s="1310" t="s">
        <v>34</v>
      </c>
      <c r="C43" s="1311">
        <v>0</v>
      </c>
      <c r="D43" s="1311">
        <v>0</v>
      </c>
      <c r="E43" s="1311">
        <v>0</v>
      </c>
      <c r="F43" s="1311">
        <v>0</v>
      </c>
    </row>
    <row r="44" spans="1:6">
      <c r="A44" s="1310" t="s">
        <v>31</v>
      </c>
      <c r="B44" s="1310" t="s">
        <v>35</v>
      </c>
      <c r="C44" s="1311">
        <v>12</v>
      </c>
      <c r="D44" s="1311">
        <v>280948.93880090298</v>
      </c>
      <c r="E44" s="1311">
        <v>32</v>
      </c>
      <c r="F44" s="1311">
        <v>448578.196497528</v>
      </c>
    </row>
    <row r="45" spans="1:6">
      <c r="A45" s="1310" t="s">
        <v>31</v>
      </c>
      <c r="B45" s="1310" t="s">
        <v>36</v>
      </c>
      <c r="C45" s="1311">
        <v>0</v>
      </c>
      <c r="D45" s="1311">
        <v>0</v>
      </c>
      <c r="E45" s="1311">
        <v>3</v>
      </c>
      <c r="F45" s="1311">
        <v>523243.47681728401</v>
      </c>
    </row>
    <row r="46" spans="1:6">
      <c r="A46" s="1310" t="s">
        <v>31</v>
      </c>
      <c r="B46" s="1310" t="s">
        <v>37</v>
      </c>
      <c r="C46" s="1311">
        <v>0</v>
      </c>
      <c r="D46" s="1311">
        <v>0</v>
      </c>
      <c r="E46" s="1311">
        <v>0</v>
      </c>
      <c r="F46" s="1311">
        <v>0</v>
      </c>
    </row>
    <row r="47" spans="1:6">
      <c r="A47" s="1310" t="s">
        <v>31</v>
      </c>
      <c r="B47" s="1310" t="s">
        <v>38</v>
      </c>
      <c r="C47" s="1311">
        <v>6</v>
      </c>
      <c r="D47" s="1311">
        <v>119194.63129922999</v>
      </c>
      <c r="E47" s="1311">
        <v>8</v>
      </c>
      <c r="F47" s="1311">
        <v>101139.563694531</v>
      </c>
    </row>
    <row r="48" spans="1:6">
      <c r="A48" s="1310" t="s">
        <v>31</v>
      </c>
      <c r="B48" s="1310" t="s">
        <v>28</v>
      </c>
      <c r="C48" s="1311">
        <v>4</v>
      </c>
      <c r="D48" s="1311">
        <v>182169.69866716539</v>
      </c>
      <c r="E48" s="1311">
        <v>0</v>
      </c>
      <c r="F48" s="1311">
        <v>0</v>
      </c>
    </row>
    <row r="49" spans="1:6">
      <c r="A49" s="1310" t="s">
        <v>31</v>
      </c>
      <c r="B49" s="1310" t="s">
        <v>39</v>
      </c>
      <c r="C49" s="1311">
        <v>0</v>
      </c>
      <c r="D49" s="1311">
        <v>0</v>
      </c>
      <c r="E49" s="1311">
        <v>3</v>
      </c>
      <c r="F49" s="1311">
        <v>60804.466775142399</v>
      </c>
    </row>
    <row r="50" spans="1:6">
      <c r="A50" s="1310" t="s">
        <v>31</v>
      </c>
      <c r="B50" s="1310" t="s">
        <v>40</v>
      </c>
      <c r="C50" s="1311">
        <v>12</v>
      </c>
      <c r="D50" s="1311">
        <v>7155617.62666051</v>
      </c>
      <c r="E50" s="1311">
        <v>18</v>
      </c>
      <c r="F50" s="1311">
        <v>4148688.1061463901</v>
      </c>
    </row>
    <row r="51" spans="1:6">
      <c r="A51" s="1310" t="s">
        <v>41</v>
      </c>
      <c r="B51" s="1310" t="s">
        <v>42</v>
      </c>
      <c r="C51" s="1311">
        <v>109</v>
      </c>
      <c r="D51" s="1311">
        <v>87807265.089766994</v>
      </c>
      <c r="E51" s="1311">
        <v>375</v>
      </c>
      <c r="F51" s="1311">
        <v>10545164.306561099</v>
      </c>
    </row>
    <row r="52" spans="1:6">
      <c r="A52" s="1310" t="s">
        <v>41</v>
      </c>
      <c r="B52" s="1310" t="s">
        <v>28</v>
      </c>
      <c r="C52" s="1311">
        <v>0</v>
      </c>
      <c r="D52" s="1311">
        <v>0</v>
      </c>
      <c r="E52" s="1311">
        <v>0</v>
      </c>
      <c r="F52" s="1311">
        <v>0</v>
      </c>
    </row>
    <row r="53" spans="1:6">
      <c r="A53" s="1310" t="s">
        <v>43</v>
      </c>
      <c r="B53" s="1310" t="s">
        <v>44</v>
      </c>
      <c r="C53" s="1311">
        <v>105</v>
      </c>
      <c r="D53" s="1311">
        <v>1692474.01664874</v>
      </c>
      <c r="E53" s="1311">
        <v>292</v>
      </c>
      <c r="F53" s="1311">
        <v>1132274.45560739</v>
      </c>
    </row>
    <row r="54" spans="1:6">
      <c r="A54" s="1310" t="s">
        <v>45</v>
      </c>
      <c r="B54" s="1310" t="s">
        <v>46</v>
      </c>
      <c r="C54" s="1311">
        <v>0</v>
      </c>
      <c r="D54" s="1311">
        <v>0</v>
      </c>
      <c r="E54" s="1311">
        <v>2</v>
      </c>
      <c r="F54" s="1311">
        <v>1537370</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95</v>
      </c>
      <c r="D57" s="1311">
        <v>6998420.8393202601</v>
      </c>
      <c r="E57" s="1311">
        <v>185</v>
      </c>
      <c r="F57" s="1311">
        <v>2786667.3162666401</v>
      </c>
    </row>
    <row r="58" spans="1:6">
      <c r="A58" s="1310" t="s">
        <v>48</v>
      </c>
      <c r="B58" s="1310" t="s">
        <v>50</v>
      </c>
      <c r="C58" s="1311">
        <v>56</v>
      </c>
      <c r="D58" s="1311">
        <v>4637232.9761850098</v>
      </c>
      <c r="E58" s="1311">
        <v>73</v>
      </c>
      <c r="F58" s="1311">
        <v>1731462.0911476901</v>
      </c>
    </row>
    <row r="59" spans="1:6">
      <c r="A59" s="1310" t="s">
        <v>48</v>
      </c>
      <c r="B59" s="1310" t="s">
        <v>51</v>
      </c>
      <c r="C59" s="1311">
        <v>184</v>
      </c>
      <c r="D59" s="1311">
        <v>12670487.076815801</v>
      </c>
      <c r="E59" s="1311">
        <v>327</v>
      </c>
      <c r="F59" s="1311">
        <v>11067719.4715253</v>
      </c>
    </row>
    <row r="60" spans="1:6">
      <c r="A60" s="1310" t="s">
        <v>48</v>
      </c>
      <c r="B60" s="1310" t="s">
        <v>52</v>
      </c>
      <c r="C60" s="1311">
        <v>85</v>
      </c>
      <c r="D60" s="1311">
        <v>4983293.4686110904</v>
      </c>
      <c r="E60" s="1311">
        <v>106</v>
      </c>
      <c r="F60" s="1311">
        <v>3541088.1768524498</v>
      </c>
    </row>
    <row r="61" spans="1:6">
      <c r="A61" s="1310" t="s">
        <v>48</v>
      </c>
      <c r="B61" s="1310" t="s">
        <v>53</v>
      </c>
      <c r="C61" s="1311">
        <v>238</v>
      </c>
      <c r="D61" s="1311">
        <v>5901914.6702792495</v>
      </c>
      <c r="E61" s="1311">
        <v>441</v>
      </c>
      <c r="F61" s="1311">
        <v>5546506.4683525302</v>
      </c>
    </row>
    <row r="62" spans="1:6">
      <c r="A62" s="1310" t="s">
        <v>48</v>
      </c>
      <c r="B62" s="1310" t="s">
        <v>54</v>
      </c>
      <c r="C62" s="1311">
        <v>12</v>
      </c>
      <c r="D62" s="1311">
        <v>496411.74586102902</v>
      </c>
      <c r="E62" s="1311">
        <v>18</v>
      </c>
      <c r="F62" s="1311">
        <v>239104.647190549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21720.018642352901</v>
      </c>
      <c r="E65" s="1311">
        <v>1</v>
      </c>
      <c r="F65" s="1311">
        <v>4443.6285929868</v>
      </c>
    </row>
    <row r="66" spans="1:6">
      <c r="A66" s="1310" t="s">
        <v>55</v>
      </c>
      <c r="B66" s="1310" t="s">
        <v>57</v>
      </c>
      <c r="C66" s="1311">
        <v>0</v>
      </c>
      <c r="D66" s="1311">
        <v>0</v>
      </c>
      <c r="E66" s="1311">
        <v>12</v>
      </c>
      <c r="F66" s="1311">
        <v>390733.74632106198</v>
      </c>
    </row>
    <row r="67" spans="1:6">
      <c r="A67" s="1310" t="s">
        <v>55</v>
      </c>
      <c r="B67" s="1310" t="s">
        <v>58</v>
      </c>
      <c r="C67" s="1311">
        <v>0</v>
      </c>
      <c r="D67" s="1311">
        <v>0</v>
      </c>
      <c r="E67" s="1311">
        <v>0</v>
      </c>
      <c r="F67" s="1311">
        <v>0</v>
      </c>
    </row>
    <row r="68" spans="1:6">
      <c r="A68" s="1305" t="s">
        <v>55</v>
      </c>
      <c r="B68" s="1305" t="s">
        <v>59</v>
      </c>
      <c r="C68" s="1313">
        <v>10</v>
      </c>
      <c r="D68" s="1313">
        <v>290137.91424493899</v>
      </c>
      <c r="E68" s="1313">
        <v>29</v>
      </c>
      <c r="F68" s="1313">
        <v>298042.47637666098</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66384647</v>
      </c>
      <c r="E73" s="445"/>
      <c r="F73" s="326"/>
    </row>
    <row r="74" spans="1:6">
      <c r="A74" s="1310" t="s">
        <v>63</v>
      </c>
      <c r="B74" s="1310" t="s">
        <v>632</v>
      </c>
      <c r="C74" s="1323" t="s">
        <v>634</v>
      </c>
      <c r="D74" s="1311">
        <v>8153878.8218876207</v>
      </c>
      <c r="E74" s="445"/>
      <c r="F74" s="326"/>
    </row>
    <row r="75" spans="1:6">
      <c r="A75" s="1310" t="s">
        <v>64</v>
      </c>
      <c r="B75" s="1310" t="s">
        <v>631</v>
      </c>
      <c r="C75" s="1323" t="s">
        <v>635</v>
      </c>
      <c r="D75" s="1311">
        <v>30794973</v>
      </c>
      <c r="E75" s="445"/>
      <c r="F75" s="326"/>
    </row>
    <row r="76" spans="1:6">
      <c r="A76" s="1310" t="s">
        <v>64</v>
      </c>
      <c r="B76" s="1310" t="s">
        <v>632</v>
      </c>
      <c r="C76" s="1323" t="s">
        <v>636</v>
      </c>
      <c r="D76" s="1311">
        <v>1526485.821887621</v>
      </c>
      <c r="E76" s="445"/>
      <c r="F76" s="326"/>
    </row>
    <row r="77" spans="1:6">
      <c r="A77" s="1310" t="s">
        <v>65</v>
      </c>
      <c r="B77" s="1310" t="s">
        <v>631</v>
      </c>
      <c r="C77" s="1323" t="s">
        <v>637</v>
      </c>
      <c r="D77" s="1311">
        <v>151970177</v>
      </c>
      <c r="E77" s="445"/>
      <c r="F77" s="326"/>
    </row>
    <row r="78" spans="1:6">
      <c r="A78" s="1305" t="s">
        <v>65</v>
      </c>
      <c r="B78" s="1305" t="s">
        <v>632</v>
      </c>
      <c r="C78" s="1305" t="s">
        <v>638</v>
      </c>
      <c r="D78" s="1313">
        <v>36558240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556096.35622475797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18237.073629663271</v>
      </c>
      <c r="C90" s="326"/>
      <c r="D90" s="326"/>
      <c r="E90" s="326"/>
      <c r="F90" s="326"/>
    </row>
    <row r="91" spans="1:6">
      <c r="A91" s="1310" t="s">
        <v>67</v>
      </c>
      <c r="B91" s="1311">
        <v>9152.0783213619798</v>
      </c>
      <c r="C91" s="326"/>
      <c r="D91" s="326"/>
      <c r="E91" s="326"/>
      <c r="F91" s="326"/>
    </row>
    <row r="92" spans="1:6">
      <c r="A92" s="1305" t="s">
        <v>68</v>
      </c>
      <c r="B92" s="1306">
        <v>1202.4591645105236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1839</v>
      </c>
      <c r="C97" s="326"/>
      <c r="D97" s="326"/>
      <c r="E97" s="326"/>
      <c r="F97" s="326"/>
    </row>
    <row r="98" spans="1:6">
      <c r="A98" s="1310" t="s">
        <v>71</v>
      </c>
      <c r="B98" s="1311">
        <v>1</v>
      </c>
      <c r="C98" s="326"/>
      <c r="D98" s="326"/>
      <c r="E98" s="326"/>
      <c r="F98" s="326"/>
    </row>
    <row r="99" spans="1:6">
      <c r="A99" s="1310" t="s">
        <v>72</v>
      </c>
      <c r="B99" s="1311">
        <v>88</v>
      </c>
      <c r="C99" s="326"/>
      <c r="D99" s="326"/>
      <c r="E99" s="326"/>
      <c r="F99" s="326"/>
    </row>
    <row r="100" spans="1:6">
      <c r="A100" s="1310" t="s">
        <v>73</v>
      </c>
      <c r="B100" s="1311">
        <v>900</v>
      </c>
      <c r="C100" s="326"/>
      <c r="D100" s="326"/>
      <c r="E100" s="326"/>
      <c r="F100" s="326"/>
    </row>
    <row r="101" spans="1:6">
      <c r="A101" s="1310" t="s">
        <v>74</v>
      </c>
      <c r="B101" s="1311">
        <v>104</v>
      </c>
      <c r="C101" s="326"/>
      <c r="D101" s="326"/>
      <c r="E101" s="326"/>
      <c r="F101" s="326"/>
    </row>
    <row r="102" spans="1:6">
      <c r="A102" s="1310" t="s">
        <v>75</v>
      </c>
      <c r="B102" s="1311">
        <v>110</v>
      </c>
      <c r="C102" s="326"/>
      <c r="D102" s="326"/>
      <c r="E102" s="326"/>
      <c r="F102" s="326"/>
    </row>
    <row r="103" spans="1:6">
      <c r="A103" s="1310" t="s">
        <v>76</v>
      </c>
      <c r="B103" s="1311">
        <v>301</v>
      </c>
      <c r="C103" s="326"/>
      <c r="D103" s="326"/>
      <c r="E103" s="326"/>
      <c r="F103" s="326"/>
    </row>
    <row r="104" spans="1:6">
      <c r="A104" s="1310" t="s">
        <v>77</v>
      </c>
      <c r="B104" s="1311">
        <v>3609</v>
      </c>
      <c r="C104" s="326"/>
      <c r="D104" s="326"/>
      <c r="E104" s="326"/>
      <c r="F104" s="326"/>
    </row>
    <row r="105" spans="1:6">
      <c r="A105" s="1305" t="s">
        <v>78</v>
      </c>
      <c r="B105" s="1313">
        <v>12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1</v>
      </c>
      <c r="C122" s="1311">
        <v>0</v>
      </c>
      <c r="D122" s="326"/>
      <c r="E122" s="326"/>
      <c r="F122" s="326"/>
    </row>
    <row r="123" spans="1:6">
      <c r="A123" s="1310" t="s">
        <v>87</v>
      </c>
      <c r="B123" s="1311">
        <v>128</v>
      </c>
      <c r="C123" s="1311">
        <v>117</v>
      </c>
      <c r="D123" s="326"/>
      <c r="E123" s="326"/>
      <c r="F123" s="326"/>
    </row>
    <row r="124" spans="1:6">
      <c r="A124" s="1310" t="s">
        <v>88</v>
      </c>
      <c r="B124" s="1311">
        <v>8</v>
      </c>
      <c r="C124" s="1311">
        <v>3</v>
      </c>
      <c r="D124" s="326"/>
      <c r="E124" s="326"/>
      <c r="F124" s="326"/>
    </row>
    <row r="125" spans="1:6">
      <c r="A125" s="1305" t="s">
        <v>780</v>
      </c>
      <c r="B125" s="1311">
        <v>2</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285</v>
      </c>
      <c r="C129" s="326"/>
      <c r="D129" s="326"/>
      <c r="E129" s="326"/>
      <c r="F129" s="326"/>
    </row>
    <row r="130" spans="1:6">
      <c r="A130" s="1310" t="s">
        <v>284</v>
      </c>
      <c r="B130" s="1311">
        <v>2</v>
      </c>
      <c r="C130" s="326"/>
      <c r="D130" s="326"/>
      <c r="E130" s="326"/>
      <c r="F130" s="326"/>
    </row>
    <row r="131" spans="1:6">
      <c r="A131" s="1310" t="s">
        <v>285</v>
      </c>
      <c r="B131" s="1311">
        <v>1</v>
      </c>
      <c r="C131" s="326"/>
      <c r="D131" s="326"/>
      <c r="E131" s="326"/>
      <c r="F131" s="326"/>
    </row>
    <row r="132" spans="1:6">
      <c r="A132" s="1305" t="s">
        <v>286</v>
      </c>
      <c r="B132" s="1306">
        <v>48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88043.105339187983</v>
      </c>
      <c r="C3" s="43" t="s">
        <v>163</v>
      </c>
      <c r="D3" s="43"/>
      <c r="E3" s="154"/>
      <c r="F3" s="43"/>
      <c r="G3" s="43"/>
      <c r="H3" s="43"/>
      <c r="I3" s="43"/>
      <c r="J3" s="43"/>
      <c r="K3" s="96"/>
    </row>
    <row r="4" spans="1:11">
      <c r="A4" s="352" t="s">
        <v>164</v>
      </c>
      <c r="B4" s="49">
        <f>IF(ISERROR('SEAP template'!B78+'SEAP template'!C78),0,'SEAP template'!B78+'SEAP template'!C78)</f>
        <v>38026.761115535774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2231.8623529411771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0.15089738572016215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3188.3747899159666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13478.785714285714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0.23654762806539131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1537.37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1537.37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0.15089738572016215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231.98511388460565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31387.2961491797</v>
      </c>
      <c r="C5" s="17">
        <f>IF(ISERROR('Eigen informatie GS &amp; warmtenet'!B59),0,'Eigen informatie GS &amp; warmtenet'!B59)</f>
        <v>0</v>
      </c>
      <c r="D5" s="30">
        <f>(SUM(HH_hh_gas_kWh,HH_rest_gas_kWh)/1000)*0.903</f>
        <v>75506.164030138287</v>
      </c>
      <c r="E5" s="17">
        <f>B32*B41</f>
        <v>2117.3396840958121</v>
      </c>
      <c r="F5" s="17">
        <f>B36*B45</f>
        <v>46383.724693655626</v>
      </c>
      <c r="G5" s="18"/>
      <c r="H5" s="17"/>
      <c r="I5" s="17"/>
      <c r="J5" s="17">
        <f>B35*B44+C35*C44</f>
        <v>264.34592019143469</v>
      </c>
      <c r="K5" s="17"/>
      <c r="L5" s="17"/>
      <c r="M5" s="17"/>
      <c r="N5" s="17">
        <f>B34*B43+C34*C43</f>
        <v>11865.551152532646</v>
      </c>
      <c r="O5" s="17">
        <f>B52*B53*B54</f>
        <v>803.50307885174777</v>
      </c>
      <c r="P5" s="17">
        <f>B60*B61*B62/1000-B60*B61*B62/1000/B63</f>
        <v>1938.2485126140441</v>
      </c>
    </row>
    <row r="6" spans="1:16">
      <c r="A6" s="16" t="s">
        <v>597</v>
      </c>
      <c r="B6" s="778">
        <f>kWh_PV_kleiner_dan_10kW</f>
        <v>9152.0783213619798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40539.374470541676</v>
      </c>
      <c r="C8" s="21">
        <f>C5</f>
        <v>0</v>
      </c>
      <c r="D8" s="21">
        <f>D5</f>
        <v>75506.164030138287</v>
      </c>
      <c r="E8" s="21">
        <f>E5</f>
        <v>2117.3396840958121</v>
      </c>
      <c r="F8" s="21">
        <f>F5</f>
        <v>46383.724693655626</v>
      </c>
      <c r="G8" s="21"/>
      <c r="H8" s="21"/>
      <c r="I8" s="21"/>
      <c r="J8" s="21">
        <f>J5</f>
        <v>264.34592019143469</v>
      </c>
      <c r="K8" s="21"/>
      <c r="L8" s="21">
        <f>L5</f>
        <v>0</v>
      </c>
      <c r="M8" s="21">
        <f>M5</f>
        <v>0</v>
      </c>
      <c r="N8" s="21">
        <f>N5</f>
        <v>11865.551152532646</v>
      </c>
      <c r="O8" s="21">
        <f>O5</f>
        <v>803.50307885174777</v>
      </c>
      <c r="P8" s="21">
        <f>P5</f>
        <v>1938.2485126140441</v>
      </c>
    </row>
    <row r="9" spans="1:16">
      <c r="B9" s="19"/>
      <c r="C9" s="19"/>
      <c r="D9" s="254"/>
      <c r="E9" s="19"/>
      <c r="F9" s="19"/>
      <c r="G9" s="19"/>
      <c r="H9" s="19"/>
      <c r="I9" s="19"/>
      <c r="J9" s="19"/>
      <c r="K9" s="19"/>
      <c r="L9" s="19"/>
      <c r="M9" s="19"/>
      <c r="N9" s="19"/>
      <c r="O9" s="19"/>
      <c r="P9" s="19"/>
    </row>
    <row r="10" spans="1:16">
      <c r="A10" s="24" t="s">
        <v>207</v>
      </c>
      <c r="B10" s="25">
        <f ca="1">'EF ele_warmte'!B12</f>
        <v>0.15089738572016215</v>
      </c>
      <c r="C10" s="25">
        <f ca="1">'EF ele_warmte'!B22</f>
        <v>0.23654762806539131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6117.2856263354215</v>
      </c>
      <c r="C12" s="23">
        <f ca="1">C10*C8</f>
        <v>0</v>
      </c>
      <c r="D12" s="23">
        <f>D8*D10</f>
        <v>15252.245134087934</v>
      </c>
      <c r="E12" s="23">
        <f>E10*E8</f>
        <v>480.63610828974936</v>
      </c>
      <c r="F12" s="23">
        <f>F10*F8</f>
        <v>12384.454493206053</v>
      </c>
      <c r="G12" s="23"/>
      <c r="H12" s="23"/>
      <c r="I12" s="23"/>
      <c r="J12" s="23">
        <f>J10*J8</f>
        <v>93.578455747767876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8984</v>
      </c>
      <c r="C26" s="36"/>
      <c r="D26" s="225"/>
    </row>
    <row r="27" spans="1:5" s="15" customFormat="1">
      <c r="A27" s="227" t="s">
        <v>860</v>
      </c>
      <c r="B27" s="37">
        <f>SUM(HH_hh_gas_aantal,HH_rest_gas_aantal)</f>
        <v>5752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5464.4</v>
      </c>
      <c r="C31" s="34" t="s">
        <v>104</v>
      </c>
      <c r="D31" s="171"/>
    </row>
    <row r="32" spans="1:5">
      <c r="A32" s="168" t="s">
        <v>72</v>
      </c>
      <c r="B32" s="33">
        <f>IF((B21*($B$26-($B$27-0.05*$B$27)-$B$60))&lt;0,0,(B21*($B$26-($B$27-0.05*$B$27)-$B$60)))</f>
        <v>52.953312763488583</v>
      </c>
      <c r="C32" s="34" t="s">
        <v>104</v>
      </c>
      <c r="D32" s="171"/>
    </row>
    <row r="33" spans="1:6">
      <c r="A33" s="168" t="s">
        <v>73</v>
      </c>
      <c r="B33" s="33">
        <f>IF((B22*($B$26-($B$27-0.05*$B$27)-$B$60))&lt;0,0,B22*($B$26-($B$27-0.05*$B$27)-$B$60))</f>
        <v>859.85692409202818</v>
      </c>
      <c r="C33" s="34" t="s">
        <v>104</v>
      </c>
      <c r="D33" s="171"/>
    </row>
    <row r="34" spans="1:6">
      <c r="A34" s="168" t="s">
        <v>74</v>
      </c>
      <c r="B34" s="33">
        <f>IF((B24*($B$26-($B$27-0.05*$B$27)-$B$60))&lt;0,0,B24*($B$26-($B$27-0.05*$B$27)-$B$60))</f>
        <v>164.84607935285609</v>
      </c>
      <c r="C34" s="33">
        <f>B26*C24</f>
        <v>1840.8749632219929</v>
      </c>
      <c r="D34" s="230"/>
    </row>
    <row r="35" spans="1:6">
      <c r="A35" s="168" t="s">
        <v>76</v>
      </c>
      <c r="B35" s="33">
        <f>IF((B19*($B$26-($B$27-0.05*$B$27)-$B$60))&lt;0,0,B19*($B$26-($B$27-0.05*$B$27)-$B$60))</f>
        <v>23.018678814135381</v>
      </c>
      <c r="C35" s="33">
        <f>B35/2</f>
        <v>11.50933940706769</v>
      </c>
      <c r="D35" s="230"/>
    </row>
    <row r="36" spans="1:6">
      <c r="A36" s="168" t="s">
        <v>77</v>
      </c>
      <c r="B36" s="33">
        <f>IF((B18*($B$26-($B$27-0.05*$B$27)-$B$60))&lt;0,0,B18*($B$26-($B$27-0.05*$B$27)-$B$60))</f>
        <v>2234.9250049774914</v>
      </c>
      <c r="C36" s="34" t="s">
        <v>104</v>
      </c>
      <c r="D36" s="171"/>
    </row>
    <row r="37" spans="1:6">
      <c r="A37" s="168" t="s">
        <v>78</v>
      </c>
      <c r="B37" s="33">
        <f>B60</f>
        <v>184</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405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184</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24912.548171335162</v>
      </c>
      <c r="C5" s="17">
        <f>IF(ISERROR('Eigen informatie GS &amp; warmtenet'!B60),0,'Eigen informatie GS &amp; warmtenet'!B60)</f>
        <v>0</v>
      </c>
      <c r="D5" s="30">
        <f>SUM(D6:D12)</f>
        <v>32226.047981696414</v>
      </c>
      <c r="E5" s="17">
        <f>SUM(E6:E12)</f>
        <v>125.92041561079503</v>
      </c>
      <c r="F5" s="17">
        <f>SUM(F6:F12)</f>
        <v>4592.797079152625</v>
      </c>
      <c r="G5" s="18"/>
      <c r="H5" s="17"/>
      <c r="I5" s="17"/>
      <c r="J5" s="17">
        <f>SUM(J6:J12)</f>
        <v>2.81848328713134E-2</v>
      </c>
      <c r="K5" s="17"/>
      <c r="L5" s="17"/>
      <c r="M5" s="17"/>
      <c r="N5" s="17">
        <f>SUM(N6:N12)</f>
        <v>1091.683086683124</v>
      </c>
      <c r="O5" s="17">
        <f>B38*B39*B40</f>
        <v>9.7945215316823084</v>
      </c>
      <c r="P5" s="17">
        <f>B46*B47*B48/1000-B46*B47*B48/1000/B49</f>
        <v>262.69569153247511</v>
      </c>
      <c r="R5" s="32"/>
    </row>
    <row r="6" spans="1:18">
      <c r="A6" s="32" t="s">
        <v>53</v>
      </c>
      <c r="B6" s="37">
        <f>B26</f>
        <v>5546.5064683525297</v>
      </c>
      <c r="C6" s="33"/>
      <c r="D6" s="37">
        <f>IF(ISERROR(TER_kantoor_gas_kWh/1000),0,TER_kantoor_gas_kWh/1000)*0.903</f>
        <v>5329.4289472621622</v>
      </c>
      <c r="E6" s="33">
        <f>$C$26*'E Balans VL '!I12/100/3.6*1000000</f>
        <v>1.3215690099178039</v>
      </c>
      <c r="F6" s="33">
        <f>$C$26*('E Balans VL '!L12+'E Balans VL '!N12)/100/3.6*1000000</f>
        <v>481.76842117993084</v>
      </c>
      <c r="G6" s="34"/>
      <c r="H6" s="33"/>
      <c r="I6" s="33"/>
      <c r="J6" s="33">
        <f>$C$26*('E Balans VL '!D12+'E Balans VL '!E12)/100/3.6*1000000</f>
        <v>0</v>
      </c>
      <c r="K6" s="33"/>
      <c r="L6" s="33"/>
      <c r="M6" s="33"/>
      <c r="N6" s="33">
        <f>$C$26*'E Balans VL '!Y12/100/3.6*1000000</f>
        <v>7.4136818523121164</v>
      </c>
      <c r="O6" s="33"/>
      <c r="P6" s="33"/>
      <c r="R6" s="32"/>
    </row>
    <row r="7" spans="1:18">
      <c r="A7" s="32" t="s">
        <v>52</v>
      </c>
      <c r="B7" s="37">
        <f t="shared" ref="B7:B12" si="0">B27</f>
        <v>3541.0881768524496</v>
      </c>
      <c r="C7" s="33"/>
      <c r="D7" s="37">
        <f>IF(ISERROR(TER_horeca_gas_kWh/1000),0,TER_horeca_gas_kWh/1000)*0.903</f>
        <v>4499.9140021558151</v>
      </c>
      <c r="E7" s="33">
        <f>$C$27*'E Balans VL '!I9/100/3.6*1000000</f>
        <v>0</v>
      </c>
      <c r="F7" s="33">
        <f>$C$27*('E Balans VL '!L9+'E Balans VL '!N9)/100/3.6*1000000</f>
        <v>288.5346018717425</v>
      </c>
      <c r="G7" s="34"/>
      <c r="H7" s="33"/>
      <c r="I7" s="33"/>
      <c r="J7" s="33">
        <f>$C$27*('E Balans VL '!D9+'E Balans VL '!E9)/100/3.6*1000000</f>
        <v>0</v>
      </c>
      <c r="K7" s="33"/>
      <c r="L7" s="33"/>
      <c r="M7" s="33"/>
      <c r="N7" s="33">
        <f>$C$27*'E Balans VL '!Y9/100/3.6*1000000</f>
        <v>0.98081549930742296</v>
      </c>
      <c r="O7" s="33"/>
      <c r="P7" s="33"/>
      <c r="R7" s="32"/>
    </row>
    <row r="8" spans="1:18">
      <c r="A8" s="6" t="s">
        <v>51</v>
      </c>
      <c r="B8" s="37">
        <f t="shared" si="0"/>
        <v>11067.719471525301</v>
      </c>
      <c r="C8" s="33"/>
      <c r="D8" s="37">
        <f>IF(ISERROR(TER_handel_gas_kWh/1000),0,TER_handel_gas_kWh/1000)*0.903</f>
        <v>11441.449830364669</v>
      </c>
      <c r="E8" s="33">
        <f>$C$28*'E Balans VL '!I13/100/3.6*1000000</f>
        <v>88.471083941010093</v>
      </c>
      <c r="F8" s="33">
        <f>$C$28*('E Balans VL '!L13+'E Balans VL '!N13)/100/3.6*1000000</f>
        <v>1099.5091285376241</v>
      </c>
      <c r="G8" s="34"/>
      <c r="H8" s="33"/>
      <c r="I8" s="33"/>
      <c r="J8" s="33">
        <f>$C$28*('E Balans VL '!D13+'E Balans VL '!E13)/100/3.6*1000000</f>
        <v>0</v>
      </c>
      <c r="K8" s="33"/>
      <c r="L8" s="33"/>
      <c r="M8" s="33"/>
      <c r="N8" s="33">
        <f>$C$28*'E Balans VL '!Y13/100/3.6*1000000</f>
        <v>4.1344520171293109</v>
      </c>
      <c r="O8" s="33"/>
      <c r="P8" s="33"/>
      <c r="R8" s="32"/>
    </row>
    <row r="9" spans="1:18">
      <c r="A9" s="32" t="s">
        <v>50</v>
      </c>
      <c r="B9" s="37">
        <f t="shared" si="0"/>
        <v>1731.46209114769</v>
      </c>
      <c r="C9" s="33"/>
      <c r="D9" s="37">
        <f>IF(ISERROR(TER_gezond_gas_kWh/1000),0,TER_gezond_gas_kWh/1000)*0.903</f>
        <v>4187.421377495064</v>
      </c>
      <c r="E9" s="33">
        <f>$C$29*'E Balans VL '!I10/100/3.6*1000000</f>
        <v>0</v>
      </c>
      <c r="F9" s="33">
        <f>$C$29*('E Balans VL '!L10+'E Balans VL '!N10)/100/3.6*1000000</f>
        <v>157.8509849891166</v>
      </c>
      <c r="G9" s="34"/>
      <c r="H9" s="33"/>
      <c r="I9" s="33"/>
      <c r="J9" s="33">
        <f>$C$29*('E Balans VL '!D10+'E Balans VL '!E10)/100/3.6*1000000</f>
        <v>0</v>
      </c>
      <c r="K9" s="33"/>
      <c r="L9" s="33"/>
      <c r="M9" s="33"/>
      <c r="N9" s="33">
        <f>$C$29*'E Balans VL '!Y10/100/3.6*1000000</f>
        <v>12.655436219146274</v>
      </c>
      <c r="O9" s="33"/>
      <c r="P9" s="33"/>
      <c r="R9" s="32"/>
    </row>
    <row r="10" spans="1:18">
      <c r="A10" s="32" t="s">
        <v>49</v>
      </c>
      <c r="B10" s="37">
        <f t="shared" si="0"/>
        <v>2786.6673162666402</v>
      </c>
      <c r="C10" s="33"/>
      <c r="D10" s="37">
        <f>IF(ISERROR(TER_ander_gas_kWh/1000),0,TER_ander_gas_kWh/1000)*0.903</f>
        <v>6319.574017906195</v>
      </c>
      <c r="E10" s="33">
        <f>$C$30*'E Balans VL '!I14/100/3.6*1000000</f>
        <v>36.127762659867123</v>
      </c>
      <c r="F10" s="33">
        <f>$C$30*('E Balans VL '!L14+'E Balans VL '!N14)/100/3.6*1000000</f>
        <v>2555.7651845365626</v>
      </c>
      <c r="G10" s="34"/>
      <c r="H10" s="33"/>
      <c r="I10" s="33"/>
      <c r="J10" s="33">
        <f>$C$30*('E Balans VL '!D14+'E Balans VL '!E14)/100/3.6*1000000</f>
        <v>2.81848328713134E-2</v>
      </c>
      <c r="K10" s="33"/>
      <c r="L10" s="33"/>
      <c r="M10" s="33"/>
      <c r="N10" s="33">
        <f>$C$30*'E Balans VL '!Y14/100/3.6*1000000</f>
        <v>1065.7457014849649</v>
      </c>
      <c r="O10" s="33"/>
      <c r="P10" s="33"/>
      <c r="R10" s="32"/>
    </row>
    <row r="11" spans="1:18">
      <c r="A11" s="32" t="s">
        <v>54</v>
      </c>
      <c r="B11" s="37">
        <f t="shared" si="0"/>
        <v>239.104647190549</v>
      </c>
      <c r="C11" s="33"/>
      <c r="D11" s="37">
        <f>IF(ISERROR(TER_onderwijs_gas_kWh/1000),0,TER_onderwijs_gas_kWh/1000)*0.903</f>
        <v>448.25980651250921</v>
      </c>
      <c r="E11" s="33">
        <f>$C$31*'E Balans VL '!I11/100/3.6*1000000</f>
        <v>0</v>
      </c>
      <c r="F11" s="33">
        <f>$C$31*('E Balans VL '!L11+'E Balans VL '!N11)/100/3.6*1000000</f>
        <v>9.3687580376482309</v>
      </c>
      <c r="G11" s="34"/>
      <c r="H11" s="33"/>
      <c r="I11" s="33"/>
      <c r="J11" s="33">
        <f>$C$31*('E Balans VL '!D11+'E Balans VL '!E11)/100/3.6*1000000</f>
        <v>0</v>
      </c>
      <c r="K11" s="33"/>
      <c r="L11" s="33"/>
      <c r="M11" s="33"/>
      <c r="N11" s="33">
        <f>$C$31*'E Balans VL '!Y11/100/3.6*1000000</f>
        <v>0.75299961026402462</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energieproductie'!N42+'lokale energieproductie'!N35</f>
        <v>135</v>
      </c>
      <c r="C13" s="243">
        <f ca="1">'lokale energieproductie'!O42+'lokale energieproductie'!O35</f>
        <v>192.85714285714286</v>
      </c>
      <c r="D13" s="304">
        <f ca="1">('lokale energieproductie'!P35+'lokale energieproductie'!P42)*(-1)</f>
        <v>-385.71428571428572</v>
      </c>
      <c r="E13" s="244"/>
      <c r="F13" s="304">
        <f ca="1">('lokale energieproductie'!S35+'lokale energieproductie'!S42)*(-1)</f>
        <v>0</v>
      </c>
      <c r="G13" s="245"/>
      <c r="H13" s="244"/>
      <c r="I13" s="244"/>
      <c r="J13" s="244"/>
      <c r="K13" s="244"/>
      <c r="L13" s="304">
        <f ca="1">('lokale energieproductie'!U35+'lokale energieproductie'!T35+'lokale energieproductie'!U42+'lokale energieproductie'!T42)*(-1)</f>
        <v>0</v>
      </c>
      <c r="M13" s="244"/>
      <c r="N13" s="304">
        <f ca="1">('lokale energieproductie'!Q35+'lokale energieproductie'!R35+'lokale energieproductie'!V35+'lokale energieproductie'!Q42+'lokale energieproductie'!R42+'lokale energieproductie'!V42)*(-1)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25047.548171335162</v>
      </c>
      <c r="C16" s="21">
        <f t="shared" ca="1" si="1"/>
        <v>192.85714285714286</v>
      </c>
      <c r="D16" s="21">
        <f t="shared" ca="1" si="1"/>
        <v>31840.333695982128</v>
      </c>
      <c r="E16" s="21">
        <f t="shared" si="1"/>
        <v>125.92041561079503</v>
      </c>
      <c r="F16" s="21">
        <f t="shared" ca="1" si="1"/>
        <v>4592.797079152625</v>
      </c>
      <c r="G16" s="21">
        <f t="shared" si="1"/>
        <v>0</v>
      </c>
      <c r="H16" s="21">
        <f t="shared" si="1"/>
        <v>0</v>
      </c>
      <c r="I16" s="21">
        <f t="shared" si="1"/>
        <v>0</v>
      </c>
      <c r="J16" s="21">
        <f t="shared" si="1"/>
        <v>2.81848328713134E-2</v>
      </c>
      <c r="K16" s="21">
        <f t="shared" si="1"/>
        <v>0</v>
      </c>
      <c r="L16" s="21">
        <f t="shared" ca="1" si="1"/>
        <v>0</v>
      </c>
      <c r="M16" s="21">
        <f t="shared" si="1"/>
        <v>0</v>
      </c>
      <c r="N16" s="21">
        <f t="shared" ca="1" si="1"/>
        <v>1091.683086683124</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0.15089738572016215</v>
      </c>
      <c r="C18" s="25">
        <f ca="1">'EF ele_warmte'!B22</f>
        <v>0.23654762806539131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3779.6095377543038</v>
      </c>
      <c r="C20" s="23">
        <f t="shared" ref="C20:P20" ca="1" si="2">C16*C18</f>
        <v>45.619899698325469</v>
      </c>
      <c r="D20" s="23">
        <f t="shared" ca="1" si="2"/>
        <v>6431.7474065883907</v>
      </c>
      <c r="E20" s="23">
        <f t="shared" si="2"/>
        <v>28.583934343650473</v>
      </c>
      <c r="F20" s="23">
        <f t="shared" ca="1" si="2"/>
        <v>1226.276820133751</v>
      </c>
      <c r="G20" s="23">
        <f t="shared" si="2"/>
        <v>0</v>
      </c>
      <c r="H20" s="23">
        <f t="shared" si="2"/>
        <v>0</v>
      </c>
      <c r="I20" s="23">
        <f t="shared" si="2"/>
        <v>0</v>
      </c>
      <c r="J20" s="23">
        <f t="shared" si="2"/>
        <v>9.9774308364449435E-3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5546.5064683525297</v>
      </c>
      <c r="C26" s="39">
        <f>IF(ISERROR(B26*3.6/1000000/'E Balans VL '!Z12*100),0,B26*3.6/1000000/'E Balans VL '!Z12*100)</f>
        <v>0.15912874862245302</v>
      </c>
      <c r="D26" s="233" t="s">
        <v>835</v>
      </c>
      <c r="F26" s="6"/>
    </row>
    <row r="27" spans="1:18" ht="30">
      <c r="A27" s="228" t="s">
        <v>52</v>
      </c>
      <c r="B27" s="33">
        <f>IF(ISERROR(TER_horeca_ele_kWh/1000),0,TER_horeca_ele_kWh/1000)</f>
        <v>3541.0881768524496</v>
      </c>
      <c r="C27" s="39">
        <f>IF(ISERROR(B27*3.6/1000000/'E Balans VL '!Z9*100),0,B27*3.6/1000000/'E Balans VL '!Z9*100)</f>
        <v>0.25942137350734629</v>
      </c>
      <c r="D27" s="233" t="s">
        <v>835</v>
      </c>
      <c r="F27" s="6"/>
    </row>
    <row r="28" spans="1:18" ht="30">
      <c r="A28" s="168" t="s">
        <v>51</v>
      </c>
      <c r="B28" s="33">
        <f>IF(ISERROR(TER_handel_ele_kWh/1000),0,TER_handel_ele_kWh/1000)</f>
        <v>11067.719471525301</v>
      </c>
      <c r="C28" s="39">
        <f>IF(ISERROR(B28*3.6/1000000/'E Balans VL '!Z13*100),0,B28*3.6/1000000/'E Balans VL '!Z13*100)</f>
        <v>0.34200186675291422</v>
      </c>
      <c r="D28" s="233" t="s">
        <v>835</v>
      </c>
      <c r="F28" s="6"/>
    </row>
    <row r="29" spans="1:18" ht="30">
      <c r="A29" s="228" t="s">
        <v>50</v>
      </c>
      <c r="B29" s="33">
        <f>IF(ISERROR(TER_gezond_ele_kWh/1000),0,TER_gezond_ele_kWh/1000)</f>
        <v>1731.46209114769</v>
      </c>
      <c r="C29" s="39">
        <f>IF(ISERROR(B29*3.6/1000000/'E Balans VL '!Z10*100),0,B29*3.6/1000000/'E Balans VL '!Z10*100)</f>
        <v>0.16969393161495414</v>
      </c>
      <c r="D29" s="233" t="s">
        <v>835</v>
      </c>
      <c r="F29" s="6"/>
    </row>
    <row r="30" spans="1:18" ht="30">
      <c r="A30" s="228" t="s">
        <v>49</v>
      </c>
      <c r="B30" s="33">
        <f>IF(ISERROR(TER_ander_ele_kWh/1000),0,TER_ander_ele_kWh/1000)</f>
        <v>2786.6673162666402</v>
      </c>
      <c r="C30" s="39">
        <f>IF(ISERROR(B30*3.6/1000000/'E Balans VL '!Z14*100),0,B30*3.6/1000000/'E Balans VL '!Z14*100)</f>
        <v>0.11543276261288762</v>
      </c>
      <c r="D30" s="233" t="s">
        <v>835</v>
      </c>
      <c r="F30" s="6"/>
    </row>
    <row r="31" spans="1:18" ht="30">
      <c r="A31" s="228" t="s">
        <v>54</v>
      </c>
      <c r="B31" s="33">
        <f>IF(ISERROR(TER_onderwijs_ele_kWh/1000),0,TER_onderwijs_ele_kWh/1000)</f>
        <v>239.104647190549</v>
      </c>
      <c r="C31" s="39">
        <f>IF(ISERROR(B31*3.6/1000000/'E Balans VL '!Z11*100),0,B31*3.6/1000000/'E Balans VL '!Z11*100)</f>
        <v>7.346958867390653E-2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8654.4740673022716</v>
      </c>
      <c r="C5" s="17">
        <f>IF(ISERROR('Eigen informatie GS &amp; warmtenet'!B61),0,'Eigen informatie GS &amp; warmtenet'!B61)</f>
        <v>0</v>
      </c>
      <c r="D5" s="30">
        <f>SUM(D6:D15)</f>
        <v>9040.198695265959</v>
      </c>
      <c r="E5" s="17">
        <f>SUM(E6:E15)</f>
        <v>38.0030177576431</v>
      </c>
      <c r="F5" s="17">
        <f>SUM(F6:F15)</f>
        <v>2348.3369995767875</v>
      </c>
      <c r="G5" s="18"/>
      <c r="H5" s="17"/>
      <c r="I5" s="17"/>
      <c r="J5" s="17">
        <f>SUM(J6:J15)</f>
        <v>19.112533336305983</v>
      </c>
      <c r="K5" s="17"/>
      <c r="L5" s="17"/>
      <c r="M5" s="17"/>
      <c r="N5" s="17">
        <f>SUM(N6:N15)</f>
        <v>596.28840111261013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448.57819649752798</v>
      </c>
      <c r="C8" s="33"/>
      <c r="D8" s="37">
        <f>IF( ISERROR(IND_metaal_Gas_kWH/1000),0,IND_metaal_Gas_kWH/1000)*0.903</f>
        <v>253.6968917372154</v>
      </c>
      <c r="E8" s="33">
        <f>C30*'E Balans VL '!I18/100/3.6*1000000</f>
        <v>2.4452697082295547</v>
      </c>
      <c r="F8" s="33">
        <f>C30*'E Balans VL '!L18/100/3.6*1000000+C30*'E Balans VL '!N18/100/3.6*1000000</f>
        <v>28.888470118055299</v>
      </c>
      <c r="G8" s="34"/>
      <c r="H8" s="33"/>
      <c r="I8" s="33"/>
      <c r="J8" s="40">
        <f>C30*'E Balans VL '!D18/100/3.6*1000000+C30*'E Balans VL '!E18/100/3.6*1000000</f>
        <v>0.36744025978575323</v>
      </c>
      <c r="K8" s="33"/>
      <c r="L8" s="33"/>
      <c r="M8" s="33"/>
      <c r="N8" s="33">
        <f>C30*'E Balans VL '!Y18/100/3.6*1000000</f>
        <v>9.6912355162485717</v>
      </c>
      <c r="O8" s="33"/>
      <c r="P8" s="33"/>
      <c r="R8" s="32"/>
    </row>
    <row r="9" spans="1:18">
      <c r="A9" s="6" t="s">
        <v>32</v>
      </c>
      <c r="B9" s="37">
        <f t="shared" si="0"/>
        <v>3336.2208710295799</v>
      </c>
      <c r="C9" s="33"/>
      <c r="D9" s="37">
        <f>IF( ISERROR(IND_andere_gas_kWh/1000),0,IND_andere_gas_kWh/1000)*0.903</f>
        <v>2052.8470966946493</v>
      </c>
      <c r="E9" s="33">
        <f>C31*'E Balans VL '!I19/100/3.6*1000000</f>
        <v>10.769889131951553</v>
      </c>
      <c r="F9" s="33">
        <f>C31*'E Balans VL '!L19/100/3.6*1000000+C31*'E Balans VL '!N19/100/3.6*1000000</f>
        <v>2157.2266047464705</v>
      </c>
      <c r="G9" s="34"/>
      <c r="H9" s="33"/>
      <c r="I9" s="33"/>
      <c r="J9" s="40">
        <f>C31*'E Balans VL '!D19/100/3.6*1000000+C31*'E Balans VL '!E19/100/3.6*1000000</f>
        <v>0</v>
      </c>
      <c r="K9" s="33"/>
      <c r="L9" s="33"/>
      <c r="M9" s="33"/>
      <c r="N9" s="33">
        <f>C31*'E Balans VL '!Y19/100/3.6*1000000</f>
        <v>134.81283172523251</v>
      </c>
      <c r="O9" s="33"/>
      <c r="P9" s="33"/>
      <c r="R9" s="32"/>
    </row>
    <row r="10" spans="1:18">
      <c r="A10" s="6" t="s">
        <v>40</v>
      </c>
      <c r="B10" s="37">
        <f t="shared" si="0"/>
        <v>4148.6881061463901</v>
      </c>
      <c r="C10" s="33"/>
      <c r="D10" s="37">
        <f>IF( ISERROR(IND_voed_gas_kWh/1000),0,IND_voed_gas_kWh/1000)*0.903</f>
        <v>6461.5227168744404</v>
      </c>
      <c r="E10" s="33">
        <f>C32*'E Balans VL '!I20/100/3.6*1000000</f>
        <v>8.6966670042436238</v>
      </c>
      <c r="F10" s="33">
        <f>C32*'E Balans VL '!L20/100/3.6*1000000+C32*'E Balans VL '!N20/100/3.6*1000000</f>
        <v>80.830781664186304</v>
      </c>
      <c r="G10" s="34"/>
      <c r="H10" s="33"/>
      <c r="I10" s="33"/>
      <c r="J10" s="40">
        <f>C32*'E Balans VL '!D20/100/3.6*1000000+C32*'E Balans VL '!E20/100/3.6*1000000</f>
        <v>0</v>
      </c>
      <c r="K10" s="33"/>
      <c r="L10" s="33"/>
      <c r="M10" s="33"/>
      <c r="N10" s="33">
        <f>C32*'E Balans VL '!Y20/100/3.6*1000000</f>
        <v>165.02331101338575</v>
      </c>
      <c r="O10" s="33"/>
      <c r="P10" s="33"/>
      <c r="R10" s="32"/>
    </row>
    <row r="11" spans="1:18">
      <c r="A11" s="6" t="s">
        <v>39</v>
      </c>
      <c r="B11" s="37">
        <f t="shared" si="0"/>
        <v>60.804466775142402</v>
      </c>
      <c r="C11" s="33"/>
      <c r="D11" s="37">
        <f>IF( ISERROR(IND_textiel_gas_kWh/1000),0,IND_textiel_gas_kWh/1000)*0.903</f>
        <v>0</v>
      </c>
      <c r="E11" s="33">
        <f>C33*'E Balans VL '!I21/100/3.6*1000000</f>
        <v>5.2247450488743581E-2</v>
      </c>
      <c r="F11" s="33">
        <f>C33*'E Balans VL '!L21/100/3.6*1000000+C33*'E Balans VL '!N21/100/3.6*1000000</f>
        <v>1.2748287538113376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523.24347681728398</v>
      </c>
      <c r="C12" s="33"/>
      <c r="D12" s="37">
        <f>IF( ISERROR(IND_min_gas_kWh/1000),0,IND_min_gas_kWh/1000)*0.903</f>
        <v>0</v>
      </c>
      <c r="E12" s="33">
        <f>C34*'E Balans VL '!I22/100/3.6*1000000</f>
        <v>8.5629103099340202</v>
      </c>
      <c r="F12" s="33">
        <f>C34*'E Balans VL '!L22/100/3.6*1000000+C34*'E Balans VL '!N22/100/3.6*1000000</f>
        <v>79.864916586391075</v>
      </c>
      <c r="G12" s="34"/>
      <c r="H12" s="33"/>
      <c r="I12" s="33"/>
      <c r="J12" s="40">
        <f>C34*'E Balans VL '!D22/100/3.6*1000000+C34*'E Balans VL '!E22/100/3.6*1000000</f>
        <v>18.72508703445429</v>
      </c>
      <c r="K12" s="33"/>
      <c r="L12" s="33"/>
      <c r="M12" s="33"/>
      <c r="N12" s="33">
        <f>C34*'E Balans VL '!Y22/100/3.6*1000000</f>
        <v>286.74853054399176</v>
      </c>
      <c r="O12" s="33"/>
      <c r="P12" s="33"/>
      <c r="R12" s="32"/>
    </row>
    <row r="13" spans="1:18">
      <c r="A13" s="6" t="s">
        <v>38</v>
      </c>
      <c r="B13" s="37">
        <f t="shared" si="0"/>
        <v>101.13956369453099</v>
      </c>
      <c r="C13" s="33"/>
      <c r="D13" s="37">
        <f>IF( ISERROR(IND_papier_gas_kWh/1000),0,IND_papier_gas_kWh/1000)*0.903</f>
        <v>107.63275206320469</v>
      </c>
      <c r="E13" s="33">
        <f>C35*'E Balans VL '!I23/100/3.6*1000000</f>
        <v>0</v>
      </c>
      <c r="F13" s="33">
        <f>C35*'E Balans VL '!L23/100/3.6*1000000+C35*'E Balans VL '!N23/100/3.6*1000000</f>
        <v>1.3547963416061142E-2</v>
      </c>
      <c r="G13" s="34"/>
      <c r="H13" s="33"/>
      <c r="I13" s="33"/>
      <c r="J13" s="40">
        <f>C35*'E Balans VL '!D23/100/3.6*1000000+C35*'E Balans VL '!E23/100/3.6*1000000</f>
        <v>2.0006042065941431E-2</v>
      </c>
      <c r="K13" s="33"/>
      <c r="L13" s="33"/>
      <c r="M13" s="33"/>
      <c r="N13" s="33">
        <f>C35*'E Balans VL '!Y23/100/3.6*1000000</f>
        <v>0</v>
      </c>
      <c r="O13" s="33"/>
      <c r="P13" s="33"/>
      <c r="R13" s="32"/>
    </row>
    <row r="14" spans="1:18">
      <c r="A14" s="6" t="s">
        <v>33</v>
      </c>
      <c r="B14" s="37">
        <f t="shared" si="0"/>
        <v>35.799386341816799</v>
      </c>
      <c r="C14" s="33"/>
      <c r="D14" s="37">
        <f>IF( ISERROR(IND_chemie_gas_kWh/1000),0,IND_chemie_gas_kWh/1000)*0.903</f>
        <v>0</v>
      </c>
      <c r="E14" s="33">
        <f>C36*'E Balans VL '!I24/100/3.6*1000000</f>
        <v>7.4760341527956049</v>
      </c>
      <c r="F14" s="33">
        <f>C36*'E Balans VL '!L24/100/3.6*1000000+C36*'E Balans VL '!N24/100/3.6*1000000</f>
        <v>0.23784974445670196</v>
      </c>
      <c r="G14" s="34"/>
      <c r="H14" s="33"/>
      <c r="I14" s="33"/>
      <c r="J14" s="40">
        <f>C36*'E Balans VL '!D24/100/3.6*1000000+C36*'E Balans VL '!E24/100/3.6*1000000</f>
        <v>0</v>
      </c>
      <c r="K14" s="33"/>
      <c r="L14" s="33"/>
      <c r="M14" s="33"/>
      <c r="N14" s="33">
        <f>C36*'E Balans VL '!Y24/100/3.6*1000000</f>
        <v>1.2492313751529748E-2</v>
      </c>
      <c r="O14" s="33"/>
      <c r="P14" s="33"/>
      <c r="R14" s="32"/>
    </row>
    <row r="15" spans="1:18">
      <c r="A15" s="6" t="s">
        <v>259</v>
      </c>
      <c r="B15" s="37">
        <f t="shared" si="0"/>
        <v>0</v>
      </c>
      <c r="C15" s="33"/>
      <c r="D15" s="37">
        <f>IF( ISERROR(IND_rest_gas_kWh/1000),0,IND_rest_gas_kWh/1000)*0.903</f>
        <v>164.49923789645035</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467</v>
      </c>
      <c r="B16" s="243">
        <f>'lokale energieproductie'!N41+'lokale energieproductie'!N34</f>
        <v>0</v>
      </c>
      <c r="C16" s="243">
        <f>'lokale energieproductie'!O41+'lokale energieproductie'!O34</f>
        <v>0</v>
      </c>
      <c r="D16" s="304">
        <f>('lokale energieproductie'!P34+'lokale energieproductie'!P41)*(-1)</f>
        <v>0</v>
      </c>
      <c r="E16" s="244"/>
      <c r="F16" s="304">
        <f>('lokale energieproductie'!S34+'lokale energieproductie'!S41)*(-1)</f>
        <v>0</v>
      </c>
      <c r="G16" s="245"/>
      <c r="H16" s="244"/>
      <c r="I16" s="244"/>
      <c r="J16" s="244"/>
      <c r="K16" s="244"/>
      <c r="L16" s="304">
        <f>('lokale energieproductie'!T34+'lokale energieproductie'!U34+'lokale energieproductie'!T41+'lokale energieproductie'!U41)*(-1)</f>
        <v>0</v>
      </c>
      <c r="M16" s="244"/>
      <c r="N16" s="304">
        <f>('lokale energieproductie'!Q34+'lokale energieproductie'!R34+'lokale energieproductie'!V34+'lokale energieproductie'!Q41+'lokale energieproductie'!R41+'lokale energieproductie'!V41)*(-1)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8654.4740673022716</v>
      </c>
      <c r="C18" s="21">
        <f>C5+C16</f>
        <v>0</v>
      </c>
      <c r="D18" s="21">
        <f>MAX((D5+D16),0)</f>
        <v>9040.198695265959</v>
      </c>
      <c r="E18" s="21">
        <f>MAX((E5+E16),0)</f>
        <v>38.0030177576431</v>
      </c>
      <c r="F18" s="21">
        <f>MAX((F5+F16),0)</f>
        <v>2348.3369995767875</v>
      </c>
      <c r="G18" s="21"/>
      <c r="H18" s="21"/>
      <c r="I18" s="21"/>
      <c r="J18" s="21">
        <f>MAX((J5+J16),0)</f>
        <v>19.112533336305983</v>
      </c>
      <c r="K18" s="21"/>
      <c r="L18" s="21">
        <f>MAX((L5+L16),0)</f>
        <v>0</v>
      </c>
      <c r="M18" s="21"/>
      <c r="N18" s="21">
        <f>MAX((N5+N16),0)</f>
        <v>596.28840111261013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0.15089738572016215</v>
      </c>
      <c r="C20" s="25">
        <f ca="1">'EF ele_warmte'!B22</f>
        <v>0.23654762806539131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1305.9375115388514</v>
      </c>
      <c r="C22" s="23">
        <f ca="1">C18*C20</f>
        <v>0</v>
      </c>
      <c r="D22" s="23">
        <f>D18*D20</f>
        <v>1826.1201364437238</v>
      </c>
      <c r="E22" s="23">
        <f>E18*E20</f>
        <v>8.6266850309849836</v>
      </c>
      <c r="F22" s="23">
        <f>F18*F20</f>
        <v>627.00597888700236</v>
      </c>
      <c r="G22" s="23"/>
      <c r="H22" s="23"/>
      <c r="I22" s="23"/>
      <c r="J22" s="23">
        <f>J18*J20</f>
        <v>6.765836801052318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448.57819649752798</v>
      </c>
      <c r="C30" s="39">
        <f>IF(ISERROR(B30*3.6/1000000/'E Balans VL '!Z18*100),0,B30*3.6/1000000/'E Balans VL '!Z18*100)</f>
        <v>2.7012148973426908E-2</v>
      </c>
      <c r="D30" s="233" t="s">
        <v>835</v>
      </c>
    </row>
    <row r="31" spans="1:18" ht="30">
      <c r="A31" s="6" t="s">
        <v>32</v>
      </c>
      <c r="B31" s="37">
        <f>IF( ISERROR(IND_ander_ele_kWh/1000),0,IND_ander_ele_kWh/1000)</f>
        <v>3336.2208710295799</v>
      </c>
      <c r="C31" s="39">
        <f>IF(ISERROR(B31*3.6/1000000/'E Balans VL '!Z19*100),0,B31*3.6/1000000/'E Balans VL '!Z19*100)</f>
        <v>0.13592454505778828</v>
      </c>
      <c r="D31" s="233" t="s">
        <v>835</v>
      </c>
    </row>
    <row r="32" spans="1:18" ht="30">
      <c r="A32" s="168" t="s">
        <v>40</v>
      </c>
      <c r="B32" s="37">
        <f>IF( ISERROR(IND_voed_ele_kWh/1000),0,IND_voed_ele_kWh/1000)</f>
        <v>4148.6881061463901</v>
      </c>
      <c r="C32" s="39">
        <f>IF(ISERROR(B32*3.6/1000000/'E Balans VL '!Z20*100),0,B32*3.6/1000000/'E Balans VL '!Z20*100)</f>
        <v>0.11995526871717045</v>
      </c>
      <c r="D32" s="233" t="s">
        <v>835</v>
      </c>
    </row>
    <row r="33" spans="1:5" ht="30">
      <c r="A33" s="168" t="s">
        <v>39</v>
      </c>
      <c r="B33" s="37">
        <f>IF( ISERROR(IND_textiel_ele_kWh/1000),0,IND_textiel_ele_kWh/1000)</f>
        <v>60.804466775142402</v>
      </c>
      <c r="C33" s="39">
        <f>IF(ISERROR(B33*3.6/1000000/'E Balans VL '!Z21*100),0,B33*3.6/1000000/'E Balans VL '!Z21*100)</f>
        <v>9.999512055261929E-3</v>
      </c>
      <c r="D33" s="233" t="s">
        <v>835</v>
      </c>
    </row>
    <row r="34" spans="1:5" ht="30">
      <c r="A34" s="168" t="s">
        <v>36</v>
      </c>
      <c r="B34" s="37">
        <f>IF( ISERROR(IND_min_ele_kWh/1000),0,IND_min_ele_kWh/1000)</f>
        <v>523.24347681728398</v>
      </c>
      <c r="C34" s="39">
        <f>IF(ISERROR(B34*3.6/1000000/'E Balans VL '!Z22*100),0,B34*3.6/1000000/'E Balans VL '!Z22*100)</f>
        <v>0.22342010249249428</v>
      </c>
      <c r="D34" s="233" t="s">
        <v>835</v>
      </c>
    </row>
    <row r="35" spans="1:5" ht="30">
      <c r="A35" s="168" t="s">
        <v>38</v>
      </c>
      <c r="B35" s="37">
        <f>IF( ISERROR(IND_papier_ele_kWh/1000),0,IND_papier_ele_kWh/1000)</f>
        <v>101.13956369453099</v>
      </c>
      <c r="C35" s="39">
        <f>IF(ISERROR(B35*3.6/1000000/'E Balans VL '!Z22*100),0,B35*3.6/1000000/'E Balans VL '!Z22*100)</f>
        <v>4.3185653883591517E-2</v>
      </c>
      <c r="D35" s="233" t="s">
        <v>835</v>
      </c>
    </row>
    <row r="36" spans="1:5" ht="30">
      <c r="A36" s="168" t="s">
        <v>33</v>
      </c>
      <c r="B36" s="37">
        <f>IF( ISERROR(IND_chemie_ele_kWh/1000),0,IND_chemie_ele_kWh/1000)</f>
        <v>35.799386341816799</v>
      </c>
      <c r="C36" s="39">
        <f>IF(ISERROR(B36*3.6/1000000/'E Balans VL '!Z24*100),0,B36*3.6/1000000/'E Balans VL '!Z24*100)</f>
        <v>1.0862881523069406E-3</v>
      </c>
      <c r="D36" s="233" t="s">
        <v>835</v>
      </c>
    </row>
    <row r="37" spans="1:5" ht="30">
      <c r="A37" s="168" t="s">
        <v>259</v>
      </c>
      <c r="B37" s="37">
        <f>IF( ISERROR(IND_rest_ele_kWh/1000),0,IND_rest_ele_kWh/1000)</f>
        <v>0</v>
      </c>
      <c r="C37" s="39">
        <f>IF(ISERROR(B37*3.6/1000000/'E Balans VL '!Z15*100),0,B37*3.6/1000000/'E Balans VL '!Z15*100)</f>
        <v>0</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10545.164306561099</v>
      </c>
      <c r="C5" s="17">
        <f>'Eigen informatie GS &amp; warmtenet'!B62</f>
        <v>0</v>
      </c>
      <c r="D5" s="30">
        <f>IF(ISERROR(SUM(LB_lb_gas_kWh,LB_rest_gas_kWh)/1000),0,SUM(LB_lb_gas_kWh,LB_rest_gas_kWh)/1000)*0.903</f>
        <v>79289.960376059593</v>
      </c>
      <c r="E5" s="17">
        <f>B17*'E Balans VL '!I25/3.6*1000000/100</f>
        <v>302.03135142509495</v>
      </c>
      <c r="F5" s="17">
        <f>B17*('E Balans VL '!L25/3.6*1000000+'E Balans VL '!N25/3.6*1000000)/100</f>
        <v>33380.542954807941</v>
      </c>
      <c r="G5" s="18"/>
      <c r="H5" s="17"/>
      <c r="I5" s="17"/>
      <c r="J5" s="17">
        <f>('E Balans VL '!D25+'E Balans VL '!E25)/3.6*1000000*landbouw!B17/100</f>
        <v>2681.3041397752613</v>
      </c>
      <c r="K5" s="17"/>
      <c r="L5" s="17">
        <f>L6*(-1)</f>
        <v>0</v>
      </c>
      <c r="M5" s="17"/>
      <c r="N5" s="17">
        <f>N6*(-1)</f>
        <v>124.71428571428569</v>
      </c>
      <c r="O5" s="17"/>
      <c r="P5" s="17"/>
      <c r="R5" s="32"/>
    </row>
    <row r="6" spans="1:18">
      <c r="A6" s="16" t="s">
        <v>467</v>
      </c>
      <c r="B6" s="17" t="s">
        <v>204</v>
      </c>
      <c r="C6" s="17">
        <f>'lokale energieproductie'!O43+'lokale energieproductie'!O36</f>
        <v>13285.928571428571</v>
      </c>
      <c r="D6" s="304">
        <f>('lokale energieproductie'!P36+'lokale energieproductie'!P43)*(-1)</f>
        <v>-26447.142857142859</v>
      </c>
      <c r="E6" s="244"/>
      <c r="F6" s="304">
        <f>('lokale energieproductie'!S36+'lokale energieproductie'!S43)*(-1)</f>
        <v>0</v>
      </c>
      <c r="G6" s="245"/>
      <c r="H6" s="244"/>
      <c r="I6" s="244"/>
      <c r="J6" s="244"/>
      <c r="K6" s="244"/>
      <c r="L6" s="304">
        <f>('lokale energieproductie'!T36+'lokale energieproductie'!U36+'lokale energieproductie'!T43+'lokale energieproductie'!U43)*(-1)</f>
        <v>0</v>
      </c>
      <c r="M6" s="244"/>
      <c r="N6" s="304">
        <f>('lokale energieproductie'!V36+'lokale energieproductie'!R36+'lokale energieproductie'!Q36+'lokale energieproductie'!Q43+'lokale energieproductie'!R43+'lokale energieproductie'!V43)*(-1)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10545.164306561099</v>
      </c>
      <c r="C8" s="21">
        <f>C5+C6</f>
        <v>13285.928571428571</v>
      </c>
      <c r="D8" s="21">
        <f>MAX((D5+D6),0)</f>
        <v>52842.817518916738</v>
      </c>
      <c r="E8" s="21">
        <f>MAX((E5+E6),0)</f>
        <v>302.03135142509495</v>
      </c>
      <c r="F8" s="21">
        <f>MAX((F5+F6),0)</f>
        <v>33380.542954807941</v>
      </c>
      <c r="G8" s="21"/>
      <c r="H8" s="21"/>
      <c r="I8" s="21"/>
      <c r="J8" s="21">
        <f>MAX((J5+J6),0)</f>
        <v>2681.3041397752613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0.15089738572016215</v>
      </c>
      <c r="C10" s="31">
        <f ca="1">'EF ele_warmte'!B22</f>
        <v>0.23654762806539131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1591.2377258496363</v>
      </c>
      <c r="C12" s="23">
        <f ca="1">C8*C10</f>
        <v>3142.7548902176413</v>
      </c>
      <c r="D12" s="23">
        <f>D8*D10</f>
        <v>10674.249138821182</v>
      </c>
      <c r="E12" s="23">
        <f>E8*E10</f>
        <v>68.561116773496551</v>
      </c>
      <c r="F12" s="23">
        <f>F8*F10</f>
        <v>8912.6049689337215</v>
      </c>
      <c r="G12" s="23"/>
      <c r="H12" s="23"/>
      <c r="I12" s="23"/>
      <c r="J12" s="23">
        <f>J8*J10</f>
        <v>949.18166548044246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1.4602660341364193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701.83930205356683</v>
      </c>
      <c r="C26" s="243">
        <f>B26*'GWP N2O_CH4'!B5</f>
        <v>14738.625343124902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198.39497824762677</v>
      </c>
      <c r="C27" s="243">
        <f>B27*'GWP N2O_CH4'!B5</f>
        <v>4166.2945432001625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9.897160853240285</v>
      </c>
      <c r="C28" s="243">
        <f>B28*'GWP N2O_CH4'!B4</f>
        <v>3068.1198645044883</v>
      </c>
      <c r="D28" s="50"/>
    </row>
    <row r="29" spans="1:4">
      <c r="A29" s="41" t="s">
        <v>266</v>
      </c>
      <c r="B29" s="243">
        <f>B34*'ha_N2O bodem landbouw'!B4</f>
        <v>22.703024553292693</v>
      </c>
      <c r="C29" s="243">
        <f>B29*'GWP N2O_CH4'!B4</f>
        <v>7037.9376115207351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5.1577208561732167E-3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2.0055090626158981E-3</v>
      </c>
      <c r="C5" s="432" t="s">
        <v>204</v>
      </c>
      <c r="D5" s="417">
        <f>SUM(D6:D11)</f>
        <v>3.1766276904636554E-3</v>
      </c>
      <c r="E5" s="417">
        <f>SUM(E6:E11)</f>
        <v>1.4043511075609383E-3</v>
      </c>
      <c r="F5" s="430" t="s">
        <v>204</v>
      </c>
      <c r="G5" s="417">
        <f>SUM(G6:G11)</f>
        <v>0.82149387714786026</v>
      </c>
      <c r="H5" s="417">
        <f>SUM(H6:H11)</f>
        <v>0.15987443033465507</v>
      </c>
      <c r="I5" s="432" t="s">
        <v>204</v>
      </c>
      <c r="J5" s="432" t="s">
        <v>204</v>
      </c>
      <c r="K5" s="432" t="s">
        <v>204</v>
      </c>
      <c r="L5" s="432" t="s">
        <v>204</v>
      </c>
      <c r="M5" s="417">
        <f>SUM(M6:M11)</f>
        <v>5.8502357399724148E-2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4.6550278094524642E-4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7.7612639430586685E-4</v>
      </c>
      <c r="E6" s="884">
        <f>vkm_GW_PW*SUMIFS(TableVerdeelsleutelVkm[LPG],TableVerdeelsleutelVkm[Voertuigtype],"Lichte voertuigen")*SUMIFS(TableECFTransport[EnergieConsumptieFactor (PJ per km)],TableECFTransport[Index],CONCATENATE($A6,"_LPG_LPG"))</f>
        <v>3.0770254858960796E-4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9.2472345474660711E-2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3.8062596788985804E-2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8.0079337487416104E-3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1.9838247113277072E-6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7.8640061983036816E-2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5.8024982979073425E-7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4.5153793673815617E-3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2.694539944713474E-4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6.1528559142553217E-4</v>
      </c>
      <c r="E8" s="420">
        <f>vkm_NGW_PW*SUMIFS(TableVerdeelsleutelVkm[LPG],TableVerdeelsleutelVkm[Voertuigtype],"Lichte voertuigen")*SUMIFS(TableECFTransport[EnergieConsumptieFactor (PJ per km)],TableECFTransport[Index],CONCATENATE($A8,"_LPG_LPG"))</f>
        <v>2.3356557819692415E-4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6.429595140649233E-2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2.9892934703897801E-2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5.8109347161322353E-3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3.7139137839811572E-7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1.8958718979617397E-2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1.3111729769674041E-7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1.0885769601063553E-3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1.2593025141142051E-3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1.7852157047322564E-3</v>
      </c>
      <c r="E10" s="420">
        <f>vkm_SW_PW*SUMIFS(TableVerdeelsleutelVkm[LPG],TableVerdeelsleutelVkm[Voertuigtype],"Lichte voertuigen")*SUMIFS(TableECFTransport[EnergieConsumptieFactor (PJ per km)],TableECFTransport[Index],CONCATENATE($A10,"_LPG_LPG"))</f>
        <v>8.6308298077440607E-4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0.23531697456858008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9.1915509746472016E-2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2.0027557342745569E-2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8.8945569953735825E-6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0.33180982473547294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2.6777281719357245E-6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1.9051975264616817E-2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557.08585072663834</v>
      </c>
      <c r="C14" s="21"/>
      <c r="D14" s="21">
        <f t="shared" ref="D14:M14" si="0">((D5)*10^9/3600)+D12</f>
        <v>882.39658068434881</v>
      </c>
      <c r="E14" s="21">
        <f t="shared" si="0"/>
        <v>390.09752987803842</v>
      </c>
      <c r="F14" s="21"/>
      <c r="G14" s="21">
        <f t="shared" si="0"/>
        <v>228192.74365218342</v>
      </c>
      <c r="H14" s="21">
        <f t="shared" si="0"/>
        <v>44409.563981848631</v>
      </c>
      <c r="I14" s="21"/>
      <c r="J14" s="21"/>
      <c r="K14" s="21"/>
      <c r="L14" s="21"/>
      <c r="M14" s="21">
        <f t="shared" si="0"/>
        <v>16250.654833256707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0.15089738572016215</v>
      </c>
      <c r="C16" s="56">
        <f ca="1">'EF ele_warmte'!B22</f>
        <v>0.23654762806539131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84.062798496342225</v>
      </c>
      <c r="C18" s="23"/>
      <c r="D18" s="23">
        <f t="shared" ref="D18:M18" si="1">D14*D16</f>
        <v>178.24410929823847</v>
      </c>
      <c r="E18" s="23">
        <f t="shared" si="1"/>
        <v>88.552139282314727</v>
      </c>
      <c r="F18" s="23"/>
      <c r="G18" s="23">
        <f t="shared" si="1"/>
        <v>60927.462555132974</v>
      </c>
      <c r="H18" s="23">
        <f t="shared" si="1"/>
        <v>11057.98143148031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1.0733046160951502E-4</v>
      </c>
      <c r="C50" s="315">
        <f t="shared" ref="C50:P50" si="2">SUM(C51:C52)</f>
        <v>0</v>
      </c>
      <c r="D50" s="315">
        <f t="shared" si="2"/>
        <v>0</v>
      </c>
      <c r="E50" s="315">
        <f t="shared" si="2"/>
        <v>0</v>
      </c>
      <c r="F50" s="315">
        <f t="shared" si="2"/>
        <v>0</v>
      </c>
      <c r="G50" s="315">
        <f t="shared" si="2"/>
        <v>6.7192113794666631E-3</v>
      </c>
      <c r="H50" s="315">
        <f t="shared" si="2"/>
        <v>0</v>
      </c>
      <c r="I50" s="315">
        <f t="shared" si="2"/>
        <v>0</v>
      </c>
      <c r="J50" s="315">
        <f t="shared" si="2"/>
        <v>0</v>
      </c>
      <c r="K50" s="315">
        <f t="shared" si="2"/>
        <v>0</v>
      </c>
      <c r="L50" s="315">
        <f t="shared" si="2"/>
        <v>0</v>
      </c>
      <c r="M50" s="315">
        <f t="shared" si="2"/>
        <v>3.8580223951045767E-4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1.0733046160951502E-4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6.7192113794666631E-3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3.8580223951045767E-4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29.814017113754176</v>
      </c>
      <c r="C54" s="21">
        <f t="shared" ref="C54:P54" si="3">(C50)*10^9/3600</f>
        <v>0</v>
      </c>
      <c r="D54" s="21">
        <f t="shared" si="3"/>
        <v>0</v>
      </c>
      <c r="E54" s="21">
        <f t="shared" si="3"/>
        <v>0</v>
      </c>
      <c r="F54" s="21">
        <f t="shared" si="3"/>
        <v>0</v>
      </c>
      <c r="G54" s="21">
        <f t="shared" si="3"/>
        <v>1866.4476054074064</v>
      </c>
      <c r="H54" s="21">
        <f t="shared" si="3"/>
        <v>0</v>
      </c>
      <c r="I54" s="21">
        <f t="shared" si="3"/>
        <v>0</v>
      </c>
      <c r="J54" s="21">
        <f t="shared" si="3"/>
        <v>0</v>
      </c>
      <c r="K54" s="21">
        <f t="shared" si="3"/>
        <v>0</v>
      </c>
      <c r="L54" s="21">
        <f t="shared" si="3"/>
        <v>0</v>
      </c>
      <c r="M54" s="21">
        <f t="shared" si="3"/>
        <v>107.16728875290491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0.15089738572016215</v>
      </c>
      <c r="C56" s="56">
        <f ca="1">'EF ele_warmte'!B22</f>
        <v>0.23654762806539131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4.4988572402816791</v>
      </c>
      <c r="C58" s="23">
        <f t="shared" ref="C58:P58" ca="1" si="4">C54*C56</f>
        <v>0</v>
      </c>
      <c r="D58" s="23">
        <f t="shared" si="4"/>
        <v>0</v>
      </c>
      <c r="E58" s="23">
        <f t="shared" si="4"/>
        <v>0</v>
      </c>
      <c r="F58" s="23">
        <f t="shared" si="4"/>
        <v>0</v>
      </c>
      <c r="G58" s="23">
        <f t="shared" si="4"/>
        <v>498.34151064377755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5"/>
  <sheetViews>
    <sheetView showGridLines="0" zoomScale="65" zoomScaleNormal="65" workbookViewId="0">
      <selection activeCell="A28" sqref="A28:XFD33"/>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18237.073629663271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10354.537485872503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N33</f>
        <v>9435.15</v>
      </c>
      <c r="C8" s="543">
        <f>B52</f>
        <v>11048.823529411766</v>
      </c>
      <c r="D8" s="544"/>
      <c r="E8" s="544">
        <f>E52</f>
        <v>0</v>
      </c>
      <c r="F8" s="545"/>
      <c r="G8" s="546"/>
      <c r="H8" s="544">
        <f>I52</f>
        <v>0</v>
      </c>
      <c r="I8" s="544">
        <f>G52+F52</f>
        <v>0</v>
      </c>
      <c r="J8" s="544">
        <f>H52+D52+C52</f>
        <v>51.35294117647058</v>
      </c>
      <c r="K8" s="544"/>
      <c r="L8" s="544"/>
      <c r="M8" s="544"/>
      <c r="N8" s="547"/>
      <c r="O8" s="548">
        <f>C8*$C$12+D8*$D$12+E8*$E$12+F8*$F$12+G8*$G$12+H8*$H$12+I8*$I$12+J8*$J$12</f>
        <v>2231.8623529411771</v>
      </c>
      <c r="P8" s="1256"/>
      <c r="Q8" s="1257"/>
      <c r="S8" s="538"/>
      <c r="T8" s="1244"/>
      <c r="U8" s="1244"/>
    </row>
    <row r="9" spans="1:21" s="529" customFormat="1" ht="17.45" customHeight="1" thickBot="1">
      <c r="A9" s="549" t="s">
        <v>237</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38026.761115535774</v>
      </c>
      <c r="C10" s="558">
        <f t="shared" ref="C10:L10" si="0">SUM(C8:C9)</f>
        <v>11048.823529411766</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59"/>
      <c r="N10" s="959"/>
      <c r="O10" s="559">
        <f>SUM(O4:O9)</f>
        <v>2231.8623529411771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O33</f>
        <v>13478.785714285716</v>
      </c>
      <c r="C17" s="574">
        <f>B53</f>
        <v>15784.033613445379</v>
      </c>
      <c r="D17" s="575"/>
      <c r="E17" s="575">
        <f>E53</f>
        <v>0</v>
      </c>
      <c r="F17" s="576"/>
      <c r="G17" s="577"/>
      <c r="H17" s="574">
        <f>I53</f>
        <v>0</v>
      </c>
      <c r="I17" s="575">
        <f>G53+F53</f>
        <v>0</v>
      </c>
      <c r="J17" s="575">
        <f>H53+D53+C53</f>
        <v>73.361344537815114</v>
      </c>
      <c r="K17" s="575"/>
      <c r="L17" s="575"/>
      <c r="M17" s="575"/>
      <c r="N17" s="960"/>
      <c r="O17" s="578">
        <f>C17*$C$22+E17*$E$22+H17*$H$22+I17*$I$22+J17*$J$22+D17*$D$22+F17*$F$22+G17*$G$22+K17*$K$22+L17*$L$22</f>
        <v>3188.3747899159666</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13478.785714285716</v>
      </c>
      <c r="C20" s="557">
        <f>SUM(C17:C19)</f>
        <v>15784.033613445379</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3188.3747899159666</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25.5" hidden="1">
      <c r="A28" s="587"/>
      <c r="B28" s="785">
        <v>44034</v>
      </c>
      <c r="C28" s="785">
        <v>9080</v>
      </c>
      <c r="D28" s="635"/>
      <c r="E28" s="634"/>
      <c r="F28" s="634"/>
      <c r="G28" s="634" t="s">
        <v>868</v>
      </c>
      <c r="H28" s="634" t="s">
        <v>869</v>
      </c>
      <c r="I28" s="634"/>
      <c r="J28" s="784"/>
      <c r="K28" s="784"/>
      <c r="L28" s="634" t="s">
        <v>870</v>
      </c>
      <c r="M28" s="634">
        <v>1006</v>
      </c>
      <c r="N28" s="634">
        <v>4527</v>
      </c>
      <c r="O28" s="634">
        <v>6467.1428571428569</v>
      </c>
      <c r="P28" s="634">
        <v>12934.285714285716</v>
      </c>
      <c r="Q28" s="634">
        <v>0</v>
      </c>
      <c r="R28" s="634">
        <v>0</v>
      </c>
      <c r="S28" s="634">
        <v>0</v>
      </c>
      <c r="T28" s="634">
        <v>0</v>
      </c>
      <c r="U28" s="634">
        <v>0</v>
      </c>
      <c r="V28" s="634">
        <v>0</v>
      </c>
      <c r="W28" s="634">
        <v>0</v>
      </c>
      <c r="X28" s="634">
        <v>10</v>
      </c>
      <c r="Y28" s="634" t="s">
        <v>105</v>
      </c>
      <c r="Z28" s="636" t="s">
        <v>105</v>
      </c>
    </row>
    <row r="29" spans="1:26" s="588" customFormat="1" ht="63.75" hidden="1">
      <c r="A29" s="587"/>
      <c r="B29" s="785">
        <v>44034</v>
      </c>
      <c r="C29" s="785">
        <v>9080</v>
      </c>
      <c r="D29" s="635"/>
      <c r="E29" s="634"/>
      <c r="F29" s="634"/>
      <c r="G29" s="634" t="s">
        <v>868</v>
      </c>
      <c r="H29" s="634" t="s">
        <v>869</v>
      </c>
      <c r="I29" s="634"/>
      <c r="J29" s="784"/>
      <c r="K29" s="784"/>
      <c r="L29" s="634" t="s">
        <v>870</v>
      </c>
      <c r="M29" s="634">
        <v>30</v>
      </c>
      <c r="N29" s="634">
        <v>135</v>
      </c>
      <c r="O29" s="634">
        <v>192.85714285714286</v>
      </c>
      <c r="P29" s="634">
        <v>385.71428571428572</v>
      </c>
      <c r="Q29" s="634">
        <v>0</v>
      </c>
      <c r="R29" s="634">
        <v>0</v>
      </c>
      <c r="S29" s="634">
        <v>0</v>
      </c>
      <c r="T29" s="634">
        <v>0</v>
      </c>
      <c r="U29" s="634">
        <v>0</v>
      </c>
      <c r="V29" s="634">
        <v>0</v>
      </c>
      <c r="W29" s="634">
        <v>0</v>
      </c>
      <c r="X29" s="634">
        <v>1600</v>
      </c>
      <c r="Y29" s="634" t="s">
        <v>49</v>
      </c>
      <c r="Z29" s="636" t="s">
        <v>149</v>
      </c>
    </row>
    <row r="30" spans="1:26" s="588" customFormat="1" ht="25.5" hidden="1">
      <c r="A30" s="587"/>
      <c r="B30" s="785">
        <v>44034</v>
      </c>
      <c r="C30" s="785">
        <v>9080</v>
      </c>
      <c r="D30" s="635"/>
      <c r="E30" s="634"/>
      <c r="F30" s="634"/>
      <c r="G30" s="634" t="s">
        <v>868</v>
      </c>
      <c r="H30" s="634" t="s">
        <v>869</v>
      </c>
      <c r="I30" s="634"/>
      <c r="J30" s="784"/>
      <c r="K30" s="784"/>
      <c r="L30" s="634" t="s">
        <v>870</v>
      </c>
      <c r="M30" s="634">
        <v>526</v>
      </c>
      <c r="N30" s="634">
        <v>2367</v>
      </c>
      <c r="O30" s="634">
        <v>3381.4285714285716</v>
      </c>
      <c r="P30" s="634">
        <v>6762.8571428571431</v>
      </c>
      <c r="Q30" s="634">
        <v>0</v>
      </c>
      <c r="R30" s="634">
        <v>0</v>
      </c>
      <c r="S30" s="634">
        <v>0</v>
      </c>
      <c r="T30" s="634">
        <v>0</v>
      </c>
      <c r="U30" s="634">
        <v>0</v>
      </c>
      <c r="V30" s="634">
        <v>0</v>
      </c>
      <c r="W30" s="634">
        <v>0</v>
      </c>
      <c r="X30" s="634">
        <v>10</v>
      </c>
      <c r="Y30" s="634" t="s">
        <v>105</v>
      </c>
      <c r="Z30" s="636" t="s">
        <v>105</v>
      </c>
    </row>
    <row r="31" spans="1:26" s="588" customFormat="1" ht="25.5" hidden="1">
      <c r="A31" s="587"/>
      <c r="B31" s="785">
        <v>44034</v>
      </c>
      <c r="C31" s="785">
        <v>9080</v>
      </c>
      <c r="D31" s="635"/>
      <c r="E31" s="634"/>
      <c r="F31" s="634"/>
      <c r="G31" s="634" t="s">
        <v>868</v>
      </c>
      <c r="H31" s="634" t="s">
        <v>869</v>
      </c>
      <c r="I31" s="634"/>
      <c r="J31" s="784"/>
      <c r="K31" s="784"/>
      <c r="L31" s="634" t="s">
        <v>870</v>
      </c>
      <c r="M31" s="634">
        <v>9.6999999999999993</v>
      </c>
      <c r="N31" s="634">
        <v>43.649999999999991</v>
      </c>
      <c r="O31" s="634">
        <v>62.357142857142847</v>
      </c>
      <c r="P31" s="634">
        <v>0</v>
      </c>
      <c r="Q31" s="634">
        <v>124.71428571428569</v>
      </c>
      <c r="R31" s="634">
        <v>0</v>
      </c>
      <c r="S31" s="634">
        <v>0</v>
      </c>
      <c r="T31" s="634">
        <v>0</v>
      </c>
      <c r="U31" s="634">
        <v>0</v>
      </c>
      <c r="V31" s="634">
        <v>0</v>
      </c>
      <c r="W31" s="634">
        <v>0</v>
      </c>
      <c r="X31" s="634">
        <v>10</v>
      </c>
      <c r="Y31" s="634" t="s">
        <v>105</v>
      </c>
      <c r="Z31" s="636" t="s">
        <v>105</v>
      </c>
    </row>
    <row r="32" spans="1:26" s="588" customFormat="1" ht="25.5" hidden="1">
      <c r="A32" s="587"/>
      <c r="B32" s="785">
        <v>44034</v>
      </c>
      <c r="C32" s="785">
        <v>9080</v>
      </c>
      <c r="D32" s="635"/>
      <c r="E32" s="634"/>
      <c r="F32" s="634"/>
      <c r="G32" s="634" t="s">
        <v>868</v>
      </c>
      <c r="H32" s="634" t="s">
        <v>869</v>
      </c>
      <c r="I32" s="634"/>
      <c r="J32" s="784"/>
      <c r="K32" s="784"/>
      <c r="L32" s="634" t="s">
        <v>871</v>
      </c>
      <c r="M32" s="634">
        <v>525</v>
      </c>
      <c r="N32" s="634">
        <v>2362.5</v>
      </c>
      <c r="O32" s="634">
        <v>3375</v>
      </c>
      <c r="P32" s="634">
        <v>6750</v>
      </c>
      <c r="Q32" s="634">
        <v>0</v>
      </c>
      <c r="R32" s="634">
        <v>0</v>
      </c>
      <c r="S32" s="634">
        <v>0</v>
      </c>
      <c r="T32" s="634">
        <v>0</v>
      </c>
      <c r="U32" s="634">
        <v>0</v>
      </c>
      <c r="V32" s="634">
        <v>0</v>
      </c>
      <c r="W32" s="634">
        <v>0</v>
      </c>
      <c r="X32" s="634">
        <v>10</v>
      </c>
      <c r="Y32" s="634" t="s">
        <v>105</v>
      </c>
      <c r="Z32" s="636" t="s">
        <v>105</v>
      </c>
    </row>
    <row r="33" spans="1:27" s="568" customFormat="1" hidden="1">
      <c r="A33" s="590" t="s">
        <v>269</v>
      </c>
      <c r="B33" s="591"/>
      <c r="C33" s="591"/>
      <c r="D33" s="591"/>
      <c r="E33" s="591"/>
      <c r="F33" s="591"/>
      <c r="G33" s="591"/>
      <c r="H33" s="591"/>
      <c r="I33" s="591"/>
      <c r="J33" s="591"/>
      <c r="K33" s="591"/>
      <c r="L33" s="592"/>
      <c r="M33" s="592">
        <f>SUM(M28:M32)</f>
        <v>2096.6999999999998</v>
      </c>
      <c r="N33" s="592">
        <f>SUM(N28:N32)</f>
        <v>9435.15</v>
      </c>
      <c r="O33" s="592">
        <f>SUM(O28:O32)</f>
        <v>13478.785714285716</v>
      </c>
      <c r="P33" s="592">
        <f>SUM(P28:P32)</f>
        <v>26832.857142857145</v>
      </c>
      <c r="Q33" s="592">
        <f>SUM(Q28:Q32)</f>
        <v>124.71428571428569</v>
      </c>
      <c r="R33" s="592">
        <f>SUM(R28:R32)</f>
        <v>0</v>
      </c>
      <c r="S33" s="592">
        <f>SUM(S28:S32)</f>
        <v>0</v>
      </c>
      <c r="T33" s="592">
        <f>SUM(T28:T32)</f>
        <v>0</v>
      </c>
      <c r="U33" s="592">
        <f>SUM(U28:U32)</f>
        <v>0</v>
      </c>
      <c r="V33" s="592">
        <f>SUM(V28:V32)</f>
        <v>0</v>
      </c>
      <c r="W33" s="592">
        <f>SUM(W28:W32)</f>
        <v>0</v>
      </c>
      <c r="X33" s="593"/>
      <c r="Y33" s="593"/>
      <c r="Z33" s="594"/>
    </row>
    <row r="34" spans="1:27" s="568" customFormat="1">
      <c r="A34" s="590" t="s">
        <v>276</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277</v>
      </c>
      <c r="B35" s="591"/>
      <c r="C35" s="591"/>
      <c r="D35" s="591"/>
      <c r="E35" s="591"/>
      <c r="F35" s="591"/>
      <c r="G35" s="591"/>
      <c r="H35" s="591"/>
      <c r="I35" s="591"/>
      <c r="J35" s="591"/>
      <c r="K35" s="591"/>
      <c r="L35" s="592"/>
      <c r="M35" s="592">
        <f ca="1">SUMIF($Z$28:AC32,"tertiair",M28:M32)</f>
        <v>30</v>
      </c>
      <c r="N35" s="592">
        <f ca="1">SUMIF($Z$28:AD32,"tertiair",N28:N32)</f>
        <v>135</v>
      </c>
      <c r="O35" s="592">
        <f ca="1">SUMIF($Z$28:AE32,"tertiair",O28:O32)</f>
        <v>192.85714285714286</v>
      </c>
      <c r="P35" s="592">
        <f ca="1">SUMIF($Z$28:AF32,"tertiair",P28:P32)</f>
        <v>385.71428571428572</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278</v>
      </c>
      <c r="B36" s="596"/>
      <c r="C36" s="596"/>
      <c r="D36" s="596"/>
      <c r="E36" s="596"/>
      <c r="F36" s="596"/>
      <c r="G36" s="596"/>
      <c r="H36" s="596"/>
      <c r="I36" s="596"/>
      <c r="J36" s="596"/>
      <c r="K36" s="596"/>
      <c r="L36" s="597"/>
      <c r="M36" s="597">
        <f>SUMIF($Z$28:$Z$32,"landbouw",M28:M32)</f>
        <v>2066.6999999999998</v>
      </c>
      <c r="N36" s="597">
        <f>SUMIF($Z$28:$Z$32,"landbouw",N28:N32)</f>
        <v>9300.15</v>
      </c>
      <c r="O36" s="597">
        <f>SUMIF($Z$28:$Z$32,"landbouw",O28:O32)</f>
        <v>13285.928571428571</v>
      </c>
      <c r="P36" s="597">
        <f>SUMIF($Z$28:$Z$32,"landbouw",P28:P32)</f>
        <v>26447.142857142859</v>
      </c>
      <c r="Q36" s="597">
        <f>SUMIF($Z$28:$Z$32,"landbouw",Q28:Q32)</f>
        <v>124.71428571428569</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270</v>
      </c>
      <c r="B38" s="631" t="s">
        <v>89</v>
      </c>
      <c r="C38" s="631" t="s">
        <v>90</v>
      </c>
      <c r="D38" s="631"/>
      <c r="E38" s="631"/>
      <c r="F38" s="631"/>
      <c r="G38" s="631" t="s">
        <v>91</v>
      </c>
      <c r="H38" s="631" t="s">
        <v>92</v>
      </c>
      <c r="I38" s="631"/>
      <c r="J38" s="631"/>
      <c r="K38" s="631"/>
      <c r="L38" s="631" t="s">
        <v>93</v>
      </c>
      <c r="M38" s="632" t="s">
        <v>287</v>
      </c>
      <c r="N38" s="632" t="s">
        <v>94</v>
      </c>
      <c r="O38" s="632" t="s">
        <v>95</v>
      </c>
      <c r="P38" s="632" t="s">
        <v>511</v>
      </c>
      <c r="Q38" s="632" t="s">
        <v>96</v>
      </c>
      <c r="R38" s="632" t="s">
        <v>97</v>
      </c>
      <c r="S38" s="632" t="s">
        <v>98</v>
      </c>
      <c r="T38" s="632" t="s">
        <v>99</v>
      </c>
      <c r="U38" s="632" t="s">
        <v>100</v>
      </c>
      <c r="V38" s="632" t="s">
        <v>101</v>
      </c>
      <c r="W38" s="631" t="s">
        <v>102</v>
      </c>
      <c r="X38" s="631" t="s">
        <v>288</v>
      </c>
      <c r="Y38" s="631" t="s">
        <v>103</v>
      </c>
      <c r="Z38" s="633" t="s">
        <v>289</v>
      </c>
    </row>
    <row r="39" spans="1:27" s="603" customFormat="1" ht="12.75" hidden="1">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hidden="1">
      <c r="A40" s="590" t="s">
        <v>269</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276</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277</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278</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271</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272</v>
      </c>
      <c r="C48" s="614" t="s">
        <v>273</v>
      </c>
      <c r="D48" s="614"/>
      <c r="E48" s="614"/>
      <c r="F48" s="614"/>
      <c r="G48" s="614"/>
      <c r="H48" s="614"/>
      <c r="I48" s="615"/>
      <c r="J48" s="614"/>
      <c r="K48" s="614"/>
      <c r="L48" s="614"/>
      <c r="M48" s="614"/>
      <c r="N48" s="614"/>
      <c r="O48" s="614"/>
      <c r="P48" s="609"/>
    </row>
    <row r="49" spans="1:16">
      <c r="A49" s="611" t="s">
        <v>269</v>
      </c>
      <c r="B49" s="616">
        <f>IF(ISERROR(O33/(O33+N33)),0,O33/(O33+N33))</f>
        <v>0.58823529411764708</v>
      </c>
      <c r="C49" s="617">
        <f>IF(ISERROR(N33/(O33+N33)),0,N33/(N33+O33))</f>
        <v>0.41176470588235292</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511</v>
      </c>
      <c r="C51" s="624" t="s">
        <v>96</v>
      </c>
      <c r="D51" s="624" t="s">
        <v>97</v>
      </c>
      <c r="E51" s="624" t="s">
        <v>98</v>
      </c>
      <c r="F51" s="624" t="s">
        <v>99</v>
      </c>
      <c r="G51" s="624" t="s">
        <v>100</v>
      </c>
      <c r="H51" s="624" t="s">
        <v>101</v>
      </c>
      <c r="I51" s="625" t="s">
        <v>102</v>
      </c>
      <c r="J51" s="614"/>
      <c r="K51" s="614"/>
      <c r="L51" s="622"/>
      <c r="M51" s="622"/>
      <c r="N51" s="622"/>
      <c r="O51" s="609"/>
      <c r="P51" s="609"/>
    </row>
    <row r="52" spans="1:16">
      <c r="A52" s="613" t="s">
        <v>274</v>
      </c>
      <c r="B52" s="626">
        <f t="shared" ref="B52:I52" si="2">$C$49*P33</f>
        <v>11048.823529411766</v>
      </c>
      <c r="C52" s="626">
        <f t="shared" si="2"/>
        <v>51.35294117647058</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275</v>
      </c>
      <c r="B53" s="629">
        <f t="shared" ref="B53:I53" si="3">$B$49*P33</f>
        <v>15784.033613445379</v>
      </c>
      <c r="C53" s="629">
        <f t="shared" si="3"/>
        <v>73.361344537815114</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2021-11-11T12:19:43Z</dcterms:modified>
</cp:coreProperties>
</file>