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82A5114-0499-48C3-9F00-84EC1096F12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A7" i="23"/>
  <c r="D10"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H14" i="22" l="1"/>
  <c r="G14" i="22"/>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B22" i="6"/>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<sst xmlns="http://schemas.openxmlformats.org/spreadsheetml/2006/main" count="2437" uniqueCount="871">
  <si>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</si>
  <si>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</si>
  <si>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</si>
  <si>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</si>
  <si>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</si>
  <si>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</si>
  <si>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</si>
  <si>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</si>
  <si>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</si>
  <si>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</si>
  <si>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</si>
  <si>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</si>
  <si>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</si>
  <si>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</si>
  <si>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</si>
  <si>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</si>
  <si>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</si>
  <si>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</si>
  <si>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</si>
  <si>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</si>
  <si>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</si>
  <si>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</si>
  <si>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</si>
  <si>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</si>
  <si>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</si>
  <si>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</si>
  <si>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</si>
  <si>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</si>
  <si>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</si>
  <si>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</si>
  <si>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</si>
  <si>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</si>
  <si>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</si>
  <si>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</si>
  <si>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</si>
  <si>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</si>
  <si>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</si>
  <si>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</si>
  <si>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</si>
  <si>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</si>
  <si>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</si>
  <si>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</si>
  <si>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</si>
  <si>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</si>
  <si>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</si>
  <si>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</si>
  <si>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</si>
  <si>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</si>
  <si>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</si>
  <si>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</si>
  <si>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</si>
  <si>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</si>
  <si>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</si>
  <si>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</si>
  <si>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</si>
  <si>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</si>
  <si>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</si>
  <si>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</si>
  <si>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</si>
  <si>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</si>
  <si>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</si>
  <si>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</si>
  <si>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</si>
  <si>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</si>
  <si>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</si>
  <si>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</si>
  <si>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</si>
  <si>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</si>
  <si>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</si>
  <si>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</si>
  <si>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</si>
  <si>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</si>
  <si>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</si>
  <si>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</si>
  <si>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</si>
  <si>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</si>
  <si>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</si>
  <si>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</si>
  <si>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</si>
  <si>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</si>
  <si>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</si>
  <si>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</si>
  <si>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</si>
  <si>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</si>
  <si>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</si>
  <si>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</si>
  <si>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</si>
  <si>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</si>
  <si>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</si>
  <si>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</si>
  <si>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</si>
  <si>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</si>
  <si>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</si>
  <si>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</si>
  <si>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</si>
  <si>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</si>
  <si>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</si>
  <si>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</si>
  <si>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</si>
  <si>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</si>
  <si>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</si>
  <si>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</si>
  <si>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</si>
  <si>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</si>
  <si>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</si>
  <si>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</si>
  <si>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</si>
  <si>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</si>
  <si>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</si>
  <si>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</si>
  <si>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</si>
  <si>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</si>
  <si>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</si>
  <si>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</si>
  <si>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</si>
  <si>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</si>
  <si>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</si>
  <si>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</si>
  <si>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</si>
  <si>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</si>
  <si>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</si>
  <si>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</si>
  <si>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</si>
  <si>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</si>
  <si>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</si>
  <si>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</si>
  <si>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</si>
  <si>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</si>
  <si>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</si>
  <si>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</si>
  <si>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</si>
  <si>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</si>
  <si>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</si>
  <si>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</si>
  <si>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</si>
  <si>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</si>
  <si>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</si>
  <si>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</si>
  <si>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</si>
  <si>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</si>
  <si>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</si>
  <si>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</si>
  <si>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</si>
  <si>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</si>
  <si>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</si>
  <si>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</si>
  <si>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</si>
  <si>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</si>
  <si>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</si>
  <si>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</si>
  <si>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</si>
  <si>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</si>
  <si>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</si>
  <si>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</si>
  <si>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</si>
  <si>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</si>
  <si>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</si>
  <si>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</si>
  <si>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</si>
  <si>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</si>
  <si>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</si>
  <si>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</si>
  <si>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</si>
  <si>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</si>
  <si>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</si>
  <si>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</si>
  <si>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</si>
  <si>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</si>
  <si>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</si>
  <si>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</si>
  <si>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</si>
  <si>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</si>
  <si>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</si>
  <si>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</si>
  <si>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</si>
  <si>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</si>
  <si>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</si>
  <si>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</si>
  <si>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</si>
  <si>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</si>
  <si>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</si>
  <si>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</si>
  <si>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</si>
  <si>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</si>
  <si>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</si>
  <si>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</si>
  <si>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</si>
  <si>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</si>
  <si>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</si>
  <si>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</si>
  <si>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</si>
  <si>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</si>
  <si>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</si>
  <si>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</si>
  <si>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</si>
  <si>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</si>
  <si>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</si>
  <si>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</si>
  <si>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</si>
  <si>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</si>
  <si>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</si>
  <si>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</si>
  <si>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</si>
  <si>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</si>
  <si>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</si>
  <si>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</si>
  <si>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</si>
  <si>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</si>
  <si>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</si>
  <si>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</si>
  <si>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</si>
  <si>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</si>
  <si>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</si>
  <si>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</si>
  <si>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</si>
  <si>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</si>
  <si>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</si>
  <si>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</si>
  <si>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</si>
  <si>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</si>
  <si>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</si>
  <si>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</si>
  <si>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</si>
  <si>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</si>
  <si>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</si>
  <si>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</si>
  <si>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</si>
  <si>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</si>
  <si>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</si>
  <si>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</si>
  <si>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</si>
  <si>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</si>
  <si>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</si>
  <si>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</si>
  <si>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</si>
  <si>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</si>
  <si>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</si>
  <si>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</si>
  <si>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</si>
  <si>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</si>
  <si>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</si>
  <si>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</si>
  <si>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</si>
  <si>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</si>
  <si>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</si>
  <si>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</si>
  <si>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</si>
  <si>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</si>
  <si>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</si>
  <si>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</si>
  <si>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</si>
  <si>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</si>
  <si>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</si>
  <si>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</si>
  <si>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</si>
  <si>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</si>
  <si>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</si>
  <si>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</si>
  <si>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</si>
  <si>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</si>
  <si>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</si>
  <si>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</si>
  <si>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</si>
  <si>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</si>
  <si>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</si>
  <si>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</si>
  <si>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</si>
  <si>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</si>
  <si>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</si>
  <si>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</si>
  <si>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</si>
  <si>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</si>
  <si>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</si>
  <si>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</si>
  <si>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</si>
  <si>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</si>
  <si>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</si>
  <si>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</si>
  <si>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</si>
  <si>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</si>
  <si>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</si>
  <si>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</si>
  <si>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</si>
  <si>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</si>
  <si>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</si>
  <si>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</si>
  <si>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</si>
  <si>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</si>
  <si>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</si>
  <si>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</si>
  <si>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</si>
  <si>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</si>
  <si>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</si>
  <si>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</si>
  <si>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</si>
  <si>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</si>
  <si>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</si>
  <si>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</si>
  <si>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</si>
  <si>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</si>
  <si>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</si>
  <si>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</si>
  <si>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</si>
  <si>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</si>
  <si>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</si>
  <si>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</si>
  <si>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</si>
  <si>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</si>
  <si>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</si>
  <si>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</si>
  <si>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</si>
  <si>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</si>
  <si>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</si>
  <si>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</si>
  <si>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</si>
  <si>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</si>
  <si>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</si>
  <si>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</si>
  <si>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</si>
  <si>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</si>
  <si>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</si>
  <si>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</si>
  <si>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</si>
  <si>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</si>
  <si>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</si>
  <si>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</si>
  <si>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</si>
  <si>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</si>
  <si>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</si>
  <si>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</si>
  <si>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</si>
  <si>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</si>
  <si>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</si>
  <si>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</si>
  <si>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</si>
  <si>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</si>
  <si>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</si>
  <si>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</si>
  <si>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</si>
  <si>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</si>
  <si>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</si>
  <si>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</si>
  <si>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</si>
  <si>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</si>
  <si>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</si>
  <si>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</si>
  <si>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</si>
  <si>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</si>
  <si>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</si>
  <si>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</si>
  <si>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</si>
  <si>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</si>
  <si>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</si>
  <si>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</si>
  <si>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</si>
  <si>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</si>
  <si>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</si>
  <si>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</si>
  <si>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</si>
  <si>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</si>
  <si>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</si>
  <si>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</si>
  <si>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</si>
  <si>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</si>
  <si>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</si>
  <si>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</si>
  <si>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</si>
  <si>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</si>
  <si>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</si>
  <si>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</si>
  <si>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</si>
  <si>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</si>
  <si>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</si>
  <si>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</si>
  <si>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</si>
  <si>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</si>
  <si>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</si>
  <si>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</si>
  <si>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</si>
  <si>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</si>
  <si>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</si>
  <si>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</si>
  <si>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</si>
  <si>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</si>
  <si>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</si>
  <si>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</si>
  <si>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</si>
  <si>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</si>
  <si>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</si>
  <si>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</si>
  <si>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</si>
  <si>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</si>
  <si>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</si>
  <si>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</si>
  <si>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</si>
  <si>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</si>
  <si>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</si>
  <si>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</si>
  <si>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</si>
  <si>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</si>
  <si>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</si>
  <si>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</si>
  <si>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</si>
  <si>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</si>
  <si>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</si>
  <si>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</si>
  <si>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</si>
  <si>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</si>
  <si>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</si>
  <si>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</si>
  <si>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</si>
  <si>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</si>
  <si>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</si>
  <si>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</si>
  <si>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</si>
  <si>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</si>
  <si>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</si>
  <si>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</si>
  <si>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</si>
  <si>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</si>
  <si>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</si>
  <si>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</si>
  <si>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</si>
  <si>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</si>
  <si>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</si>
  <si>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</si>
  <si>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</si>
  <si>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</si>
  <si>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</si>
  <si>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</si>
  <si>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</si>
  <si>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</si>
  <si>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</si>
  <si>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</si>
  <si>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</si>
  <si>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</si>
  <si>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</si>
  <si>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</si>
  <si>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</si>
  <si>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</si>
  <si>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</si>
  <si>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</si>
  <si>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</si>
  <si>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</si>
  <si>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</si>
  <si>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</si>
  <si>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</si>
  <si>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</si>
  <si>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</si>
  <si>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</si>
  <si>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</si>
  <si>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</si>
  <si>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</si>
  <si>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</si>
  <si>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</si>
  <si>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</si>
  <si>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</si>
  <si>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</si>
  <si>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</si>
  <si>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</si>
  <si>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</si>
  <si>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</si>
  <si>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</si>
  <si>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</si>
  <si>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</si>
  <si>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</si>
  <si>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</si>
  <si>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</si>
  <si>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</si>
  <si>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</si>
  <si>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</si>
  <si>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</si>
  <si>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</si>
  <si>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</si>
  <si>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</si>
  <si>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</si>
  <si>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</si>
  <si>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</si>
  <si>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</si>
  <si>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</si>
  <si>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</si>
  <si>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</si>
  <si>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</si>
  <si>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</si>
  <si>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</si>
  <si>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</si>
  <si>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</si>
  <si>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</si>
  <si>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</si>
  <si>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</si>
  <si>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</si>
  <si>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</si>
  <si>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</si>
  <si>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</si>
  <si>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</si>
  <si>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</si>
  <si>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</si>
  <si>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</si>
  <si>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</si>
  <si>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</si>
  <si>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</si>
  <si>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</si>
  <si>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</si>
  <si>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</si>
  <si>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</si>
  <si>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</si>
  <si>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</si>
  <si>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</si>
  <si>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</si>
  <si>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</si>
  <si>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</si>
  <si>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</si>
  <si>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</si>
  <si>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</si>
  <si>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</si>
  <si>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</si>
  <si>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</si>
  <si>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</si>
  <si>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</si>
  <si>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</si>
  <si>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</si>
  <si>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</si>
  <si>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</si>
  <si>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</si>
  <si>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</si>
  <si>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</si>
  <si>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</si>
  <si>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</si>
  <si>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</si>
  <si>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</si>
  <si>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</si>
  <si>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</si>
  <si>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</si>
  <si>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</si>
  <si>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</si>
  <si>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</si>
  <si>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</si>
  <si>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</si>
  <si>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</si>
  <si>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</si>
  <si>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</si>
  <si>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</si>
  <si>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</si>
  <si>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</si>
  <si>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</si>
  <si>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</si>
  <si>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</si>
  <si>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</si>
  <si>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</si>
  <si>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</si>
  <si>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</si>
  <si>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</si>
  <si>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</si>
  <si>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</si>
  <si>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</si>
  <si>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</si>
  <si>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</si>
  <si>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</si>
  <si>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</si>
  <si>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</si>
  <si>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</si>
  <si>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</si>
  <si>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</si>
  <si>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</si>
  <si>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</si>
  <si>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</si>
  <si>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</si>
  <si>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</si>
  <si>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</si>
  <si>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</si>
  <si>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</si>
  <si>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</si>
  <si>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</si>
  <si>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</si>
  <si>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</si>
  <si>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</si>
  <si>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</si>
  <si>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</si>
  <si>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</si>
  <si>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</si>
  <si>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</si>
  <si>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</si>
  <si>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</si>
  <si>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</si>
  <si>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</si>
  <si>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</si>
  <si>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</si>
  <si>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</si>
  <si>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</si>
  <si>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</si>
  <si>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</si>
  <si>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</si>
  <si>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</si>
  <si>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</si>
  <si>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</si>
  <si>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</si>
  <si>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</si>
  <si>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</si>
  <si>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</si>
  <si>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</si>
  <si>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</si>
  <si>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</si>
  <si>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</si>
  <si>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</si>
  <si>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</si>
  <si>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</si>
  <si>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</si>
  <si>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</si>
  <si>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</si>
  <si>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</si>
  <si>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</si>
  <si>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</si>
  <si>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</si>
  <si>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</si>
  <si>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</si>
  <si>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</si>
  <si>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</si>
  <si>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</si>
  <si>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</si>
  <si>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</si>
  <si>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</si>
  <si>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</si>
  <si>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</si>
  <si>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</si>
  <si>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</si>
  <si>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</si>
  <si>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</si>
  <si>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</si>
  <si>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</si>
  <si>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</si>
  <si>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</si>
  <si>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</si>
  <si>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</si>
  <si>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</si>
  <si>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</si>
  <si>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</si>
  <si>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</si>
  <si>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</si>
  <si>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</si>
  <si>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</si>
  <si>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</si>
  <si>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</si>
  <si>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</si>
  <si>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</si>
  <si>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</si>
  <si>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</si>
  <si>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</si>
  <si>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</si>
  <si>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</si>
  <si>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</si>
  <si>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</si>
  <si>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</si>
  <si>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</si>
  <si>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</si>
  <si>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</si>
  <si>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</si>
  <si>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</si>
  <si>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</si>
  <si>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</si>
  <si>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</si>
  <si>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</si>
  <si>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</si>
  <si>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</si>
  <si>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</si>
  <si>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</si>
  <si>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</si>
  <si>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</si>
  <si>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</si>
  <si>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</si>
  <si>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</si>
  <si>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</si>
  <si>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</si>
  <si>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</si>
  <si>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</si>
  <si>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</si>
  <si>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</si>
  <si>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</si>
  <si>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</si>
  <si>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</si>
  <si>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</si>
  <si>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</si>
  <si>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</si>
  <si>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</si>
  <si>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</si>
  <si>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</si>
  <si>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</si>
  <si>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</si>
  <si>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</si>
  <si>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</si>
  <si>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</si>
  <si>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</si>
  <si>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</si>
  <si>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</si>
  <si>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</si>
  <si>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</si>
  <si>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</si>
  <si>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</si>
  <si>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</si>
  <si>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</si>
  <si>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</si>
  <si>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</si>
  <si>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</si>
  <si>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</si>
  <si>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</si>
  <si>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</si>
  <si>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</si>
  <si>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</si>
  <si>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</si>
  <si>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</si>
  <si>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</si>
  <si>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</si>
  <si>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</si>
  <si>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</si>
  <si>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</si>
  <si>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</si>
  <si>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</si>
  <si>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</si>
  <si>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</si>
  <si>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</si>
  <si>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</si>
  <si>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</si>
  <si>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</si>
  <si>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</si>
  <si>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</si>
  <si>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</si>
  <si>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</si>
  <si>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</si>
  <si>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</si>
  <si>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</si>
  <si>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</si>
  <si>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</si>
  <si>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</si>
  <si>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</si>
  <si>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</si>
  <si>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</si>
  <si>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</si>
  <si>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</si>
  <si>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</si>
  <si>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</si>
  <si>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</si>
  <si>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</si>
  <si>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</si>
  <si>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</si>
  <si>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</si>
  <si>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</si>
  <si>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</si>
  <si>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</si>
  <si>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</si>
  <si>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</si>
  <si>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</si>
  <si>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</si>
  <si>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</si>
  <si>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</si>
  <si>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</si>
  <si>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</si>
  <si>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</si>
  <si>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</si>
  <si>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</si>
  <si>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</si>
  <si>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</si>
  <si>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</si>
  <si>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</si>
  <si>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</si>
  <si>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</si>
  <si>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</si>
  <si>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</si>
  <si>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</si>
  <si>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</si>
  <si>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</si>
  <si>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</si>
  <si>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</si>
  <si>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</si>
  <si>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</si>
  <si>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</si>
  <si>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</si>
  <si>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</si>
  <si>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</si>
  <si>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</si>
  <si>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</si>
  <si>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</si>
  <si>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</si>
  <si>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</si>
  <si>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</si>
  <si>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</si>
  <si>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</si>
  <si>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</si>
  <si>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</si>
  <si>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</si>
  <si>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</si>
  <si>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</si>
  <si>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</si>
  <si>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</si>
  <si>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</si>
  <si>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</si>
  <si>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</si>
  <si>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</si>
  <si>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</si>
  <si>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</si>
  <si>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</si>
  <si>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</si>
  <si>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</si>
  <si>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</si>
  <si>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</si>
  <si>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</si>
  <si>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</si>
  <si>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</si>
  <si>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</si>
  <si>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</si>
  <si>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</si>
  <si>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</si>
  <si>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</si>
  <si>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</si>
  <si>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</si>
  <si>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</si>
  <si>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</si>
  <si>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</si>
  <si>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</si>
  <si>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</si>
  <si>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</si>
  <si>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</si>
  <si>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</si>
  <si>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</si>
  <si>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</si>
  <si>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</si>
  <si>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</si>
  <si>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</si>
  <si>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</si>
  <si>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</si>
  <si>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</si>
  <si>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</si>
  <si>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</si>
  <si>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</si>
  <si>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</si>
  <si>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</si>
  <si>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</si>
  <si>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</si>
  <si>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</si>
  <si>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</si>
  <si>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</si>
  <si>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</si>
  <si>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</si>
  <si>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</si>
  <si>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</si>
  <si>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</si>
  <si>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</si>
  <si>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</si>
  <si>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</si>
  <si>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</si>
  <si>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</si>
  <si>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</si>
  <si>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</si>
  <si>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</si>
  <si>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</si>
  <si>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</si>
  <si>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</si>
  <si>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</si>
  <si>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</si>
  <si>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</si>
  <si>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</si>
  <si>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</si>
  <si>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</si>
  <si>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</si>
  <si>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</si>
  <si>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</si>
  <si>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44019</t>
  </si>
  <si>
    <t>EVERGEM</t>
  </si>
  <si>
    <t>referentietaak LNE (2017); Jaarverslag De Lijn</t>
  </si>
  <si>
    <t>waterkracht</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</si>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</sst>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AD43B19-60D3-4482-B81A-62B57919818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287275.28324429941</c:v>
                </c:pt>
                <c:pt idx="1">
                  <c:v>86723.544509401167</c:v>
                </c:pt>
                <c:pt idx="2">
                  <c:v>2201.627</c:v>
                </c:pt>
                <c:pt idx="3">
                  <c:v>24620.100231623863</c:v>
                </c:pt>
                <c:pt idx="4">
                  <c:v>124600.01997970359</c:v>
                </c:pt>
                <c:pt idx="5">
                  <c:v>169058.78581393015</c:v>
                </c:pt>
                <c:pt idx="6">
                  <c:v>3586.9482514781121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287275.28324429941</c:v>
                </c:pt>
                <c:pt idx="1">
                  <c:v>86723.544509401167</c:v>
                </c:pt>
                <c:pt idx="2">
                  <c:v>2201.627</c:v>
                </c:pt>
                <c:pt idx="3">
                  <c:v>24620.100231623863</c:v>
                </c:pt>
                <c:pt idx="4">
                  <c:v>124600.01997970359</c:v>
                </c:pt>
                <c:pt idx="5">
                  <c:v>169058.78581393015</c:v>
                </c:pt>
                <c:pt idx="6">
                  <c:v>3586.9482514781121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51652.468135268951</c:v>
                </c:pt>
                <c:pt idx="1">
                  <c:v>13497.438118152579</c:v>
                </c:pt>
                <c:pt idx="2">
                  <c:v>195.17544563915001</c:v>
                </c:pt>
                <c:pt idx="3">
                  <c:v>5654.2388182994537</c:v>
                </c:pt>
                <c:pt idx="4">
                  <c:v>21675.0780318666</c:v>
                </c:pt>
                <c:pt idx="5">
                  <c:v>41850.978961995599</c:v>
                </c:pt>
                <c:pt idx="6">
                  <c:v>723.25256128241313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51652.468135268951</c:v>
                </c:pt>
                <c:pt idx="1">
                  <c:v>13497.438118152579</c:v>
                </c:pt>
                <c:pt idx="2">
                  <c:v>195.17544563915001</c:v>
                </c:pt>
                <c:pt idx="3">
                  <c:v>5654.2388182994537</c:v>
                </c:pt>
                <c:pt idx="4">
                  <c:v>21675.0780318666</c:v>
                </c:pt>
                <c:pt idx="5">
                  <c:v>41850.978961995599</c:v>
                </c:pt>
                <c:pt idx="6">
                  <c:v>723.25256128241313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44019</v>
      </c>
      <c r="B6" s="384"/>
      <c r="C6" s="385"/>
    </row>
    <row r="7" spans="1:7" s="382" customFormat="1" ht="15.75" customHeight="1">
      <c r="A7" s="386" t="str">
        <f>txtMunicipality</f>
        <v>EVERGEM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37748.648227764155</v>
      </c>
      <c r="D10" s="681">
        <f ca="1">tertiair!C16</f>
        <v>81</v>
      </c>
      <c r="E10" s="681">
        <f ca="1">tertiair!D16</f>
        <v>42351.007133563951</v>
      </c>
      <c r="F10" s="681">
        <f>tertiair!E16</f>
        <v>161.52011103470932</v>
      </c>
      <c r="G10" s="681">
        <f ca="1">tertiair!F16</f>
        <v>6504.3991268118207</v>
      </c>
      <c r="H10" s="681">
        <f>tertiair!G16</f>
        <v>0</v>
      </c>
      <c r="I10" s="681">
        <f>tertiair!H16</f>
        <v>0</v>
      </c>
      <c r="J10" s="681">
        <f>tertiair!I16</f>
        <v>0</v>
      </c>
      <c r="K10" s="681">
        <f>tertiair!J16</f>
        <v>3.9891107252680351E-2</v>
      </c>
      <c r="L10" s="681">
        <f>tertiair!K16</f>
        <v>0</v>
      </c>
      <c r="M10" s="681">
        <f ca="1">tertiair!L16</f>
        <v>0</v>
      </c>
      <c r="N10" s="681">
        <f>tertiair!M16</f>
        <v>0</v>
      </c>
      <c r="O10" s="681">
        <f ca="1">tertiair!N16</f>
        <v>1556.732166702408</v>
      </c>
      <c r="P10" s="681">
        <f>tertiair!O16</f>
        <v>48.972607658411548</v>
      </c>
      <c r="Q10" s="682">
        <f>tertiair!P16</f>
        <v>472.85224475845519</v>
      </c>
      <c r="R10" s="684">
        <f ca="1">SUM(C10:Q10)</f>
        <v>88925.17150940116</v>
      </c>
      <c r="S10" s="67"/>
    </row>
    <row r="11" spans="1:19" s="443" customFormat="1">
      <c r="A11" s="802" t="s">
        <v>214</v>
      </c>
      <c r="B11" s="807"/>
      <c r="C11" s="681">
        <f>huishoudens!B8</f>
        <v>64955.837925921827</v>
      </c>
      <c r="D11" s="681">
        <f>huishoudens!C8</f>
        <v>0</v>
      </c>
      <c r="E11" s="681">
        <f>huishoudens!D8</f>
        <v>112862.42901769199</v>
      </c>
      <c r="F11" s="681">
        <f>huishoudens!E8</f>
        <v>3773.6774658128675</v>
      </c>
      <c r="G11" s="681">
        <f>huishoudens!F8</f>
        <v>82668.462680641576</v>
      </c>
      <c r="H11" s="681">
        <f>huishoudens!G8</f>
        <v>0</v>
      </c>
      <c r="I11" s="681">
        <f>huishoudens!H8</f>
        <v>0</v>
      </c>
      <c r="J11" s="681">
        <f>huishoudens!I8</f>
        <v>0</v>
      </c>
      <c r="K11" s="681">
        <f>huishoudens!J8</f>
        <v>471.13661057742826</v>
      </c>
      <c r="L11" s="681">
        <f>huishoudens!K8</f>
        <v>0</v>
      </c>
      <c r="M11" s="681">
        <f>huishoudens!L8</f>
        <v>0</v>
      </c>
      <c r="N11" s="681">
        <f>huishoudens!M8</f>
        <v>0</v>
      </c>
      <c r="O11" s="681">
        <f>huishoudens!N8</f>
        <v>19601.656525892042</v>
      </c>
      <c r="P11" s="681">
        <f>huishoudens!O8</f>
        <v>1140.7759761475431</v>
      </c>
      <c r="Q11" s="682">
        <f>huishoudens!P8</f>
        <v>1801.3070416141391</v>
      </c>
      <c r="R11" s="684">
        <f>SUM(C11:Q11)</f>
        <v>287275.28324429941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32847.196717998711</v>
      </c>
      <c r="D13" s="681">
        <f>industrie!C18</f>
        <v>0</v>
      </c>
      <c r="E13" s="681">
        <f>industrie!D18</f>
        <v>83245.770068165293</v>
      </c>
      <c r="F13" s="681">
        <f>industrie!E18</f>
        <v>1791.2701557076532</v>
      </c>
      <c r="G13" s="681">
        <f>industrie!F18</f>
        <v>5745.2349213991947</v>
      </c>
      <c r="H13" s="681">
        <f>industrie!G18</f>
        <v>0</v>
      </c>
      <c r="I13" s="681">
        <f>industrie!H18</f>
        <v>0</v>
      </c>
      <c r="J13" s="681">
        <f>industrie!I18</f>
        <v>0</v>
      </c>
      <c r="K13" s="681">
        <f>industrie!J18</f>
        <v>19.5320788441628</v>
      </c>
      <c r="L13" s="681">
        <f>industrie!K18</f>
        <v>0</v>
      </c>
      <c r="M13" s="681">
        <f>industrie!L18</f>
        <v>0</v>
      </c>
      <c r="N13" s="681">
        <f>industrie!M18</f>
        <v>0</v>
      </c>
      <c r="O13" s="681">
        <f>industrie!N18</f>
        <v>951.01603758858016</v>
      </c>
      <c r="P13" s="681">
        <f>industrie!O18</f>
        <v>0</v>
      </c>
      <c r="Q13" s="682">
        <f>industrie!P18</f>
        <v>0</v>
      </c>
      <c r="R13" s="684">
        <f>SUM(C13:Q13)</f>
        <v>124600.01997970359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135551.68287168469</v>
      </c>
      <c r="D16" s="717">
        <f t="shared" ref="D16:R16" ca="1" si="0">SUM(D9:D15)</f>
        <v>81</v>
      </c>
      <c r="E16" s="717">
        <f t="shared" ca="1" si="0"/>
        <v>238459.20621942123</v>
      </c>
      <c r="F16" s="717">
        <f t="shared" si="0"/>
        <v>5726.4677325552302</v>
      </c>
      <c r="G16" s="717">
        <f t="shared" ca="1" si="0"/>
        <v>94918.096728852601</v>
      </c>
      <c r="H16" s="717">
        <f t="shared" si="0"/>
        <v>0</v>
      </c>
      <c r="I16" s="717">
        <f t="shared" si="0"/>
        <v>0</v>
      </c>
      <c r="J16" s="717">
        <f t="shared" si="0"/>
        <v>0</v>
      </c>
      <c r="K16" s="717">
        <f t="shared" si="0"/>
        <v>490.70858052884375</v>
      </c>
      <c r="L16" s="717">
        <f t="shared" si="0"/>
        <v>0</v>
      </c>
      <c r="M16" s="717">
        <f t="shared" ca="1" si="0"/>
        <v>0</v>
      </c>
      <c r="N16" s="717">
        <f t="shared" si="0"/>
        <v>0</v>
      </c>
      <c r="O16" s="717">
        <f t="shared" ca="1" si="0"/>
        <v>22109.404730183029</v>
      </c>
      <c r="P16" s="717">
        <f t="shared" si="0"/>
        <v>1189.7485838059547</v>
      </c>
      <c r="Q16" s="717">
        <f t="shared" si="0"/>
        <v>2274.1592863725941</v>
      </c>
      <c r="R16" s="717">
        <f t="shared" ca="1" si="0"/>
        <v>500800.47473340417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1113.562311336183</v>
      </c>
      <c r="D19" s="681">
        <f>transport!C54</f>
        <v>0</v>
      </c>
      <c r="E19" s="681">
        <f>transport!D54</f>
        <v>0</v>
      </c>
      <c r="F19" s="681">
        <f>transport!E54</f>
        <v>0</v>
      </c>
      <c r="G19" s="681">
        <f>transport!F54</f>
        <v>0</v>
      </c>
      <c r="H19" s="681">
        <f>transport!G54</f>
        <v>2339.0810835922225</v>
      </c>
      <c r="I19" s="681">
        <f>transport!H54</f>
        <v>0</v>
      </c>
      <c r="J19" s="681">
        <f>transport!I54</f>
        <v>0</v>
      </c>
      <c r="K19" s="681">
        <f>transport!J54</f>
        <v>0</v>
      </c>
      <c r="L19" s="681">
        <f>transport!K54</f>
        <v>0</v>
      </c>
      <c r="M19" s="681">
        <f>transport!L54</f>
        <v>0</v>
      </c>
      <c r="N19" s="681">
        <f>transport!M54</f>
        <v>134.30485654970676</v>
      </c>
      <c r="O19" s="681">
        <f>transport!N54</f>
        <v>0</v>
      </c>
      <c r="P19" s="681">
        <f>transport!O54</f>
        <v>0</v>
      </c>
      <c r="Q19" s="682">
        <f>transport!P54</f>
        <v>0</v>
      </c>
      <c r="R19" s="684">
        <f>SUM(C19:Q19)</f>
        <v>3586.9482514781121</v>
      </c>
      <c r="S19" s="67"/>
    </row>
    <row r="20" spans="1:19" s="443" customFormat="1">
      <c r="A20" s="802" t="s">
        <v>296</v>
      </c>
      <c r="B20" s="807"/>
      <c r="C20" s="681">
        <f>transport!B14</f>
        <v>372.34788673559399</v>
      </c>
      <c r="D20" s="681">
        <f>transport!C14</f>
        <v>0</v>
      </c>
      <c r="E20" s="681">
        <f>transport!D14</f>
        <v>701.47182513524149</v>
      </c>
      <c r="F20" s="681">
        <f>transport!E14</f>
        <v>272.95395008419962</v>
      </c>
      <c r="G20" s="681">
        <f>transport!F14</f>
        <v>0</v>
      </c>
      <c r="H20" s="681">
        <f>transport!G14</f>
        <v>123906.84843316203</v>
      </c>
      <c r="I20" s="681">
        <f>transport!H14</f>
        <v>34261.782047560133</v>
      </c>
      <c r="J20" s="681">
        <f>transport!I14</f>
        <v>0</v>
      </c>
      <c r="K20" s="681">
        <f>transport!J14</f>
        <v>0</v>
      </c>
      <c r="L20" s="681">
        <f>transport!K14</f>
        <v>0</v>
      </c>
      <c r="M20" s="681">
        <f>transport!L14</f>
        <v>0</v>
      </c>
      <c r="N20" s="681">
        <f>transport!M14</f>
        <v>9543.3816712529424</v>
      </c>
      <c r="O20" s="681">
        <f>transport!N14</f>
        <v>0</v>
      </c>
      <c r="P20" s="681">
        <f>transport!O14</f>
        <v>0</v>
      </c>
      <c r="Q20" s="682">
        <f>transport!P14</f>
        <v>0</v>
      </c>
      <c r="R20" s="684">
        <f>SUM(C20:Q20)</f>
        <v>169058.78581393015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1485.9101980717769</v>
      </c>
      <c r="D22" s="805">
        <f t="shared" ref="D22:R22" si="1">SUM(D18:D21)</f>
        <v>0</v>
      </c>
      <c r="E22" s="805">
        <f t="shared" si="1"/>
        <v>701.47182513524149</v>
      </c>
      <c r="F22" s="805">
        <f t="shared" si="1"/>
        <v>272.95395008419962</v>
      </c>
      <c r="G22" s="805">
        <f t="shared" si="1"/>
        <v>0</v>
      </c>
      <c r="H22" s="805">
        <f t="shared" si="1"/>
        <v>126245.92951675424</v>
      </c>
      <c r="I22" s="805">
        <f t="shared" si="1"/>
        <v>34261.782047560133</v>
      </c>
      <c r="J22" s="805">
        <f t="shared" si="1"/>
        <v>0</v>
      </c>
      <c r="K22" s="805">
        <f t="shared" si="1"/>
        <v>0</v>
      </c>
      <c r="L22" s="805">
        <f t="shared" si="1"/>
        <v>0</v>
      </c>
      <c r="M22" s="805">
        <f t="shared" si="1"/>
        <v>0</v>
      </c>
      <c r="N22" s="805">
        <f t="shared" si="1"/>
        <v>9677.6865278026489</v>
      </c>
      <c r="O22" s="805">
        <f t="shared" si="1"/>
        <v>0</v>
      </c>
      <c r="P22" s="805">
        <f t="shared" si="1"/>
        <v>0</v>
      </c>
      <c r="Q22" s="805">
        <f t="shared" si="1"/>
        <v>0</v>
      </c>
      <c r="R22" s="805">
        <f t="shared" si="1"/>
        <v>172645.73406540827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4785.4229138195897</v>
      </c>
      <c r="D24" s="681">
        <f>+landbouw!C8</f>
        <v>2623.5</v>
      </c>
      <c r="E24" s="681">
        <f>+landbouw!D8</f>
        <v>709.15496025722314</v>
      </c>
      <c r="F24" s="681">
        <f>+landbouw!E8</f>
        <v>137.06261067001725</v>
      </c>
      <c r="G24" s="681">
        <f>+landbouw!F8</f>
        <v>15148.176973618922</v>
      </c>
      <c r="H24" s="681">
        <f>+landbouw!G8</f>
        <v>0</v>
      </c>
      <c r="I24" s="681">
        <f>+landbouw!H8</f>
        <v>0</v>
      </c>
      <c r="J24" s="681">
        <f>+landbouw!I8</f>
        <v>0</v>
      </c>
      <c r="K24" s="681">
        <f>+landbouw!J8</f>
        <v>1216.7827732581109</v>
      </c>
      <c r="L24" s="681">
        <f>+landbouw!K8</f>
        <v>0</v>
      </c>
      <c r="M24" s="681">
        <f>+landbouw!L8</f>
        <v>0</v>
      </c>
      <c r="N24" s="681">
        <f>+landbouw!M8</f>
        <v>0</v>
      </c>
      <c r="O24" s="681">
        <f>+landbouw!N8</f>
        <v>0</v>
      </c>
      <c r="P24" s="681">
        <f>+landbouw!O8</f>
        <v>0</v>
      </c>
      <c r="Q24" s="682">
        <f>+landbouw!P8</f>
        <v>0</v>
      </c>
      <c r="R24" s="684">
        <f>SUM(C24:Q24)</f>
        <v>24620.100231623863</v>
      </c>
      <c r="S24" s="67"/>
    </row>
    <row r="25" spans="1:19" s="443" customFormat="1" ht="15" thickBot="1">
      <c r="A25" s="824" t="s">
        <v>690</v>
      </c>
      <c r="B25" s="937"/>
      <c r="C25" s="938">
        <f>IF(Onbekend_ele_kWh="---",0,Onbekend_ele_kWh)/1000+IF(REST_rest_ele_kWh="---",0,REST_rest_ele_kWh)/1000</f>
        <v>2542.65094895731</v>
      </c>
      <c r="D25" s="938"/>
      <c r="E25" s="938">
        <f>IF(onbekend_gas_kWh="---",0,onbekend_gas_kWh)/1000+IF(REST_rest_gas_kWh="---",0,REST_rest_gas_kWh)/1000</f>
        <v>3112.3278224200003</v>
      </c>
      <c r="F25" s="938"/>
      <c r="G25" s="938"/>
      <c r="H25" s="938"/>
      <c r="I25" s="938"/>
      <c r="J25" s="938"/>
      <c r="K25" s="938"/>
      <c r="L25" s="938"/>
      <c r="M25" s="938"/>
      <c r="N25" s="938"/>
      <c r="O25" s="938"/>
      <c r="P25" s="938"/>
      <c r="Q25" s="939"/>
      <c r="R25" s="684">
        <f>SUM(C25:Q25)</f>
        <v>5654.9787713773103</v>
      </c>
      <c r="S25" s="67"/>
    </row>
    <row r="26" spans="1:19" s="443" customFormat="1" ht="15.75" thickBot="1">
      <c r="A26" s="689" t="s">
        <v>691</v>
      </c>
      <c r="B26" s="810"/>
      <c r="C26" s="805">
        <f>SUM(C24:C25)</f>
        <v>7328.0738627768997</v>
      </c>
      <c r="D26" s="805">
        <f t="shared" ref="D26:R26" si="2">SUM(D24:D25)</f>
        <v>2623.5</v>
      </c>
      <c r="E26" s="805">
        <f t="shared" si="2"/>
        <v>3821.4827826772234</v>
      </c>
      <c r="F26" s="805">
        <f t="shared" si="2"/>
        <v>137.06261067001725</v>
      </c>
      <c r="G26" s="805">
        <f t="shared" si="2"/>
        <v>15148.176973618922</v>
      </c>
      <c r="H26" s="805">
        <f t="shared" si="2"/>
        <v>0</v>
      </c>
      <c r="I26" s="805">
        <f t="shared" si="2"/>
        <v>0</v>
      </c>
      <c r="J26" s="805">
        <f t="shared" si="2"/>
        <v>0</v>
      </c>
      <c r="K26" s="805">
        <f t="shared" si="2"/>
        <v>1216.7827732581109</v>
      </c>
      <c r="L26" s="805">
        <f t="shared" si="2"/>
        <v>0</v>
      </c>
      <c r="M26" s="805">
        <f t="shared" si="2"/>
        <v>0</v>
      </c>
      <c r="N26" s="805">
        <f t="shared" si="2"/>
        <v>0</v>
      </c>
      <c r="O26" s="805">
        <f t="shared" si="2"/>
        <v>0</v>
      </c>
      <c r="P26" s="805">
        <f t="shared" si="2"/>
        <v>0</v>
      </c>
      <c r="Q26" s="805">
        <f t="shared" si="2"/>
        <v>0</v>
      </c>
      <c r="R26" s="805">
        <f t="shared" si="2"/>
        <v>30275.079003001174</v>
      </c>
      <c r="S26" s="67"/>
    </row>
    <row r="27" spans="1:19" s="443" customFormat="1" ht="17.25" thickTop="1" thickBot="1">
      <c r="A27" s="690" t="s">
        <v>109</v>
      </c>
      <c r="B27" s="797"/>
      <c r="C27" s="691">
        <f ca="1">C22+C16+C26</f>
        <v>144365.66693253335</v>
      </c>
      <c r="D27" s="691">
        <f t="shared" ref="D27:R27" ca="1" si="3">D22+D16+D26</f>
        <v>2704.5</v>
      </c>
      <c r="E27" s="691">
        <f t="shared" ca="1" si="3"/>
        <v>242982.16082723369</v>
      </c>
      <c r="F27" s="691">
        <f t="shared" si="3"/>
        <v>6136.4842933094469</v>
      </c>
      <c r="G27" s="691">
        <f t="shared" ca="1" si="3"/>
        <v>110066.27370247152</v>
      </c>
      <c r="H27" s="691">
        <f t="shared" si="3"/>
        <v>126245.92951675424</v>
      </c>
      <c r="I27" s="691">
        <f t="shared" si="3"/>
        <v>34261.782047560133</v>
      </c>
      <c r="J27" s="691">
        <f t="shared" si="3"/>
        <v>0</v>
      </c>
      <c r="K27" s="691">
        <f t="shared" si="3"/>
        <v>1707.4913537869547</v>
      </c>
      <c r="L27" s="691">
        <f t="shared" si="3"/>
        <v>0</v>
      </c>
      <c r="M27" s="691">
        <f t="shared" ca="1" si="3"/>
        <v>0</v>
      </c>
      <c r="N27" s="691">
        <f t="shared" si="3"/>
        <v>9677.6865278026489</v>
      </c>
      <c r="O27" s="691">
        <f t="shared" ca="1" si="3"/>
        <v>22109.404730183029</v>
      </c>
      <c r="P27" s="691">
        <f t="shared" si="3"/>
        <v>1189.7485838059547</v>
      </c>
      <c r="Q27" s="691">
        <f t="shared" si="3"/>
        <v>2274.1592863725941</v>
      </c>
      <c r="R27" s="691">
        <f t="shared" ca="1" si="3"/>
        <v>703721.28780181368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3346.4384476250425</v>
      </c>
      <c r="D40" s="681">
        <f ca="1">tertiair!C20</f>
        <v>17.917921671164308</v>
      </c>
      <c r="E40" s="681">
        <f ca="1">tertiair!D20</f>
        <v>8554.9034409799187</v>
      </c>
      <c r="F40" s="681">
        <f>tertiair!E20</f>
        <v>36.665065204879014</v>
      </c>
      <c r="G40" s="681">
        <f ca="1">tertiair!F20</f>
        <v>1736.6745668587562</v>
      </c>
      <c r="H40" s="681">
        <f>tertiair!G20</f>
        <v>0</v>
      </c>
      <c r="I40" s="681">
        <f>tertiair!H20</f>
        <v>0</v>
      </c>
      <c r="J40" s="681">
        <f>tertiair!I20</f>
        <v>0</v>
      </c>
      <c r="K40" s="681">
        <f>tertiair!J20</f>
        <v>1.4121451967448843E-2</v>
      </c>
      <c r="L40" s="681">
        <f>tertiair!K20</f>
        <v>0</v>
      </c>
      <c r="M40" s="681">
        <f ca="1">tertiair!L20</f>
        <v>0</v>
      </c>
      <c r="N40" s="681">
        <f>tertiair!M20</f>
        <v>0</v>
      </c>
      <c r="O40" s="681">
        <f ca="1">tertiair!N20</f>
        <v>0</v>
      </c>
      <c r="P40" s="681">
        <f>tertiair!O20</f>
        <v>0</v>
      </c>
      <c r="Q40" s="764">
        <f>tertiair!P20</f>
        <v>0</v>
      </c>
      <c r="R40" s="843">
        <f t="shared" ca="1" si="4"/>
        <v>13692.613563791729</v>
      </c>
    </row>
    <row r="41" spans="1:18">
      <c r="A41" s="815" t="s">
        <v>214</v>
      </c>
      <c r="B41" s="822"/>
      <c r="C41" s="681">
        <f ca="1">huishoudens!B12</f>
        <v>5758.3707930799337</v>
      </c>
      <c r="D41" s="681">
        <f ca="1">huishoudens!C12</f>
        <v>0</v>
      </c>
      <c r="E41" s="681">
        <f>huishoudens!D12</f>
        <v>22798.210661573783</v>
      </c>
      <c r="F41" s="681">
        <f>huishoudens!E12</f>
        <v>856.62478473952092</v>
      </c>
      <c r="G41" s="681">
        <f>huishoudens!F12</f>
        <v>22072.479535731301</v>
      </c>
      <c r="H41" s="681">
        <f>huishoudens!G12</f>
        <v>0</v>
      </c>
      <c r="I41" s="681">
        <f>huishoudens!H12</f>
        <v>0</v>
      </c>
      <c r="J41" s="681">
        <f>huishoudens!I12</f>
        <v>0</v>
      </c>
      <c r="K41" s="681">
        <f>huishoudens!J12</f>
        <v>166.78236014440961</v>
      </c>
      <c r="L41" s="681">
        <f>huishoudens!K12</f>
        <v>0</v>
      </c>
      <c r="M41" s="681">
        <f>huishoudens!L12</f>
        <v>0</v>
      </c>
      <c r="N41" s="681">
        <f>huishoudens!M12</f>
        <v>0</v>
      </c>
      <c r="O41" s="681">
        <f>huishoudens!N12</f>
        <v>0</v>
      </c>
      <c r="P41" s="681">
        <f>huishoudens!O12</f>
        <v>0</v>
      </c>
      <c r="Q41" s="764">
        <f>huishoudens!P12</f>
        <v>0</v>
      </c>
      <c r="R41" s="843">
        <f t="shared" ca="1" si="4"/>
        <v>51652.468135268951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2911.9220728271521</v>
      </c>
      <c r="D43" s="681">
        <f ca="1">industrie!C22</f>
        <v>0</v>
      </c>
      <c r="E43" s="681">
        <f>industrie!D22</f>
        <v>16815.645553769391</v>
      </c>
      <c r="F43" s="681">
        <f>industrie!E22</f>
        <v>406.61832534563729</v>
      </c>
      <c r="G43" s="681">
        <f>industrie!F22</f>
        <v>1533.977724013585</v>
      </c>
      <c r="H43" s="681">
        <f>industrie!G22</f>
        <v>0</v>
      </c>
      <c r="I43" s="681">
        <f>industrie!H22</f>
        <v>0</v>
      </c>
      <c r="J43" s="681">
        <f>industrie!I22</f>
        <v>0</v>
      </c>
      <c r="K43" s="681">
        <f>industrie!J22</f>
        <v>6.9143559108336312</v>
      </c>
      <c r="L43" s="681">
        <f>industrie!K22</f>
        <v>0</v>
      </c>
      <c r="M43" s="681">
        <f>industrie!L22</f>
        <v>0</v>
      </c>
      <c r="N43" s="681">
        <f>industrie!M22</f>
        <v>0</v>
      </c>
      <c r="O43" s="681">
        <f>industrie!N22</f>
        <v>0</v>
      </c>
      <c r="P43" s="681">
        <f>industrie!O22</f>
        <v>0</v>
      </c>
      <c r="Q43" s="764">
        <f>industrie!P22</f>
        <v>0</v>
      </c>
      <c r="R43" s="842">
        <f t="shared" ca="1" si="4"/>
        <v>21675.0780318666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12016.731313532129</v>
      </c>
      <c r="D46" s="717">
        <f t="shared" ref="D46:Q46" ca="1" si="5">SUM(D39:D45)</f>
        <v>17.917921671164308</v>
      </c>
      <c r="E46" s="717">
        <f t="shared" ca="1" si="5"/>
        <v>48168.759656323091</v>
      </c>
      <c r="F46" s="717">
        <f t="shared" si="5"/>
        <v>1299.9081752900372</v>
      </c>
      <c r="G46" s="717">
        <f t="shared" ca="1" si="5"/>
        <v>25343.131826603643</v>
      </c>
      <c r="H46" s="717">
        <f t="shared" si="5"/>
        <v>0</v>
      </c>
      <c r="I46" s="717">
        <f t="shared" si="5"/>
        <v>0</v>
      </c>
      <c r="J46" s="717">
        <f t="shared" si="5"/>
        <v>0</v>
      </c>
      <c r="K46" s="717">
        <f t="shared" si="5"/>
        <v>173.71083750721067</v>
      </c>
      <c r="L46" s="717">
        <f t="shared" si="5"/>
        <v>0</v>
      </c>
      <c r="M46" s="717">
        <f t="shared" ca="1" si="5"/>
        <v>0</v>
      </c>
      <c r="N46" s="717">
        <f t="shared" si="5"/>
        <v>0</v>
      </c>
      <c r="O46" s="717">
        <f t="shared" ca="1" si="5"/>
        <v>0</v>
      </c>
      <c r="P46" s="717">
        <f t="shared" si="5"/>
        <v>0</v>
      </c>
      <c r="Q46" s="717">
        <f t="shared" si="5"/>
        <v>0</v>
      </c>
      <c r="R46" s="717">
        <f ca="1">SUM(R39:R45)</f>
        <v>87020.159730927291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98.717911963289623</v>
      </c>
      <c r="D49" s="681">
        <f ca="1">transport!C58</f>
        <v>0</v>
      </c>
      <c r="E49" s="681">
        <f>transport!D58</f>
        <v>0</v>
      </c>
      <c r="F49" s="681">
        <f>transport!E58</f>
        <v>0</v>
      </c>
      <c r="G49" s="681">
        <f>transport!F58</f>
        <v>0</v>
      </c>
      <c r="H49" s="681">
        <f>transport!G58</f>
        <v>624.53464931912345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723.25256128241313</v>
      </c>
    </row>
    <row r="50" spans="1:18">
      <c r="A50" s="818" t="s">
        <v>296</v>
      </c>
      <c r="B50" s="828"/>
      <c r="C50" s="687">
        <f ca="1">transport!B18</f>
        <v>33.008845152432869</v>
      </c>
      <c r="D50" s="687">
        <f>transport!C18</f>
        <v>0</v>
      </c>
      <c r="E50" s="687">
        <f>transport!D18</f>
        <v>141.6973086773188</v>
      </c>
      <c r="F50" s="687">
        <f>transport!E18</f>
        <v>61.960546669113313</v>
      </c>
      <c r="G50" s="687">
        <f>transport!F18</f>
        <v>0</v>
      </c>
      <c r="H50" s="687">
        <f>transport!G18</f>
        <v>33083.128531654263</v>
      </c>
      <c r="I50" s="687">
        <f>transport!H18</f>
        <v>8531.1837298424725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41850.978961995599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131.72675711572248</v>
      </c>
      <c r="D52" s="717">
        <f t="shared" ref="D52:Q52" ca="1" si="6">SUM(D48:D51)</f>
        <v>0</v>
      </c>
      <c r="E52" s="717">
        <f t="shared" si="6"/>
        <v>141.6973086773188</v>
      </c>
      <c r="F52" s="717">
        <f t="shared" si="6"/>
        <v>61.960546669113313</v>
      </c>
      <c r="G52" s="717">
        <f t="shared" si="6"/>
        <v>0</v>
      </c>
      <c r="H52" s="717">
        <f t="shared" si="6"/>
        <v>33707.663180973388</v>
      </c>
      <c r="I52" s="717">
        <f t="shared" si="6"/>
        <v>8531.1837298424725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42574.231523278009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424.23037588862155</v>
      </c>
      <c r="D54" s="687">
        <f ca="1">+landbouw!C12</f>
        <v>580.34157412715513</v>
      </c>
      <c r="E54" s="687">
        <f>+landbouw!D12</f>
        <v>143.24930197195908</v>
      </c>
      <c r="F54" s="687">
        <f>+landbouw!E12</f>
        <v>31.113212622093918</v>
      </c>
      <c r="G54" s="687">
        <f>+landbouw!F12</f>
        <v>4044.5632519562523</v>
      </c>
      <c r="H54" s="687">
        <f>+landbouw!G12</f>
        <v>0</v>
      </c>
      <c r="I54" s="687">
        <f>+landbouw!H12</f>
        <v>0</v>
      </c>
      <c r="J54" s="687">
        <f>+landbouw!I12</f>
        <v>0</v>
      </c>
      <c r="K54" s="687">
        <f>+landbouw!J12</f>
        <v>430.74110173337124</v>
      </c>
      <c r="L54" s="687">
        <f>+landbouw!K12</f>
        <v>0</v>
      </c>
      <c r="M54" s="687">
        <f>+landbouw!L12</f>
        <v>0</v>
      </c>
      <c r="N54" s="687">
        <f>+landbouw!M12</f>
        <v>0</v>
      </c>
      <c r="O54" s="687">
        <f>+landbouw!N12</f>
        <v>0</v>
      </c>
      <c r="P54" s="687">
        <f>+landbouw!O12</f>
        <v>0</v>
      </c>
      <c r="Q54" s="688">
        <f>+landbouw!P12</f>
        <v>0</v>
      </c>
      <c r="R54" s="716">
        <f ca="1">SUM(C54:Q54)</f>
        <v>5654.2388182994537</v>
      </c>
    </row>
    <row r="55" spans="1:18" ht="15" thickBot="1">
      <c r="A55" s="818" t="s">
        <v>690</v>
      </c>
      <c r="B55" s="828"/>
      <c r="C55" s="687">
        <f ca="1">C25*'EF ele_warmte'!B12</f>
        <v>225.40740646238018</v>
      </c>
      <c r="D55" s="687"/>
      <c r="E55" s="687">
        <f>E25*EF_CO2_aardgas</f>
        <v>628.69022012884011</v>
      </c>
      <c r="F55" s="687"/>
      <c r="G55" s="687"/>
      <c r="H55" s="687"/>
      <c r="I55" s="687"/>
      <c r="J55" s="687"/>
      <c r="K55" s="687"/>
      <c r="L55" s="687"/>
      <c r="M55" s="687"/>
      <c r="N55" s="687"/>
      <c r="O55" s="687"/>
      <c r="P55" s="687"/>
      <c r="Q55" s="688"/>
      <c r="R55" s="716">
        <f ca="1">SUM(C55:Q55)</f>
        <v>854.09762659122032</v>
      </c>
    </row>
    <row r="56" spans="1:18" ht="15.75" thickBot="1">
      <c r="A56" s="816" t="s">
        <v>691</v>
      </c>
      <c r="B56" s="829"/>
      <c r="C56" s="717">
        <f ca="1">SUM(C54:C55)</f>
        <v>649.63778235100176</v>
      </c>
      <c r="D56" s="717">
        <f t="shared" ref="D56:Q56" ca="1" si="7">SUM(D54:D55)</f>
        <v>580.34157412715513</v>
      </c>
      <c r="E56" s="717">
        <f t="shared" si="7"/>
        <v>771.93952210079919</v>
      </c>
      <c r="F56" s="717">
        <f t="shared" si="7"/>
        <v>31.113212622093918</v>
      </c>
      <c r="G56" s="717">
        <f t="shared" si="7"/>
        <v>4044.5632519562523</v>
      </c>
      <c r="H56" s="717">
        <f t="shared" si="7"/>
        <v>0</v>
      </c>
      <c r="I56" s="717">
        <f t="shared" si="7"/>
        <v>0</v>
      </c>
      <c r="J56" s="717">
        <f t="shared" si="7"/>
        <v>0</v>
      </c>
      <c r="K56" s="717">
        <f t="shared" si="7"/>
        <v>430.74110173337124</v>
      </c>
      <c r="L56" s="717">
        <f t="shared" si="7"/>
        <v>0</v>
      </c>
      <c r="M56" s="717">
        <f t="shared" si="7"/>
        <v>0</v>
      </c>
      <c r="N56" s="717">
        <f t="shared" si="7"/>
        <v>0</v>
      </c>
      <c r="O56" s="717">
        <f t="shared" si="7"/>
        <v>0</v>
      </c>
      <c r="P56" s="717">
        <f t="shared" si="7"/>
        <v>0</v>
      </c>
      <c r="Q56" s="718">
        <f t="shared" si="7"/>
        <v>0</v>
      </c>
      <c r="R56" s="719">
        <f ca="1">SUM(R54:R55)</f>
        <v>6508.3364448906741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12798.095852998853</v>
      </c>
      <c r="D61" s="725">
        <f t="shared" ref="D61:Q61" ca="1" si="8">D46+D52+D56</f>
        <v>598.25949579831945</v>
      </c>
      <c r="E61" s="725">
        <f t="shared" ca="1" si="8"/>
        <v>49082.396487101214</v>
      </c>
      <c r="F61" s="725">
        <f t="shared" si="8"/>
        <v>1392.9819345812443</v>
      </c>
      <c r="G61" s="725">
        <f t="shared" ca="1" si="8"/>
        <v>29387.695078559897</v>
      </c>
      <c r="H61" s="725">
        <f t="shared" si="8"/>
        <v>33707.663180973388</v>
      </c>
      <c r="I61" s="725">
        <f t="shared" si="8"/>
        <v>8531.1837298424725</v>
      </c>
      <c r="J61" s="725">
        <f t="shared" si="8"/>
        <v>0</v>
      </c>
      <c r="K61" s="725">
        <f t="shared" si="8"/>
        <v>604.45193924058185</v>
      </c>
      <c r="L61" s="725">
        <f t="shared" si="8"/>
        <v>0</v>
      </c>
      <c r="M61" s="725">
        <f t="shared" ca="1" si="8"/>
        <v>0</v>
      </c>
      <c r="N61" s="725">
        <f t="shared" si="8"/>
        <v>0</v>
      </c>
      <c r="O61" s="725">
        <f t="shared" ca="1" si="8"/>
        <v>0</v>
      </c>
      <c r="P61" s="725">
        <f t="shared" si="8"/>
        <v>0</v>
      </c>
      <c r="Q61" s="725">
        <f t="shared" si="8"/>
        <v>0</v>
      </c>
      <c r="R61" s="725">
        <f ca="1">R46+R52+R56</f>
        <v>136102.72769909597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8.8650550542462486E-2</v>
      </c>
      <c r="D63" s="771">
        <f t="shared" ca="1" si="9"/>
        <v>0.22120890952054703</v>
      </c>
      <c r="E63" s="963">
        <f t="shared" ca="1" si="9"/>
        <v>0.20200000000000004</v>
      </c>
      <c r="F63" s="771">
        <f t="shared" si="9"/>
        <v>0.22699999999999998</v>
      </c>
      <c r="G63" s="771">
        <f t="shared" ca="1" si="9"/>
        <v>0.26700000000000002</v>
      </c>
      <c r="H63" s="771">
        <f t="shared" si="9"/>
        <v>0.26700000000000002</v>
      </c>
      <c r="I63" s="771">
        <f t="shared" si="9"/>
        <v>0.24899999999999997</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56161.897200440311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30295.623325124598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130.94999999999999</v>
      </c>
      <c r="C76" s="738">
        <f>'lokale energieproductie'!B8*IFERROR(SUM(D76:H76)/SUM(D76:O76),0)</f>
        <v>1762.2</v>
      </c>
      <c r="D76" s="946">
        <f>'lokale energieproductie'!C8</f>
        <v>2073.1764705882356</v>
      </c>
      <c r="E76" s="947">
        <f>'lokale energieproductie'!D8</f>
        <v>0</v>
      </c>
      <c r="F76" s="947">
        <f>'lokale energieproductie'!E8</f>
        <v>0</v>
      </c>
      <c r="G76" s="947">
        <f>'lokale energieproductie'!F8</f>
        <v>0</v>
      </c>
      <c r="H76" s="947">
        <f>'lokale energieproductie'!G8</f>
        <v>0</v>
      </c>
      <c r="I76" s="947">
        <f>'lokale energieproductie'!I8</f>
        <v>0</v>
      </c>
      <c r="J76" s="947">
        <f>'lokale energieproductie'!J8</f>
        <v>154.05882352941177</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418.78164705882364</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86588.470525564902</v>
      </c>
      <c r="C78" s="743">
        <f>SUM(C72:C77)</f>
        <v>1762.2</v>
      </c>
      <c r="D78" s="744">
        <f t="shared" ref="D78:H78" si="10">SUM(D76:D77)</f>
        <v>2073.1764705882356</v>
      </c>
      <c r="E78" s="744">
        <f t="shared" si="10"/>
        <v>0</v>
      </c>
      <c r="F78" s="744">
        <f t="shared" si="10"/>
        <v>0</v>
      </c>
      <c r="G78" s="744">
        <f t="shared" si="10"/>
        <v>0</v>
      </c>
      <c r="H78" s="744">
        <f t="shared" si="10"/>
        <v>0</v>
      </c>
      <c r="I78" s="744">
        <f>SUM(I76:I77)</f>
        <v>0</v>
      </c>
      <c r="J78" s="744">
        <f>SUM(J76:J77)</f>
        <v>154.05882352941177</v>
      </c>
      <c r="K78" s="744">
        <f t="shared" ref="K78:L78" si="11">SUM(K76:K77)</f>
        <v>0</v>
      </c>
      <c r="L78" s="744">
        <f t="shared" si="11"/>
        <v>0</v>
      </c>
      <c r="M78" s="744">
        <f>SUM(M76:M77)</f>
        <v>0</v>
      </c>
      <c r="N78" s="744">
        <f>SUM(N76:N77)</f>
        <v>0</v>
      </c>
      <c r="O78" s="853">
        <f>SUM(O76:O77)</f>
        <v>0</v>
      </c>
      <c r="P78" s="745">
        <v>0</v>
      </c>
      <c r="Q78" s="745">
        <f>SUM(Q76:Q77)</f>
        <v>418.78164705882364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187.07142857142856</v>
      </c>
      <c r="C87" s="756">
        <f>'lokale energieproductie'!B17*IFERROR(SUM(D87:H87)/SUM(D87:O87),0)</f>
        <v>2517.4285714285716</v>
      </c>
      <c r="D87" s="767">
        <f>'lokale energieproductie'!C17</f>
        <v>2961.680672268908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220.08403361344537</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598.25949579831945</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187.07142857142856</v>
      </c>
      <c r="C90" s="743">
        <f>SUM(C87:C89)</f>
        <v>2517.4285714285716</v>
      </c>
      <c r="D90" s="743">
        <f t="shared" ref="D90:H90" si="12">SUM(D87:D89)</f>
        <v>2961.680672268908</v>
      </c>
      <c r="E90" s="743">
        <f t="shared" si="12"/>
        <v>0</v>
      </c>
      <c r="F90" s="743">
        <f t="shared" si="12"/>
        <v>0</v>
      </c>
      <c r="G90" s="743">
        <f t="shared" si="12"/>
        <v>0</v>
      </c>
      <c r="H90" s="743">
        <f t="shared" si="12"/>
        <v>0</v>
      </c>
      <c r="I90" s="743">
        <f>SUM(I87:I89)</f>
        <v>0</v>
      </c>
      <c r="J90" s="743">
        <f>SUM(J87:J89)</f>
        <v>220.08403361344537</v>
      </c>
      <c r="K90" s="743">
        <f t="shared" ref="K90:L90" si="13">SUM(K87:K89)</f>
        <v>0</v>
      </c>
      <c r="L90" s="743">
        <f t="shared" si="13"/>
        <v>0</v>
      </c>
      <c r="M90" s="743">
        <f>SUM(M87:M89)</f>
        <v>0</v>
      </c>
      <c r="N90" s="743">
        <f>SUM(N87:N89)</f>
        <v>0</v>
      </c>
      <c r="O90" s="743">
        <f>SUM(O87:O89)</f>
        <v>0</v>
      </c>
      <c r="P90" s="743">
        <v>0</v>
      </c>
      <c r="Q90" s="743">
        <f>SUM(Q87:Q89)</f>
        <v>598.25949579831945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64955.837925921827</v>
      </c>
      <c r="C4" s="447">
        <f>huishoudens!C8</f>
        <v>0</v>
      </c>
      <c r="D4" s="447">
        <f>huishoudens!D8</f>
        <v>112862.42901769199</v>
      </c>
      <c r="E4" s="447">
        <f>huishoudens!E8</f>
        <v>3773.6774658128675</v>
      </c>
      <c r="F4" s="447">
        <f>huishoudens!F8</f>
        <v>82668.462680641576</v>
      </c>
      <c r="G4" s="447">
        <f>huishoudens!G8</f>
        <v>0</v>
      </c>
      <c r="H4" s="447">
        <f>huishoudens!H8</f>
        <v>0</v>
      </c>
      <c r="I4" s="447">
        <f>huishoudens!I8</f>
        <v>0</v>
      </c>
      <c r="J4" s="447">
        <f>huishoudens!J8</f>
        <v>471.13661057742826</v>
      </c>
      <c r="K4" s="447">
        <f>huishoudens!K8</f>
        <v>0</v>
      </c>
      <c r="L4" s="447">
        <f>huishoudens!L8</f>
        <v>0</v>
      </c>
      <c r="M4" s="447">
        <f>huishoudens!M8</f>
        <v>0</v>
      </c>
      <c r="N4" s="447">
        <f>huishoudens!N8</f>
        <v>19601.656525892042</v>
      </c>
      <c r="O4" s="447">
        <f>huishoudens!O8</f>
        <v>1140.7759761475431</v>
      </c>
      <c r="P4" s="448">
        <f>huishoudens!P8</f>
        <v>1801.3070416141391</v>
      </c>
      <c r="Q4" s="449">
        <f>SUM(B4:P4)</f>
        <v>287275.28324429941</v>
      </c>
    </row>
    <row r="5" spans="1:17">
      <c r="A5" s="446" t="s">
        <v>149</v>
      </c>
      <c r="B5" s="447">
        <f ca="1">tertiair!B16</f>
        <v>35547.021227764155</v>
      </c>
      <c r="C5" s="447">
        <f ca="1">tertiair!C16</f>
        <v>81</v>
      </c>
      <c r="D5" s="447">
        <f ca="1">tertiair!D16</f>
        <v>42351.007133563951</v>
      </c>
      <c r="E5" s="447">
        <f>tertiair!E16</f>
        <v>161.52011103470932</v>
      </c>
      <c r="F5" s="447">
        <f ca="1">tertiair!F16</f>
        <v>6504.3991268118207</v>
      </c>
      <c r="G5" s="447">
        <f>tertiair!G16</f>
        <v>0</v>
      </c>
      <c r="H5" s="447">
        <f>tertiair!H16</f>
        <v>0</v>
      </c>
      <c r="I5" s="447">
        <f>tertiair!I16</f>
        <v>0</v>
      </c>
      <c r="J5" s="447">
        <f>tertiair!J16</f>
        <v>3.9891107252680351E-2</v>
      </c>
      <c r="K5" s="447">
        <f>tertiair!K16</f>
        <v>0</v>
      </c>
      <c r="L5" s="447">
        <f ca="1">tertiair!L16</f>
        <v>0</v>
      </c>
      <c r="M5" s="447">
        <f>tertiair!M16</f>
        <v>0</v>
      </c>
      <c r="N5" s="447">
        <f ca="1">tertiair!N16</f>
        <v>1556.732166702408</v>
      </c>
      <c r="O5" s="447">
        <f>tertiair!O16</f>
        <v>48.972607658411548</v>
      </c>
      <c r="P5" s="448">
        <f>tertiair!P16</f>
        <v>472.85224475845519</v>
      </c>
      <c r="Q5" s="446">
        <f t="shared" ref="Q5:Q14" ca="1" si="0">SUM(B5:P5)</f>
        <v>86723.544509401167</v>
      </c>
    </row>
    <row r="6" spans="1:17">
      <c r="A6" s="446" t="s">
        <v>187</v>
      </c>
      <c r="B6" s="447">
        <f>'openbare verlichting'!B8</f>
        <v>2201.627</v>
      </c>
      <c r="C6" s="447"/>
      <c r="D6" s="447"/>
      <c r="E6" s="447"/>
      <c r="F6" s="447"/>
      <c r="G6" s="447"/>
      <c r="H6" s="447"/>
      <c r="I6" s="447"/>
      <c r="J6" s="447"/>
      <c r="K6" s="447"/>
      <c r="L6" s="447"/>
      <c r="M6" s="447"/>
      <c r="N6" s="447"/>
      <c r="O6" s="447"/>
      <c r="P6" s="448"/>
      <c r="Q6" s="446">
        <f t="shared" si="0"/>
        <v>2201.627</v>
      </c>
    </row>
    <row r="7" spans="1:17">
      <c r="A7" s="446" t="s">
        <v>105</v>
      </c>
      <c r="B7" s="447">
        <f>landbouw!B8</f>
        <v>4785.4229138195897</v>
      </c>
      <c r="C7" s="447">
        <f>landbouw!C8</f>
        <v>2623.5</v>
      </c>
      <c r="D7" s="447">
        <f>landbouw!D8</f>
        <v>709.15496025722314</v>
      </c>
      <c r="E7" s="447">
        <f>landbouw!E8</f>
        <v>137.06261067001725</v>
      </c>
      <c r="F7" s="447">
        <f>landbouw!F8</f>
        <v>15148.176973618922</v>
      </c>
      <c r="G7" s="447">
        <f>landbouw!G8</f>
        <v>0</v>
      </c>
      <c r="H7" s="447">
        <f>landbouw!H8</f>
        <v>0</v>
      </c>
      <c r="I7" s="447">
        <f>landbouw!I8</f>
        <v>0</v>
      </c>
      <c r="J7" s="447">
        <f>landbouw!J8</f>
        <v>1216.7827732581109</v>
      </c>
      <c r="K7" s="447">
        <f>landbouw!K8</f>
        <v>0</v>
      </c>
      <c r="L7" s="447">
        <f>landbouw!L8</f>
        <v>0</v>
      </c>
      <c r="M7" s="447">
        <f>landbouw!M8</f>
        <v>0</v>
      </c>
      <c r="N7" s="447">
        <f>landbouw!N8</f>
        <v>0</v>
      </c>
      <c r="O7" s="447">
        <f>landbouw!O8</f>
        <v>0</v>
      </c>
      <c r="P7" s="448">
        <f>landbouw!P8</f>
        <v>0</v>
      </c>
      <c r="Q7" s="446">
        <f t="shared" si="0"/>
        <v>24620.100231623863</v>
      </c>
    </row>
    <row r="8" spans="1:17">
      <c r="A8" s="446" t="s">
        <v>611</v>
      </c>
      <c r="B8" s="447">
        <f>industrie!B18</f>
        <v>32847.196717998711</v>
      </c>
      <c r="C8" s="447">
        <f>industrie!C18</f>
        <v>0</v>
      </c>
      <c r="D8" s="447">
        <f>industrie!D18</f>
        <v>83245.770068165293</v>
      </c>
      <c r="E8" s="447">
        <f>industrie!E18</f>
        <v>1791.2701557076532</v>
      </c>
      <c r="F8" s="447">
        <f>industrie!F18</f>
        <v>5745.2349213991947</v>
      </c>
      <c r="G8" s="447">
        <f>industrie!G18</f>
        <v>0</v>
      </c>
      <c r="H8" s="447">
        <f>industrie!H18</f>
        <v>0</v>
      </c>
      <c r="I8" s="447">
        <f>industrie!I18</f>
        <v>0</v>
      </c>
      <c r="J8" s="447">
        <f>industrie!J18</f>
        <v>19.5320788441628</v>
      </c>
      <c r="K8" s="447">
        <f>industrie!K18</f>
        <v>0</v>
      </c>
      <c r="L8" s="447">
        <f>industrie!L18</f>
        <v>0</v>
      </c>
      <c r="M8" s="447">
        <f>industrie!M18</f>
        <v>0</v>
      </c>
      <c r="N8" s="447">
        <f>industrie!N18</f>
        <v>951.01603758858016</v>
      </c>
      <c r="O8" s="447">
        <f>industrie!O18</f>
        <v>0</v>
      </c>
      <c r="P8" s="448">
        <f>industrie!P18</f>
        <v>0</v>
      </c>
      <c r="Q8" s="446">
        <f t="shared" si="0"/>
        <v>124600.01997970359</v>
      </c>
    </row>
    <row r="9" spans="1:17" s="452" customFormat="1">
      <c r="A9" s="450" t="s">
        <v>537</v>
      </c>
      <c r="B9" s="451">
        <f>transport!B14</f>
        <v>372.34788673559399</v>
      </c>
      <c r="C9" s="451">
        <f>transport!C14</f>
        <v>0</v>
      </c>
      <c r="D9" s="451">
        <f>transport!D14</f>
        <v>701.47182513524149</v>
      </c>
      <c r="E9" s="451">
        <f>transport!E14</f>
        <v>272.95395008419962</v>
      </c>
      <c r="F9" s="451">
        <f>transport!F14</f>
        <v>0</v>
      </c>
      <c r="G9" s="451">
        <f>transport!G14</f>
        <v>123906.84843316203</v>
      </c>
      <c r="H9" s="451">
        <f>transport!H14</f>
        <v>34261.782047560133</v>
      </c>
      <c r="I9" s="451">
        <f>transport!I14</f>
        <v>0</v>
      </c>
      <c r="J9" s="451">
        <f>transport!J14</f>
        <v>0</v>
      </c>
      <c r="K9" s="451">
        <f>transport!K14</f>
        <v>0</v>
      </c>
      <c r="L9" s="451">
        <f>transport!L14</f>
        <v>0</v>
      </c>
      <c r="M9" s="451">
        <f>transport!M14</f>
        <v>9543.3816712529424</v>
      </c>
      <c r="N9" s="451">
        <f>transport!N14</f>
        <v>0</v>
      </c>
      <c r="O9" s="451">
        <f>transport!O14</f>
        <v>0</v>
      </c>
      <c r="P9" s="451">
        <f>transport!P14</f>
        <v>0</v>
      </c>
      <c r="Q9" s="450">
        <f>SUM(B9:P9)</f>
        <v>169058.78581393015</v>
      </c>
    </row>
    <row r="10" spans="1:17">
      <c r="A10" s="446" t="s">
        <v>527</v>
      </c>
      <c r="B10" s="447">
        <f>transport!B54</f>
        <v>1113.562311336183</v>
      </c>
      <c r="C10" s="447">
        <f>transport!C54</f>
        <v>0</v>
      </c>
      <c r="D10" s="447">
        <f>transport!D54</f>
        <v>0</v>
      </c>
      <c r="E10" s="447">
        <f>transport!E54</f>
        <v>0</v>
      </c>
      <c r="F10" s="447">
        <f>transport!F54</f>
        <v>0</v>
      </c>
      <c r="G10" s="447">
        <f>transport!G54</f>
        <v>2339.0810835922225</v>
      </c>
      <c r="H10" s="447">
        <f>transport!H54</f>
        <v>0</v>
      </c>
      <c r="I10" s="447">
        <f>transport!I54</f>
        <v>0</v>
      </c>
      <c r="J10" s="447">
        <f>transport!J54</f>
        <v>0</v>
      </c>
      <c r="K10" s="447">
        <f>transport!K54</f>
        <v>0</v>
      </c>
      <c r="L10" s="447">
        <f>transport!L54</f>
        <v>0</v>
      </c>
      <c r="M10" s="447">
        <f>transport!M54</f>
        <v>134.30485654970676</v>
      </c>
      <c r="N10" s="447">
        <f>transport!N54</f>
        <v>0</v>
      </c>
      <c r="O10" s="447">
        <f>transport!O54</f>
        <v>0</v>
      </c>
      <c r="P10" s="448">
        <f>transport!P54</f>
        <v>0</v>
      </c>
      <c r="Q10" s="446">
        <f t="shared" si="0"/>
        <v>3586.9482514781121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2542.65094895731</v>
      </c>
      <c r="C14" s="454"/>
      <c r="D14" s="454">
        <f>'SEAP template'!E25</f>
        <v>3112.3278224200003</v>
      </c>
      <c r="E14" s="454"/>
      <c r="F14" s="454"/>
      <c r="G14" s="454"/>
      <c r="H14" s="454"/>
      <c r="I14" s="454"/>
      <c r="J14" s="454"/>
      <c r="K14" s="454"/>
      <c r="L14" s="454"/>
      <c r="M14" s="454"/>
      <c r="N14" s="454"/>
      <c r="O14" s="454"/>
      <c r="P14" s="455"/>
      <c r="Q14" s="446">
        <f t="shared" si="0"/>
        <v>5654.9787713773103</v>
      </c>
    </row>
    <row r="15" spans="1:17" s="458" customFormat="1">
      <c r="A15" s="456" t="s">
        <v>531</v>
      </c>
      <c r="B15" s="457">
        <f ca="1">SUM(B4:B14)</f>
        <v>144365.66693253338</v>
      </c>
      <c r="C15" s="457">
        <f t="shared" ref="C15:Q15" ca="1" si="1">SUM(C4:C14)</f>
        <v>2704.5</v>
      </c>
      <c r="D15" s="457">
        <f t="shared" ca="1" si="1"/>
        <v>242982.16082723369</v>
      </c>
      <c r="E15" s="457">
        <f t="shared" si="1"/>
        <v>6136.4842933094469</v>
      </c>
      <c r="F15" s="457">
        <f t="shared" ca="1" si="1"/>
        <v>110066.27370247152</v>
      </c>
      <c r="G15" s="457">
        <f t="shared" si="1"/>
        <v>126245.92951675424</v>
      </c>
      <c r="H15" s="457">
        <f t="shared" si="1"/>
        <v>34261.782047560133</v>
      </c>
      <c r="I15" s="457">
        <f t="shared" si="1"/>
        <v>0</v>
      </c>
      <c r="J15" s="457">
        <f t="shared" si="1"/>
        <v>1707.4913537869545</v>
      </c>
      <c r="K15" s="457">
        <f t="shared" si="1"/>
        <v>0</v>
      </c>
      <c r="L15" s="457">
        <f t="shared" ca="1" si="1"/>
        <v>0</v>
      </c>
      <c r="M15" s="457">
        <f t="shared" si="1"/>
        <v>9677.6865278026489</v>
      </c>
      <c r="N15" s="457">
        <f t="shared" ca="1" si="1"/>
        <v>22109.404730183029</v>
      </c>
      <c r="O15" s="457">
        <f t="shared" si="1"/>
        <v>1189.7485838059547</v>
      </c>
      <c r="P15" s="457">
        <f t="shared" si="1"/>
        <v>2274.1592863725941</v>
      </c>
      <c r="Q15" s="457">
        <f t="shared" ca="1" si="1"/>
        <v>703721.28780181357</v>
      </c>
    </row>
    <row r="17" spans="1:17">
      <c r="A17" s="459" t="s">
        <v>532</v>
      </c>
      <c r="B17" s="776">
        <f ca="1">huishoudens!B10</f>
        <v>8.8650550542462472E-2</v>
      </c>
      <c r="C17" s="776">
        <f ca="1">huishoudens!C10</f>
        <v>0.22120890952054703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5758.3707930799337</v>
      </c>
      <c r="C22" s="447">
        <f t="shared" ref="C22:C32" ca="1" si="3">C4*$C$17</f>
        <v>0</v>
      </c>
      <c r="D22" s="447">
        <f t="shared" ref="D22:D32" si="4">D4*$D$17</f>
        <v>22798.210661573783</v>
      </c>
      <c r="E22" s="447">
        <f t="shared" ref="E22:E32" si="5">E4*$E$17</f>
        <v>856.62478473952092</v>
      </c>
      <c r="F22" s="447">
        <f t="shared" ref="F22:F32" si="6">F4*$F$17</f>
        <v>22072.479535731301</v>
      </c>
      <c r="G22" s="447">
        <f t="shared" ref="G22:G32" si="7">G4*$G$17</f>
        <v>0</v>
      </c>
      <c r="H22" s="447">
        <f t="shared" ref="H22:H32" si="8">H4*$H$17</f>
        <v>0</v>
      </c>
      <c r="I22" s="447">
        <f t="shared" ref="I22:I32" si="9">I4*$I$17</f>
        <v>0</v>
      </c>
      <c r="J22" s="447">
        <f t="shared" ref="J22:J32" si="10">J4*$J$17</f>
        <v>166.78236014440961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51652.468135268951</v>
      </c>
    </row>
    <row r="23" spans="1:17">
      <c r="A23" s="446" t="s">
        <v>149</v>
      </c>
      <c r="B23" s="447">
        <f t="shared" ca="1" si="2"/>
        <v>3151.2630019858925</v>
      </c>
      <c r="C23" s="447">
        <f t="shared" ca="1" si="3"/>
        <v>17.917921671164308</v>
      </c>
      <c r="D23" s="447">
        <f t="shared" ca="1" si="4"/>
        <v>8554.9034409799187</v>
      </c>
      <c r="E23" s="447">
        <f t="shared" si="5"/>
        <v>36.665065204879014</v>
      </c>
      <c r="F23" s="447">
        <f t="shared" ca="1" si="6"/>
        <v>1736.6745668587562</v>
      </c>
      <c r="G23" s="447">
        <f t="shared" si="7"/>
        <v>0</v>
      </c>
      <c r="H23" s="447">
        <f t="shared" si="8"/>
        <v>0</v>
      </c>
      <c r="I23" s="447">
        <f t="shared" si="9"/>
        <v>0</v>
      </c>
      <c r="J23" s="447">
        <f t="shared" si="10"/>
        <v>1.4121451967448843E-2</v>
      </c>
      <c r="K23" s="447">
        <f t="shared" si="11"/>
        <v>0</v>
      </c>
      <c r="L23" s="447">
        <f t="shared" ca="1" si="12"/>
        <v>0</v>
      </c>
      <c r="M23" s="447">
        <f t="shared" si="13"/>
        <v>0</v>
      </c>
      <c r="N23" s="447">
        <f t="shared" ca="1" si="14"/>
        <v>0</v>
      </c>
      <c r="O23" s="447">
        <f t="shared" si="15"/>
        <v>0</v>
      </c>
      <c r="P23" s="448">
        <f t="shared" si="16"/>
        <v>0</v>
      </c>
      <c r="Q23" s="446">
        <f t="shared" ref="Q23:Q31" ca="1" si="17">SUM(B23:P23)</f>
        <v>13497.438118152579</v>
      </c>
    </row>
    <row r="24" spans="1:17">
      <c r="A24" s="446" t="s">
        <v>187</v>
      </c>
      <c r="B24" s="447">
        <f t="shared" ca="1" si="2"/>
        <v>195.17544563915001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195.17544563915001</v>
      </c>
    </row>
    <row r="25" spans="1:17">
      <c r="A25" s="446" t="s">
        <v>105</v>
      </c>
      <c r="B25" s="447">
        <f t="shared" ca="1" si="2"/>
        <v>424.23037588862155</v>
      </c>
      <c r="C25" s="447">
        <f t="shared" ca="1" si="3"/>
        <v>580.34157412715513</v>
      </c>
      <c r="D25" s="447">
        <f t="shared" si="4"/>
        <v>143.24930197195908</v>
      </c>
      <c r="E25" s="447">
        <f t="shared" si="5"/>
        <v>31.113212622093918</v>
      </c>
      <c r="F25" s="447">
        <f t="shared" si="6"/>
        <v>4044.5632519562523</v>
      </c>
      <c r="G25" s="447">
        <f t="shared" si="7"/>
        <v>0</v>
      </c>
      <c r="H25" s="447">
        <f t="shared" si="8"/>
        <v>0</v>
      </c>
      <c r="I25" s="447">
        <f t="shared" si="9"/>
        <v>0</v>
      </c>
      <c r="J25" s="447">
        <f t="shared" si="10"/>
        <v>430.74110173337124</v>
      </c>
      <c r="K25" s="447">
        <f t="shared" si="11"/>
        <v>0</v>
      </c>
      <c r="L25" s="447">
        <f t="shared" si="12"/>
        <v>0</v>
      </c>
      <c r="M25" s="447">
        <f t="shared" si="13"/>
        <v>0</v>
      </c>
      <c r="N25" s="447">
        <f t="shared" si="14"/>
        <v>0</v>
      </c>
      <c r="O25" s="447">
        <f t="shared" si="15"/>
        <v>0</v>
      </c>
      <c r="P25" s="448">
        <f t="shared" si="16"/>
        <v>0</v>
      </c>
      <c r="Q25" s="446">
        <f t="shared" ca="1" si="17"/>
        <v>5654.2388182994537</v>
      </c>
    </row>
    <row r="26" spans="1:17">
      <c r="A26" s="446" t="s">
        <v>611</v>
      </c>
      <c r="B26" s="447">
        <f t="shared" ca="1" si="2"/>
        <v>2911.9220728271521</v>
      </c>
      <c r="C26" s="447">
        <f t="shared" ca="1" si="3"/>
        <v>0</v>
      </c>
      <c r="D26" s="447">
        <f t="shared" si="4"/>
        <v>16815.645553769391</v>
      </c>
      <c r="E26" s="447">
        <f t="shared" si="5"/>
        <v>406.61832534563729</v>
      </c>
      <c r="F26" s="447">
        <f t="shared" si="6"/>
        <v>1533.977724013585</v>
      </c>
      <c r="G26" s="447">
        <f t="shared" si="7"/>
        <v>0</v>
      </c>
      <c r="H26" s="447">
        <f t="shared" si="8"/>
        <v>0</v>
      </c>
      <c r="I26" s="447">
        <f t="shared" si="9"/>
        <v>0</v>
      </c>
      <c r="J26" s="447">
        <f t="shared" si="10"/>
        <v>6.9143559108336312</v>
      </c>
      <c r="K26" s="447">
        <f t="shared" si="11"/>
        <v>0</v>
      </c>
      <c r="L26" s="447">
        <f t="shared" si="12"/>
        <v>0</v>
      </c>
      <c r="M26" s="447">
        <f t="shared" si="13"/>
        <v>0</v>
      </c>
      <c r="N26" s="447">
        <f t="shared" si="14"/>
        <v>0</v>
      </c>
      <c r="O26" s="447">
        <f t="shared" si="15"/>
        <v>0</v>
      </c>
      <c r="P26" s="448">
        <f t="shared" si="16"/>
        <v>0</v>
      </c>
      <c r="Q26" s="446">
        <f t="shared" ca="1" si="17"/>
        <v>21675.0780318666</v>
      </c>
    </row>
    <row r="27" spans="1:17" s="452" customFormat="1">
      <c r="A27" s="450" t="s">
        <v>537</v>
      </c>
      <c r="B27" s="770">
        <f t="shared" ca="1" si="2"/>
        <v>33.008845152432869</v>
      </c>
      <c r="C27" s="451">
        <f t="shared" ca="1" si="3"/>
        <v>0</v>
      </c>
      <c r="D27" s="451">
        <f t="shared" si="4"/>
        <v>141.6973086773188</v>
      </c>
      <c r="E27" s="451">
        <f t="shared" si="5"/>
        <v>61.960546669113313</v>
      </c>
      <c r="F27" s="451">
        <f t="shared" si="6"/>
        <v>0</v>
      </c>
      <c r="G27" s="451">
        <f t="shared" si="7"/>
        <v>33083.128531654263</v>
      </c>
      <c r="H27" s="451">
        <f t="shared" si="8"/>
        <v>8531.1837298424725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41850.978961995599</v>
      </c>
    </row>
    <row r="28" spans="1:17" ht="16.5" customHeight="1">
      <c r="A28" s="446" t="s">
        <v>527</v>
      </c>
      <c r="B28" s="447">
        <f t="shared" ca="1" si="2"/>
        <v>98.717911963289623</v>
      </c>
      <c r="C28" s="447">
        <f t="shared" ca="1" si="3"/>
        <v>0</v>
      </c>
      <c r="D28" s="447">
        <f t="shared" si="4"/>
        <v>0</v>
      </c>
      <c r="E28" s="447">
        <f t="shared" si="5"/>
        <v>0</v>
      </c>
      <c r="F28" s="447">
        <f t="shared" si="6"/>
        <v>0</v>
      </c>
      <c r="G28" s="447">
        <f t="shared" si="7"/>
        <v>624.53464931912345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723.25256128241313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225.40740646238018</v>
      </c>
      <c r="C32" s="447">
        <f t="shared" ca="1" si="3"/>
        <v>0</v>
      </c>
      <c r="D32" s="447">
        <f t="shared" si="4"/>
        <v>628.69022012884011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854.09762659122032</v>
      </c>
    </row>
    <row r="33" spans="1:17" s="458" customFormat="1">
      <c r="A33" s="456" t="s">
        <v>531</v>
      </c>
      <c r="B33" s="457">
        <f ca="1">SUM(B22:B32)</f>
        <v>12798.095852998853</v>
      </c>
      <c r="C33" s="457">
        <f t="shared" ref="C33:Q33" ca="1" si="19">SUM(C22:C32)</f>
        <v>598.25949579831945</v>
      </c>
      <c r="D33" s="457">
        <f t="shared" ca="1" si="19"/>
        <v>49082.396487101207</v>
      </c>
      <c r="E33" s="457">
        <f t="shared" si="19"/>
        <v>1392.9819345812443</v>
      </c>
      <c r="F33" s="457">
        <f t="shared" ca="1" si="19"/>
        <v>29387.695078559897</v>
      </c>
      <c r="G33" s="457">
        <f t="shared" si="19"/>
        <v>33707.663180973388</v>
      </c>
      <c r="H33" s="457">
        <f t="shared" si="19"/>
        <v>8531.1837298424725</v>
      </c>
      <c r="I33" s="457">
        <f t="shared" si="19"/>
        <v>0</v>
      </c>
      <c r="J33" s="457">
        <f t="shared" si="19"/>
        <v>604.45193924058185</v>
      </c>
      <c r="K33" s="457">
        <f t="shared" si="19"/>
        <v>0</v>
      </c>
      <c r="L33" s="457">
        <f t="shared" ca="1" si="19"/>
        <v>0</v>
      </c>
      <c r="M33" s="457">
        <f t="shared" si="19"/>
        <v>0</v>
      </c>
      <c r="N33" s="457">
        <f t="shared" ca="1" si="19"/>
        <v>0</v>
      </c>
      <c r="O33" s="457">
        <f t="shared" si="19"/>
        <v>0</v>
      </c>
      <c r="P33" s="457">
        <f t="shared" si="19"/>
        <v>0</v>
      </c>
      <c r="Q33" s="457">
        <f t="shared" ca="1" si="19"/>
        <v>136102.72769909597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56161.897200440311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30295.623325124598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130.94999999999999</v>
      </c>
      <c r="C8" s="1014">
        <f>'SEAP template'!C76</f>
        <v>1762.2</v>
      </c>
      <c r="D8" s="1014">
        <f>'SEAP template'!D76</f>
        <v>2073.1764705882356</v>
      </c>
      <c r="E8" s="1014">
        <f>'SEAP template'!E76</f>
        <v>0</v>
      </c>
      <c r="F8" s="1014">
        <f>'SEAP template'!F76</f>
        <v>0</v>
      </c>
      <c r="G8" s="1014">
        <f>'SEAP template'!G76</f>
        <v>0</v>
      </c>
      <c r="H8" s="1014">
        <f>'SEAP template'!H76</f>
        <v>0</v>
      </c>
      <c r="I8" s="1014">
        <f>'SEAP template'!I76</f>
        <v>0</v>
      </c>
      <c r="J8" s="1014">
        <f>'SEAP template'!J76</f>
        <v>154.05882352941177</v>
      </c>
      <c r="K8" s="1014">
        <f>'SEAP template'!K76</f>
        <v>0</v>
      </c>
      <c r="L8" s="1014">
        <f>'SEAP template'!L76</f>
        <v>0</v>
      </c>
      <c r="M8" s="1014">
        <f>'SEAP template'!M76</f>
        <v>0</v>
      </c>
      <c r="N8" s="1014">
        <f>'SEAP template'!N76</f>
        <v>0</v>
      </c>
      <c r="O8" s="1014">
        <f>'SEAP template'!O76</f>
        <v>0</v>
      </c>
      <c r="P8" s="1015">
        <f>'SEAP template'!Q76</f>
        <v>418.78164705882364</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86588.470525564902</v>
      </c>
      <c r="C10" s="1016">
        <f>SUM(C4:C9)</f>
        <v>1762.2</v>
      </c>
      <c r="D10" s="1016">
        <f t="shared" ref="D10:H10" si="0">SUM(D8:D9)</f>
        <v>2073.1764705882356</v>
      </c>
      <c r="E10" s="1016">
        <f t="shared" si="0"/>
        <v>0</v>
      </c>
      <c r="F10" s="1016">
        <f t="shared" si="0"/>
        <v>0</v>
      </c>
      <c r="G10" s="1016">
        <f t="shared" si="0"/>
        <v>0</v>
      </c>
      <c r="H10" s="1016">
        <f t="shared" si="0"/>
        <v>0</v>
      </c>
      <c r="I10" s="1016">
        <f>SUM(I8:I9)</f>
        <v>0</v>
      </c>
      <c r="J10" s="1016">
        <f>SUM(J8:J9)</f>
        <v>154.05882352941177</v>
      </c>
      <c r="K10" s="1016">
        <f t="shared" ref="K10:L10" si="1">SUM(K8:K9)</f>
        <v>0</v>
      </c>
      <c r="L10" s="1016">
        <f t="shared" si="1"/>
        <v>0</v>
      </c>
      <c r="M10" s="1016">
        <f>SUM(M8:M9)</f>
        <v>0</v>
      </c>
      <c r="N10" s="1016">
        <f>SUM(N8:N9)</f>
        <v>0</v>
      </c>
      <c r="O10" s="1016">
        <f>SUM(O8:O9)</f>
        <v>0</v>
      </c>
      <c r="P10" s="1016">
        <f>SUM(P8:P9)</f>
        <v>418.78164705882364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8.8650550542462472E-2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187.07142857142856</v>
      </c>
      <c r="C17" s="1017">
        <f>'SEAP template'!C87</f>
        <v>2517.4285714285716</v>
      </c>
      <c r="D17" s="1015">
        <f>'SEAP template'!D87</f>
        <v>2961.680672268908</v>
      </c>
      <c r="E17" s="1015">
        <f>'SEAP template'!E87</f>
        <v>0</v>
      </c>
      <c r="F17" s="1015">
        <f>'SEAP template'!F87</f>
        <v>0</v>
      </c>
      <c r="G17" s="1015">
        <f>'SEAP template'!G87</f>
        <v>0</v>
      </c>
      <c r="H17" s="1015">
        <f>'SEAP template'!H87</f>
        <v>0</v>
      </c>
      <c r="I17" s="1015">
        <f>'SEAP template'!I87</f>
        <v>0</v>
      </c>
      <c r="J17" s="1015">
        <f>'SEAP template'!J87</f>
        <v>220.08403361344537</v>
      </c>
      <c r="K17" s="1015">
        <f>'SEAP template'!K87</f>
        <v>0</v>
      </c>
      <c r="L17" s="1015">
        <f>'SEAP template'!L87</f>
        <v>0</v>
      </c>
      <c r="M17" s="1015">
        <f>'SEAP template'!M87</f>
        <v>0</v>
      </c>
      <c r="N17" s="1015">
        <f>'SEAP template'!N87</f>
        <v>0</v>
      </c>
      <c r="O17" s="1015">
        <f>'SEAP template'!O87</f>
        <v>0</v>
      </c>
      <c r="P17" s="1015">
        <f>'SEAP template'!Q87</f>
        <v>598.25949579831945</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187.07142857142856</v>
      </c>
      <c r="C20" s="1016">
        <f>SUM(C17:C19)</f>
        <v>2517.4285714285716</v>
      </c>
      <c r="D20" s="1016">
        <f t="shared" ref="D20:H20" si="2">SUM(D17:D19)</f>
        <v>2961.680672268908</v>
      </c>
      <c r="E20" s="1016">
        <f t="shared" si="2"/>
        <v>0</v>
      </c>
      <c r="F20" s="1016">
        <f t="shared" si="2"/>
        <v>0</v>
      </c>
      <c r="G20" s="1016">
        <f t="shared" si="2"/>
        <v>0</v>
      </c>
      <c r="H20" s="1016">
        <f t="shared" si="2"/>
        <v>0</v>
      </c>
      <c r="I20" s="1016">
        <f>SUM(I17:I19)</f>
        <v>0</v>
      </c>
      <c r="J20" s="1016">
        <f>SUM(J17:J19)</f>
        <v>220.08403361344537</v>
      </c>
      <c r="K20" s="1016">
        <f t="shared" ref="K20:L20" si="3">SUM(K17:K19)</f>
        <v>0</v>
      </c>
      <c r="L20" s="1016">
        <f t="shared" si="3"/>
        <v>0</v>
      </c>
      <c r="M20" s="1016">
        <f>SUM(M17:M19)</f>
        <v>0</v>
      </c>
      <c r="N20" s="1016">
        <f>SUM(N17:N19)</f>
        <v>0</v>
      </c>
      <c r="O20" s="1016">
        <f>SUM(O17:O19)</f>
        <v>0</v>
      </c>
      <c r="P20" s="1016">
        <f>SUM(P17:P19)</f>
        <v>598.25949579831945</v>
      </c>
    </row>
    <row r="21" spans="1:16">
      <c r="B21" s="881"/>
    </row>
    <row r="22" spans="1:16">
      <c r="A22" s="459" t="s">
        <v>749</v>
      </c>
      <c r="B22" s="776" t="s">
        <v>747</v>
      </c>
      <c r="C22" s="776">
        <f ca="1">'EF ele_warmte'!B22</f>
        <v>0.22120890952054703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8.8650550542462472E-2</v>
      </c>
      <c r="C17" s="496">
        <f ca="1">'EF ele_warmte'!B22</f>
        <v>0.22120890952054703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8.8650550542462472E-2</v>
      </c>
      <c r="C17" s="496">
        <f ca="1">'EF ele_warmte'!B22</f>
        <v>0.22120890952054703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8.8650550542462472E-2</v>
      </c>
      <c r="C29" s="497">
        <f ca="1">'EF ele_warmte'!B22</f>
        <v>0.22120890952054703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14665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4168.8599999999997</v>
      </c>
      <c r="C14" s="326"/>
      <c r="D14" s="326"/>
      <c r="E14" s="326"/>
      <c r="F14" s="326"/>
    </row>
    <row r="15" spans="1:6">
      <c r="A15" s="1310" t="s">
        <v>177</v>
      </c>
      <c r="B15" s="1311">
        <v>88</v>
      </c>
      <c r="C15" s="326"/>
      <c r="D15" s="326"/>
      <c r="E15" s="326"/>
      <c r="F15" s="326"/>
    </row>
    <row r="16" spans="1:6">
      <c r="A16" s="1310" t="s">
        <v>6</v>
      </c>
      <c r="B16" s="1311">
        <v>2964</v>
      </c>
      <c r="C16" s="326"/>
      <c r="D16" s="326"/>
      <c r="E16" s="326"/>
      <c r="F16" s="326"/>
    </row>
    <row r="17" spans="1:6">
      <c r="A17" s="1310" t="s">
        <v>7</v>
      </c>
      <c r="B17" s="1311">
        <v>1327</v>
      </c>
      <c r="C17" s="326"/>
      <c r="D17" s="326"/>
      <c r="E17" s="326"/>
      <c r="F17" s="326"/>
    </row>
    <row r="18" spans="1:6">
      <c r="A18" s="1310" t="s">
        <v>8</v>
      </c>
      <c r="B18" s="1311">
        <v>2565</v>
      </c>
      <c r="C18" s="326"/>
      <c r="D18" s="326"/>
      <c r="E18" s="326"/>
      <c r="F18" s="326"/>
    </row>
    <row r="19" spans="1:6">
      <c r="A19" s="1310" t="s">
        <v>9</v>
      </c>
      <c r="B19" s="1311">
        <v>2650</v>
      </c>
      <c r="C19" s="326"/>
      <c r="D19" s="326"/>
      <c r="E19" s="326"/>
      <c r="F19" s="326"/>
    </row>
    <row r="20" spans="1:6">
      <c r="A20" s="1310" t="s">
        <v>10</v>
      </c>
      <c r="B20" s="1311">
        <v>1159</v>
      </c>
      <c r="C20" s="326"/>
      <c r="D20" s="326"/>
      <c r="E20" s="326"/>
      <c r="F20" s="326"/>
    </row>
    <row r="21" spans="1:6">
      <c r="A21" s="1310" t="s">
        <v>11</v>
      </c>
      <c r="B21" s="1311">
        <v>12494</v>
      </c>
      <c r="C21" s="326"/>
      <c r="D21" s="326"/>
      <c r="E21" s="326"/>
      <c r="F21" s="326"/>
    </row>
    <row r="22" spans="1:6">
      <c r="A22" s="1310" t="s">
        <v>12</v>
      </c>
      <c r="B22" s="1311">
        <v>20774</v>
      </c>
      <c r="C22" s="326"/>
      <c r="D22" s="326"/>
      <c r="E22" s="326"/>
      <c r="F22" s="326"/>
    </row>
    <row r="23" spans="1:6">
      <c r="A23" s="1310" t="s">
        <v>13</v>
      </c>
      <c r="B23" s="1311">
        <v>477</v>
      </c>
      <c r="C23" s="326"/>
      <c r="D23" s="326"/>
      <c r="E23" s="326"/>
      <c r="F23" s="326"/>
    </row>
    <row r="24" spans="1:6">
      <c r="A24" s="1310" t="s">
        <v>14</v>
      </c>
      <c r="B24" s="1311">
        <v>36</v>
      </c>
      <c r="C24" s="326"/>
      <c r="D24" s="326"/>
      <c r="E24" s="326"/>
      <c r="F24" s="326"/>
    </row>
    <row r="25" spans="1:6">
      <c r="A25" s="1310" t="s">
        <v>15</v>
      </c>
      <c r="B25" s="1311">
        <v>2933</v>
      </c>
      <c r="C25" s="326"/>
      <c r="D25" s="326"/>
      <c r="E25" s="326"/>
      <c r="F25" s="326"/>
    </row>
    <row r="26" spans="1:6">
      <c r="A26" s="1310" t="s">
        <v>16</v>
      </c>
      <c r="B26" s="1311">
        <v>213</v>
      </c>
      <c r="C26" s="326"/>
      <c r="D26" s="326"/>
      <c r="E26" s="326"/>
      <c r="F26" s="326"/>
    </row>
    <row r="27" spans="1:6">
      <c r="A27" s="1310" t="s">
        <v>17</v>
      </c>
      <c r="B27" s="1311">
        <v>0</v>
      </c>
      <c r="C27" s="326"/>
      <c r="D27" s="326"/>
      <c r="E27" s="326"/>
      <c r="F27" s="326"/>
    </row>
    <row r="28" spans="1:6">
      <c r="A28" s="1310" t="s">
        <v>18</v>
      </c>
      <c r="B28" s="1312">
        <v>33261</v>
      </c>
      <c r="C28" s="326"/>
      <c r="D28" s="326"/>
      <c r="E28" s="326"/>
      <c r="F28" s="326"/>
    </row>
    <row r="29" spans="1:6">
      <c r="A29" s="1310" t="s">
        <v>678</v>
      </c>
      <c r="B29" s="1312">
        <v>414</v>
      </c>
      <c r="C29" s="326"/>
      <c r="D29" s="326"/>
      <c r="E29" s="326"/>
      <c r="F29" s="326"/>
    </row>
    <row r="30" spans="1:6">
      <c r="A30" s="1305" t="s">
        <v>679</v>
      </c>
      <c r="B30" s="1313">
        <v>88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5</v>
      </c>
      <c r="F35" s="1311">
        <v>93693</v>
      </c>
    </row>
    <row r="36" spans="1:6">
      <c r="A36" s="1310" t="s">
        <v>24</v>
      </c>
      <c r="B36" s="1310" t="s">
        <v>26</v>
      </c>
      <c r="C36" s="1311">
        <v>0</v>
      </c>
      <c r="D36" s="1311">
        <v>0</v>
      </c>
      <c r="E36" s="1311">
        <v>10</v>
      </c>
      <c r="F36" s="1311">
        <v>156747.31015385399</v>
      </c>
    </row>
    <row r="37" spans="1:6">
      <c r="A37" s="1310" t="s">
        <v>24</v>
      </c>
      <c r="B37" s="1310" t="s">
        <v>27</v>
      </c>
      <c r="C37" s="1311">
        <v>0</v>
      </c>
      <c r="D37" s="1311">
        <v>0</v>
      </c>
      <c r="E37" s="1311">
        <v>0</v>
      </c>
      <c r="F37" s="1311">
        <v>0</v>
      </c>
    </row>
    <row r="38" spans="1:6">
      <c r="A38" s="1310" t="s">
        <v>24</v>
      </c>
      <c r="B38" s="1310" t="s">
        <v>28</v>
      </c>
      <c r="C38" s="1311">
        <v>2</v>
      </c>
      <c r="D38" s="1311">
        <v>6763.7764311758001</v>
      </c>
      <c r="E38" s="1311">
        <v>1</v>
      </c>
      <c r="F38" s="1311">
        <v>10160.8383215904</v>
      </c>
    </row>
    <row r="39" spans="1:6">
      <c r="A39" s="1310" t="s">
        <v>29</v>
      </c>
      <c r="B39" s="1310" t="s">
        <v>30</v>
      </c>
      <c r="C39" s="1311">
        <v>8999</v>
      </c>
      <c r="D39" s="1311">
        <v>124986078.646392</v>
      </c>
      <c r="E39" s="1311">
        <v>14105</v>
      </c>
      <c r="F39" s="1311">
        <v>52808803.708815999</v>
      </c>
    </row>
    <row r="40" spans="1:6">
      <c r="A40" s="1310" t="s">
        <v>29</v>
      </c>
      <c r="B40" s="1310" t="s">
        <v>28</v>
      </c>
      <c r="C40" s="1311">
        <v>0</v>
      </c>
      <c r="D40" s="1311">
        <v>0</v>
      </c>
      <c r="E40" s="1311">
        <v>0</v>
      </c>
      <c r="F40" s="1311">
        <v>0</v>
      </c>
    </row>
    <row r="41" spans="1:6">
      <c r="A41" s="1310" t="s">
        <v>31</v>
      </c>
      <c r="B41" s="1310" t="s">
        <v>32</v>
      </c>
      <c r="C41" s="1311">
        <v>166</v>
      </c>
      <c r="D41" s="1311">
        <v>42522668.512828603</v>
      </c>
      <c r="E41" s="1311">
        <v>393</v>
      </c>
      <c r="F41" s="1311">
        <v>7618060.9593112003</v>
      </c>
    </row>
    <row r="42" spans="1:6">
      <c r="A42" s="1310" t="s">
        <v>31</v>
      </c>
      <c r="B42" s="1310" t="s">
        <v>33</v>
      </c>
      <c r="C42" s="1311">
        <v>3</v>
      </c>
      <c r="D42" s="1311">
        <v>16458416.6915824</v>
      </c>
      <c r="E42" s="1311">
        <v>4</v>
      </c>
      <c r="F42" s="1311">
        <v>8130383.6814305503</v>
      </c>
    </row>
    <row r="43" spans="1:6">
      <c r="A43" s="1310" t="s">
        <v>31</v>
      </c>
      <c r="B43" s="1310" t="s">
        <v>34</v>
      </c>
      <c r="C43" s="1311">
        <v>0</v>
      </c>
      <c r="D43" s="1311">
        <v>0</v>
      </c>
      <c r="E43" s="1311">
        <v>0</v>
      </c>
      <c r="F43" s="1311">
        <v>0</v>
      </c>
    </row>
    <row r="44" spans="1:6">
      <c r="A44" s="1310" t="s">
        <v>31</v>
      </c>
      <c r="B44" s="1310" t="s">
        <v>35</v>
      </c>
      <c r="C44" s="1311">
        <v>22</v>
      </c>
      <c r="D44" s="1311">
        <v>19721395.588660501</v>
      </c>
      <c r="E44" s="1311">
        <v>60</v>
      </c>
      <c r="F44" s="1311">
        <v>9079093.1685088407</v>
      </c>
    </row>
    <row r="45" spans="1:6">
      <c r="A45" s="1310" t="s">
        <v>31</v>
      </c>
      <c r="B45" s="1310" t="s">
        <v>36</v>
      </c>
      <c r="C45" s="1311">
        <v>3</v>
      </c>
      <c r="D45" s="1311">
        <v>231202.65558244701</v>
      </c>
      <c r="E45" s="1311">
        <v>7</v>
      </c>
      <c r="F45" s="1311">
        <v>332277.53651659499</v>
      </c>
    </row>
    <row r="46" spans="1:6">
      <c r="A46" s="1310" t="s">
        <v>31</v>
      </c>
      <c r="B46" s="1310" t="s">
        <v>37</v>
      </c>
      <c r="C46" s="1311">
        <v>0</v>
      </c>
      <c r="D46" s="1311">
        <v>0</v>
      </c>
      <c r="E46" s="1311">
        <v>0</v>
      </c>
      <c r="F46" s="1311">
        <v>0</v>
      </c>
    </row>
    <row r="47" spans="1:6">
      <c r="A47" s="1310" t="s">
        <v>31</v>
      </c>
      <c r="B47" s="1310" t="s">
        <v>38</v>
      </c>
      <c r="C47" s="1311">
        <v>12</v>
      </c>
      <c r="D47" s="1311">
        <v>2362492.0196622298</v>
      </c>
      <c r="E47" s="1311">
        <v>18</v>
      </c>
      <c r="F47" s="1311">
        <v>1031929.8186386999</v>
      </c>
    </row>
    <row r="48" spans="1:6">
      <c r="A48" s="1310" t="s">
        <v>31</v>
      </c>
      <c r="B48" s="1310" t="s">
        <v>28</v>
      </c>
      <c r="C48" s="1311">
        <v>2</v>
      </c>
      <c r="D48" s="1311">
        <v>148731.796589573</v>
      </c>
      <c r="E48" s="1311">
        <v>0</v>
      </c>
      <c r="F48" s="1311">
        <v>0</v>
      </c>
    </row>
    <row r="49" spans="1:6">
      <c r="A49" s="1310" t="s">
        <v>31</v>
      </c>
      <c r="B49" s="1310" t="s">
        <v>39</v>
      </c>
      <c r="C49" s="1311">
        <v>0</v>
      </c>
      <c r="D49" s="1311">
        <v>0</v>
      </c>
      <c r="E49" s="1311">
        <v>4</v>
      </c>
      <c r="F49" s="1311">
        <v>66281.446515034404</v>
      </c>
    </row>
    <row r="50" spans="1:6">
      <c r="A50" s="1310" t="s">
        <v>31</v>
      </c>
      <c r="B50" s="1310" t="s">
        <v>40</v>
      </c>
      <c r="C50" s="1311">
        <v>29</v>
      </c>
      <c r="D50" s="1311">
        <v>10743099.4551001</v>
      </c>
      <c r="E50" s="1311">
        <v>49</v>
      </c>
      <c r="F50" s="1311">
        <v>6589170.1070777904</v>
      </c>
    </row>
    <row r="51" spans="1:6">
      <c r="A51" s="1310" t="s">
        <v>41</v>
      </c>
      <c r="B51" s="1310" t="s">
        <v>42</v>
      </c>
      <c r="C51" s="1311">
        <v>35</v>
      </c>
      <c r="D51" s="1311">
        <v>6181630.2360070497</v>
      </c>
      <c r="E51" s="1311">
        <v>221</v>
      </c>
      <c r="F51" s="1311">
        <v>4785422.9138195897</v>
      </c>
    </row>
    <row r="52" spans="1:6">
      <c r="A52" s="1310" t="s">
        <v>41</v>
      </c>
      <c r="B52" s="1310" t="s">
        <v>28</v>
      </c>
      <c r="C52" s="1311">
        <v>0</v>
      </c>
      <c r="D52" s="1311">
        <v>0</v>
      </c>
      <c r="E52" s="1311">
        <v>0</v>
      </c>
      <c r="F52" s="1311">
        <v>0</v>
      </c>
    </row>
    <row r="53" spans="1:6">
      <c r="A53" s="1310" t="s">
        <v>43</v>
      </c>
      <c r="B53" s="1310" t="s">
        <v>44</v>
      </c>
      <c r="C53" s="1311">
        <v>210</v>
      </c>
      <c r="D53" s="1311">
        <v>3112327.8224200001</v>
      </c>
      <c r="E53" s="1311">
        <v>434</v>
      </c>
      <c r="F53" s="1311">
        <v>2542650.9489573101</v>
      </c>
    </row>
    <row r="54" spans="1:6">
      <c r="A54" s="1310" t="s">
        <v>45</v>
      </c>
      <c r="B54" s="1310" t="s">
        <v>46</v>
      </c>
      <c r="C54" s="1311">
        <v>0</v>
      </c>
      <c r="D54" s="1311">
        <v>0</v>
      </c>
      <c r="E54" s="1311">
        <v>1</v>
      </c>
      <c r="F54" s="1311">
        <v>2201627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94</v>
      </c>
      <c r="D57" s="1311">
        <v>9251674.6738374401</v>
      </c>
      <c r="E57" s="1311">
        <v>177</v>
      </c>
      <c r="F57" s="1311">
        <v>3944080.32498478</v>
      </c>
    </row>
    <row r="58" spans="1:6">
      <c r="A58" s="1310" t="s">
        <v>48</v>
      </c>
      <c r="B58" s="1310" t="s">
        <v>50</v>
      </c>
      <c r="C58" s="1311">
        <v>80</v>
      </c>
      <c r="D58" s="1311">
        <v>9530050.5431573503</v>
      </c>
      <c r="E58" s="1311">
        <v>117</v>
      </c>
      <c r="F58" s="1311">
        <v>3433611.633442</v>
      </c>
    </row>
    <row r="59" spans="1:6">
      <c r="A59" s="1310" t="s">
        <v>48</v>
      </c>
      <c r="B59" s="1310" t="s">
        <v>51</v>
      </c>
      <c r="C59" s="1311">
        <v>175</v>
      </c>
      <c r="D59" s="1311">
        <v>8194200.4046352999</v>
      </c>
      <c r="E59" s="1311">
        <v>391</v>
      </c>
      <c r="F59" s="1311">
        <v>13451933.519031901</v>
      </c>
    </row>
    <row r="60" spans="1:6">
      <c r="A60" s="1310" t="s">
        <v>48</v>
      </c>
      <c r="B60" s="1310" t="s">
        <v>52</v>
      </c>
      <c r="C60" s="1311">
        <v>82</v>
      </c>
      <c r="D60" s="1311">
        <v>7035383.1802161504</v>
      </c>
      <c r="E60" s="1311">
        <v>120</v>
      </c>
      <c r="F60" s="1311">
        <v>2163370.8460792098</v>
      </c>
    </row>
    <row r="61" spans="1:6">
      <c r="A61" s="1310" t="s">
        <v>48</v>
      </c>
      <c r="B61" s="1310" t="s">
        <v>53</v>
      </c>
      <c r="C61" s="1311">
        <v>305</v>
      </c>
      <c r="D61" s="1311">
        <v>11821067.293886499</v>
      </c>
      <c r="E61" s="1311">
        <v>655</v>
      </c>
      <c r="F61" s="1311">
        <v>11992626.2318899</v>
      </c>
    </row>
    <row r="62" spans="1:6">
      <c r="A62" s="1310" t="s">
        <v>48</v>
      </c>
      <c r="B62" s="1310" t="s">
        <v>54</v>
      </c>
      <c r="C62" s="1311">
        <v>18</v>
      </c>
      <c r="D62" s="1311">
        <v>1247366.0233857001</v>
      </c>
      <c r="E62" s="1311">
        <v>28</v>
      </c>
      <c r="F62" s="1311">
        <v>504698.67233636801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10203.281577747501</v>
      </c>
      <c r="E65" s="1311">
        <v>1</v>
      </c>
      <c r="F65" s="1311">
        <v>1282.4148574864</v>
      </c>
    </row>
    <row r="66" spans="1:6">
      <c r="A66" s="1310" t="s">
        <v>55</v>
      </c>
      <c r="B66" s="1310" t="s">
        <v>57</v>
      </c>
      <c r="C66" s="1311">
        <v>0</v>
      </c>
      <c r="D66" s="1311">
        <v>0</v>
      </c>
      <c r="E66" s="1311">
        <v>16</v>
      </c>
      <c r="F66" s="1311">
        <v>310553.92230407899</v>
      </c>
    </row>
    <row r="67" spans="1:6">
      <c r="A67" s="1310" t="s">
        <v>55</v>
      </c>
      <c r="B67" s="1310" t="s">
        <v>58</v>
      </c>
      <c r="C67" s="1311">
        <v>0</v>
      </c>
      <c r="D67" s="1311">
        <v>0</v>
      </c>
      <c r="E67" s="1311">
        <v>0</v>
      </c>
      <c r="F67" s="1311">
        <v>0</v>
      </c>
    </row>
    <row r="68" spans="1:6">
      <c r="A68" s="1305" t="s">
        <v>55</v>
      </c>
      <c r="B68" s="1305" t="s">
        <v>59</v>
      </c>
      <c r="C68" s="1313">
        <v>18</v>
      </c>
      <c r="D68" s="1313">
        <v>3333925.57612882</v>
      </c>
      <c r="E68" s="1313">
        <v>48</v>
      </c>
      <c r="F68" s="1313">
        <v>1930552.8891177799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121888375</v>
      </c>
      <c r="E73" s="445"/>
      <c r="F73" s="326"/>
    </row>
    <row r="74" spans="1:6">
      <c r="A74" s="1310" t="s">
        <v>63</v>
      </c>
      <c r="B74" s="1310" t="s">
        <v>632</v>
      </c>
      <c r="C74" s="1323" t="s">
        <v>634</v>
      </c>
      <c r="D74" s="1311">
        <v>13731028.731836835</v>
      </c>
      <c r="E74" s="445"/>
      <c r="F74" s="326"/>
    </row>
    <row r="75" spans="1:6">
      <c r="A75" s="1310" t="s">
        <v>64</v>
      </c>
      <c r="B75" s="1310" t="s">
        <v>631</v>
      </c>
      <c r="C75" s="1323" t="s">
        <v>635</v>
      </c>
      <c r="D75" s="1311">
        <v>55067809</v>
      </c>
      <c r="E75" s="445"/>
      <c r="F75" s="326"/>
    </row>
    <row r="76" spans="1:6">
      <c r="A76" s="1310" t="s">
        <v>64</v>
      </c>
      <c r="B76" s="1310" t="s">
        <v>632</v>
      </c>
      <c r="C76" s="1323" t="s">
        <v>636</v>
      </c>
      <c r="D76" s="1311">
        <v>2324783.7318368345</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696914.53632633097</v>
      </c>
      <c r="C83" s="445"/>
      <c r="D83" s="326"/>
      <c r="E83" s="326"/>
      <c r="F83" s="326"/>
    </row>
    <row r="84" spans="1:6">
      <c r="A84" s="1305" t="s">
        <v>324</v>
      </c>
      <c r="B84" s="1313">
        <v>305304.56830242003</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56161.897200440311</v>
      </c>
      <c r="C90" s="326"/>
      <c r="D90" s="326"/>
      <c r="E90" s="326"/>
      <c r="F90" s="326"/>
    </row>
    <row r="91" spans="1:6">
      <c r="A91" s="1310" t="s">
        <v>67</v>
      </c>
      <c r="B91" s="1311">
        <v>12147.034217105829</v>
      </c>
      <c r="C91" s="326"/>
      <c r="D91" s="326"/>
      <c r="E91" s="326"/>
      <c r="F91" s="326"/>
    </row>
    <row r="92" spans="1:6">
      <c r="A92" s="1305" t="s">
        <v>68</v>
      </c>
      <c r="B92" s="1306">
        <v>18148.589108018768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2815</v>
      </c>
      <c r="C97" s="326"/>
      <c r="D97" s="326"/>
      <c r="E97" s="326"/>
      <c r="F97" s="326"/>
    </row>
    <row r="98" spans="1:6">
      <c r="A98" s="1310" t="s">
        <v>71</v>
      </c>
      <c r="B98" s="1311">
        <v>1</v>
      </c>
      <c r="C98" s="326"/>
      <c r="D98" s="326"/>
      <c r="E98" s="326"/>
      <c r="F98" s="326"/>
    </row>
    <row r="99" spans="1:6">
      <c r="A99" s="1310" t="s">
        <v>72</v>
      </c>
      <c r="B99" s="1311">
        <v>245</v>
      </c>
      <c r="C99" s="326"/>
      <c r="D99" s="326"/>
      <c r="E99" s="326"/>
      <c r="F99" s="326"/>
    </row>
    <row r="100" spans="1:6">
      <c r="A100" s="1310" t="s">
        <v>73</v>
      </c>
      <c r="B100" s="1311">
        <v>1781</v>
      </c>
      <c r="C100" s="326"/>
      <c r="D100" s="326"/>
      <c r="E100" s="326"/>
      <c r="F100" s="326"/>
    </row>
    <row r="101" spans="1:6">
      <c r="A101" s="1310" t="s">
        <v>74</v>
      </c>
      <c r="B101" s="1311">
        <v>249</v>
      </c>
      <c r="C101" s="326"/>
      <c r="D101" s="326"/>
      <c r="E101" s="326"/>
      <c r="F101" s="326"/>
    </row>
    <row r="102" spans="1:6">
      <c r="A102" s="1310" t="s">
        <v>75</v>
      </c>
      <c r="B102" s="1311">
        <v>206</v>
      </c>
      <c r="C102" s="326"/>
      <c r="D102" s="326"/>
      <c r="E102" s="326"/>
      <c r="F102" s="326"/>
    </row>
    <row r="103" spans="1:6">
      <c r="A103" s="1310" t="s">
        <v>76</v>
      </c>
      <c r="B103" s="1311">
        <v>399</v>
      </c>
      <c r="C103" s="326"/>
      <c r="D103" s="326"/>
      <c r="E103" s="326"/>
      <c r="F103" s="326"/>
    </row>
    <row r="104" spans="1:6">
      <c r="A104" s="1310" t="s">
        <v>77</v>
      </c>
      <c r="B104" s="1311">
        <v>6177</v>
      </c>
      <c r="C104" s="326"/>
      <c r="D104" s="326"/>
      <c r="E104" s="326"/>
      <c r="F104" s="326"/>
    </row>
    <row r="105" spans="1:6">
      <c r="A105" s="1305" t="s">
        <v>78</v>
      </c>
      <c r="B105" s="1313">
        <v>16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122</v>
      </c>
      <c r="C123" s="1311">
        <v>128</v>
      </c>
      <c r="D123" s="326"/>
      <c r="E123" s="326"/>
      <c r="F123" s="326"/>
    </row>
    <row r="124" spans="1:6">
      <c r="A124" s="1310" t="s">
        <v>88</v>
      </c>
      <c r="B124" s="1311">
        <v>3</v>
      </c>
      <c r="C124" s="1311">
        <v>2</v>
      </c>
      <c r="D124" s="326"/>
      <c r="E124" s="326"/>
      <c r="F124" s="326"/>
    </row>
    <row r="125" spans="1:6">
      <c r="A125" s="1305" t="s">
        <v>780</v>
      </c>
      <c r="B125" s="1311">
        <v>4</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445</v>
      </c>
      <c r="C129" s="326"/>
      <c r="D129" s="326"/>
      <c r="E129" s="326"/>
      <c r="F129" s="326"/>
    </row>
    <row r="130" spans="1:6">
      <c r="A130" s="1310" t="s">
        <v>284</v>
      </c>
      <c r="B130" s="1311">
        <v>10</v>
      </c>
      <c r="C130" s="326"/>
      <c r="D130" s="326"/>
      <c r="E130" s="326"/>
      <c r="F130" s="326"/>
    </row>
    <row r="131" spans="1:6">
      <c r="A131" s="1310" t="s">
        <v>285</v>
      </c>
      <c r="B131" s="1311">
        <v>4</v>
      </c>
      <c r="C131" s="326"/>
      <c r="D131" s="326"/>
      <c r="E131" s="326"/>
      <c r="F131" s="326"/>
    </row>
    <row r="132" spans="1:6">
      <c r="A132" s="1305" t="s">
        <v>286</v>
      </c>
      <c r="B132" s="1306">
        <v>46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144365.66693253335</v>
      </c>
      <c r="C3" s="43" t="s">
        <v>163</v>
      </c>
      <c r="D3" s="43"/>
      <c r="E3" s="154"/>
      <c r="F3" s="43"/>
      <c r="G3" s="43"/>
      <c r="H3" s="43"/>
      <c r="I3" s="43"/>
      <c r="J3" s="43"/>
      <c r="K3" s="96"/>
    </row>
    <row r="4" spans="1:11">
      <c r="A4" s="352" t="s">
        <v>164</v>
      </c>
      <c r="B4" s="49">
        <f>IF(ISERROR('SEAP template'!B78+'SEAP template'!C78),0,'SEAP template'!B78+'SEAP template'!C78)</f>
        <v>88350.670525564899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418.78164705882364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8.8650550542462472E-2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598.25949579831945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2704.5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0.22120890952054703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2201.627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2201.627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8.8650550542462472E-2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195.17544563915001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52808.803708815998</v>
      </c>
      <c r="C5" s="17">
        <f>IF(ISERROR('Eigen informatie GS &amp; warmtenet'!B59),0,'Eigen informatie GS &amp; warmtenet'!B59)</f>
        <v>0</v>
      </c>
      <c r="D5" s="30">
        <f>(SUM(HH_hh_gas_kWh,HH_rest_gas_kWh)/1000)*0.903</f>
        <v>112862.42901769199</v>
      </c>
      <c r="E5" s="17">
        <f>B32*B41</f>
        <v>3773.6774658128675</v>
      </c>
      <c r="F5" s="17">
        <f>B36*B45</f>
        <v>82668.462680641576</v>
      </c>
      <c r="G5" s="18"/>
      <c r="H5" s="17"/>
      <c r="I5" s="17"/>
      <c r="J5" s="17">
        <f>B35*B44+C35*C44</f>
        <v>471.13661057742826</v>
      </c>
      <c r="K5" s="17"/>
      <c r="L5" s="17"/>
      <c r="M5" s="17"/>
      <c r="N5" s="17">
        <f>B34*B43+C34*C43</f>
        <v>19601.656525892042</v>
      </c>
      <c r="O5" s="17">
        <f>B52*B53*B54</f>
        <v>1140.7759761475431</v>
      </c>
      <c r="P5" s="17">
        <f>B60*B61*B62/1000-B60*B61*B62/1000/B63</f>
        <v>1801.3070416141391</v>
      </c>
    </row>
    <row r="6" spans="1:16">
      <c r="A6" s="16" t="s">
        <v>597</v>
      </c>
      <c r="B6" s="778">
        <f>kWh_PV_kleiner_dan_10kW</f>
        <v>12147.034217105829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64955.837925921827</v>
      </c>
      <c r="C8" s="21">
        <f>C5</f>
        <v>0</v>
      </c>
      <c r="D8" s="21">
        <f>D5</f>
        <v>112862.42901769199</v>
      </c>
      <c r="E8" s="21">
        <f>E5</f>
        <v>3773.6774658128675</v>
      </c>
      <c r="F8" s="21">
        <f>F5</f>
        <v>82668.462680641576</v>
      </c>
      <c r="G8" s="21"/>
      <c r="H8" s="21"/>
      <c r="I8" s="21"/>
      <c r="J8" s="21">
        <f>J5</f>
        <v>471.13661057742826</v>
      </c>
      <c r="K8" s="21"/>
      <c r="L8" s="21">
        <f>L5</f>
        <v>0</v>
      </c>
      <c r="M8" s="21">
        <f>M5</f>
        <v>0</v>
      </c>
      <c r="N8" s="21">
        <f>N5</f>
        <v>19601.656525892042</v>
      </c>
      <c r="O8" s="21">
        <f>O5</f>
        <v>1140.7759761475431</v>
      </c>
      <c r="P8" s="21">
        <f>P5</f>
        <v>1801.3070416141391</v>
      </c>
    </row>
    <row r="9" spans="1:16">
      <c r="B9" s="19"/>
      <c r="C9" s="19"/>
      <c r="D9" s="254"/>
      <c r="E9" s="19"/>
      <c r="F9" s="19"/>
      <c r="G9" s="19"/>
      <c r="H9" s="19"/>
      <c r="I9" s="19"/>
      <c r="J9" s="19"/>
      <c r="K9" s="19"/>
      <c r="L9" s="19"/>
      <c r="M9" s="19"/>
      <c r="N9" s="19"/>
      <c r="O9" s="19"/>
      <c r="P9" s="19"/>
    </row>
    <row r="10" spans="1:16">
      <c r="A10" s="24" t="s">
        <v>207</v>
      </c>
      <c r="B10" s="25">
        <f ca="1">'EF ele_warmte'!B12</f>
        <v>8.8650550542462472E-2</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5758.3707930799337</v>
      </c>
      <c r="C12" s="23">
        <f ca="1">C10*C8</f>
        <v>0</v>
      </c>
      <c r="D12" s="23">
        <f>D8*D10</f>
        <v>22798.210661573783</v>
      </c>
      <c r="E12" s="23">
        <f>E10*E8</f>
        <v>856.62478473952092</v>
      </c>
      <c r="F12" s="23">
        <f>F10*F8</f>
        <v>22072.479535731301</v>
      </c>
      <c r="G12" s="23"/>
      <c r="H12" s="23"/>
      <c r="I12" s="23"/>
      <c r="J12" s="23">
        <f>J10*J8</f>
        <v>166.78236014440961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14665</v>
      </c>
      <c r="C26" s="36"/>
      <c r="D26" s="225"/>
    </row>
    <row r="27" spans="1:5" s="15" customFormat="1">
      <c r="A27" s="227" t="s">
        <v>860</v>
      </c>
      <c r="B27" s="37">
        <f>SUM(HH_hh_gas_aantal,HH_rest_gas_aantal)</f>
        <v>8999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8549.0499999999993</v>
      </c>
      <c r="C31" s="34" t="s">
        <v>104</v>
      </c>
      <c r="D31" s="171"/>
    </row>
    <row r="32" spans="1:5">
      <c r="A32" s="168" t="s">
        <v>72</v>
      </c>
      <c r="B32" s="33">
        <f>IF((B21*($B$26-($B$27-0.05*$B$27)-$B$60))&lt;0,0,(B21*($B$26-($B$27-0.05*$B$27)-$B$60)))</f>
        <v>94.377262475507095</v>
      </c>
      <c r="C32" s="34" t="s">
        <v>104</v>
      </c>
      <c r="D32" s="171"/>
    </row>
    <row r="33" spans="1:6">
      <c r="A33" s="168" t="s">
        <v>73</v>
      </c>
      <c r="B33" s="33">
        <f>IF((B22*($B$26-($B$27-0.05*$B$27)-$B$60))&lt;0,0,B22*($B$26-($B$27-0.05*$B$27)-$B$60))</f>
        <v>1532.4998263823309</v>
      </c>
      <c r="C33" s="34" t="s">
        <v>104</v>
      </c>
      <c r="D33" s="171"/>
    </row>
    <row r="34" spans="1:6">
      <c r="A34" s="168" t="s">
        <v>74</v>
      </c>
      <c r="B34" s="33">
        <f>IF((B24*($B$26-($B$27-0.05*$B$27)-$B$60))&lt;0,0,B24*($B$26-($B$27-0.05*$B$27)-$B$60))</f>
        <v>293.8007253413964</v>
      </c>
      <c r="C34" s="33">
        <f>B26*C24</f>
        <v>3004.9456072629705</v>
      </c>
      <c r="D34" s="230"/>
    </row>
    <row r="35" spans="1:6">
      <c r="A35" s="168" t="s">
        <v>76</v>
      </c>
      <c r="B35" s="33">
        <f>IF((B19*($B$26-($B$27-0.05*$B$27)-$B$60))&lt;0,0,B19*($B$26-($B$27-0.05*$B$27)-$B$60))</f>
        <v>41.025570996550584</v>
      </c>
      <c r="C35" s="33">
        <f>B35/2</f>
        <v>20.512785498275292</v>
      </c>
      <c r="D35" s="230"/>
    </row>
    <row r="36" spans="1:6">
      <c r="A36" s="168" t="s">
        <v>77</v>
      </c>
      <c r="B36" s="33">
        <f>IF((B18*($B$26-($B$27-0.05*$B$27)-$B$60))&lt;0,0,B18*($B$26-($B$27-0.05*$B$27)-$B$60))</f>
        <v>3983.2466148042145</v>
      </c>
      <c r="C36" s="34" t="s">
        <v>104</v>
      </c>
      <c r="D36" s="171"/>
    </row>
    <row r="37" spans="1:6">
      <c r="A37" s="168" t="s">
        <v>78</v>
      </c>
      <c r="B37" s="33">
        <f>B60</f>
        <v>171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575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171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35490.321227764158</v>
      </c>
      <c r="C5" s="17">
        <f>IF(ISERROR('Eigen informatie GS &amp; warmtenet'!B60),0,'Eigen informatie GS &amp; warmtenet'!B60)</f>
        <v>0</v>
      </c>
      <c r="D5" s="30">
        <f>SUM(D6:D12)</f>
        <v>42513.007133563951</v>
      </c>
      <c r="E5" s="17">
        <f>SUM(E6:E12)</f>
        <v>161.52011103470932</v>
      </c>
      <c r="F5" s="17">
        <f>SUM(F6:F12)</f>
        <v>6504.3991268118207</v>
      </c>
      <c r="G5" s="18"/>
      <c r="H5" s="17"/>
      <c r="I5" s="17"/>
      <c r="J5" s="17">
        <f>SUM(J6:J12)</f>
        <v>3.9891107252680351E-2</v>
      </c>
      <c r="K5" s="17"/>
      <c r="L5" s="17"/>
      <c r="M5" s="17"/>
      <c r="N5" s="17">
        <f>SUM(N6:N12)</f>
        <v>1556.732166702408</v>
      </c>
      <c r="O5" s="17">
        <f>B38*B39*B40</f>
        <v>48.972607658411548</v>
      </c>
      <c r="P5" s="17">
        <f>B46*B47*B48/1000-B46*B47*B48/1000/B49</f>
        <v>472.85224475845519</v>
      </c>
      <c r="R5" s="32"/>
    </row>
    <row r="6" spans="1:18">
      <c r="A6" s="32" t="s">
        <v>53</v>
      </c>
      <c r="B6" s="37">
        <f>B26</f>
        <v>11992.626231889899</v>
      </c>
      <c r="C6" s="33"/>
      <c r="D6" s="37">
        <f>IF(ISERROR(TER_kantoor_gas_kWh/1000),0,TER_kantoor_gas_kWh/1000)*0.903</f>
        <v>10674.423766379508</v>
      </c>
      <c r="E6" s="33">
        <f>$C$26*'E Balans VL '!I12/100/3.6*1000000</f>
        <v>2.8574893522662106</v>
      </c>
      <c r="F6" s="33">
        <f>$C$26*('E Balans VL '!L12+'E Balans VL '!N12)/100/3.6*1000000</f>
        <v>1041.6770697925017</v>
      </c>
      <c r="G6" s="34"/>
      <c r="H6" s="33"/>
      <c r="I6" s="33"/>
      <c r="J6" s="33">
        <f>$C$26*('E Balans VL '!D12+'E Balans VL '!E12)/100/3.6*1000000</f>
        <v>0</v>
      </c>
      <c r="K6" s="33"/>
      <c r="L6" s="33"/>
      <c r="M6" s="33"/>
      <c r="N6" s="33">
        <f>$C$26*'E Balans VL '!Y12/100/3.6*1000000</f>
        <v>16.029822729717836</v>
      </c>
      <c r="O6" s="33"/>
      <c r="P6" s="33"/>
      <c r="R6" s="32"/>
    </row>
    <row r="7" spans="1:18">
      <c r="A7" s="32" t="s">
        <v>52</v>
      </c>
      <c r="B7" s="37">
        <f t="shared" ref="B7:B12" si="0">B27</f>
        <v>2163.37084607921</v>
      </c>
      <c r="C7" s="33"/>
      <c r="D7" s="37">
        <f>IF(ISERROR(TER_horeca_gas_kWh/1000),0,TER_horeca_gas_kWh/1000)*0.903</f>
        <v>6352.9510117351838</v>
      </c>
      <c r="E7" s="33">
        <f>$C$27*'E Balans VL '!I9/100/3.6*1000000</f>
        <v>0</v>
      </c>
      <c r="F7" s="33">
        <f>$C$27*('E Balans VL '!L9+'E Balans VL '!N9)/100/3.6*1000000</f>
        <v>176.27557253579485</v>
      </c>
      <c r="G7" s="34"/>
      <c r="H7" s="33"/>
      <c r="I7" s="33"/>
      <c r="J7" s="33">
        <f>$C$27*('E Balans VL '!D9+'E Balans VL '!E9)/100/3.6*1000000</f>
        <v>0</v>
      </c>
      <c r="K7" s="33"/>
      <c r="L7" s="33"/>
      <c r="M7" s="33"/>
      <c r="N7" s="33">
        <f>$C$27*'E Balans VL '!Y9/100/3.6*1000000</f>
        <v>0.59921344813004829</v>
      </c>
      <c r="O7" s="33"/>
      <c r="P7" s="33"/>
      <c r="R7" s="32"/>
    </row>
    <row r="8" spans="1:18">
      <c r="A8" s="6" t="s">
        <v>51</v>
      </c>
      <c r="B8" s="37">
        <f t="shared" si="0"/>
        <v>13451.933519031902</v>
      </c>
      <c r="C8" s="33"/>
      <c r="D8" s="37">
        <f>IF(ISERROR(TER_handel_gas_kWh/1000),0,TER_handel_gas_kWh/1000)*0.903</f>
        <v>7399.362965385676</v>
      </c>
      <c r="E8" s="33">
        <f>$C$28*'E Balans VL '!I13/100/3.6*1000000</f>
        <v>107.52957215739259</v>
      </c>
      <c r="F8" s="33">
        <f>$C$28*('E Balans VL '!L13+'E Balans VL '!N13)/100/3.6*1000000</f>
        <v>1336.3659730181491</v>
      </c>
      <c r="G8" s="34"/>
      <c r="H8" s="33"/>
      <c r="I8" s="33"/>
      <c r="J8" s="33">
        <f>$C$28*('E Balans VL '!D13+'E Balans VL '!E13)/100/3.6*1000000</f>
        <v>0</v>
      </c>
      <c r="K8" s="33"/>
      <c r="L8" s="33"/>
      <c r="M8" s="33"/>
      <c r="N8" s="33">
        <f>$C$28*'E Balans VL '!Y13/100/3.6*1000000</f>
        <v>5.0250978817396827</v>
      </c>
      <c r="O8" s="33"/>
      <c r="P8" s="33"/>
      <c r="R8" s="32"/>
    </row>
    <row r="9" spans="1:18">
      <c r="A9" s="32" t="s">
        <v>50</v>
      </c>
      <c r="B9" s="37">
        <f t="shared" si="0"/>
        <v>3433.6116334419999</v>
      </c>
      <c r="C9" s="33"/>
      <c r="D9" s="37">
        <f>IF(ISERROR(TER_gezond_gas_kWh/1000),0,TER_gezond_gas_kWh/1000)*0.903</f>
        <v>8605.6356404710878</v>
      </c>
      <c r="E9" s="33">
        <f>$C$29*'E Balans VL '!I10/100/3.6*1000000</f>
        <v>0</v>
      </c>
      <c r="F9" s="33">
        <f>$C$29*('E Balans VL '!L10+'E Balans VL '!N10)/100/3.6*1000000</f>
        <v>313.02965348184335</v>
      </c>
      <c r="G9" s="34"/>
      <c r="H9" s="33"/>
      <c r="I9" s="33"/>
      <c r="J9" s="33">
        <f>$C$29*('E Balans VL '!D10+'E Balans VL '!E10)/100/3.6*1000000</f>
        <v>0</v>
      </c>
      <c r="K9" s="33"/>
      <c r="L9" s="33"/>
      <c r="M9" s="33"/>
      <c r="N9" s="33">
        <f>$C$29*'E Balans VL '!Y10/100/3.6*1000000</f>
        <v>25.096623974909402</v>
      </c>
      <c r="O9" s="33"/>
      <c r="P9" s="33"/>
      <c r="R9" s="32"/>
    </row>
    <row r="10" spans="1:18">
      <c r="A10" s="32" t="s">
        <v>49</v>
      </c>
      <c r="B10" s="37">
        <f t="shared" si="0"/>
        <v>3944.08032498478</v>
      </c>
      <c r="C10" s="33"/>
      <c r="D10" s="37">
        <f>IF(ISERROR(TER_ander_gas_kWh/1000),0,TER_ander_gas_kWh/1000)*0.903</f>
        <v>8354.2622304752094</v>
      </c>
      <c r="E10" s="33">
        <f>$C$30*'E Balans VL '!I14/100/3.6*1000000</f>
        <v>51.133049525050524</v>
      </c>
      <c r="F10" s="33">
        <f>$C$30*('E Balans VL '!L14+'E Balans VL '!N14)/100/3.6*1000000</f>
        <v>3617.275417403016</v>
      </c>
      <c r="G10" s="34"/>
      <c r="H10" s="33"/>
      <c r="I10" s="33"/>
      <c r="J10" s="33">
        <f>$C$30*('E Balans VL '!D14+'E Balans VL '!E14)/100/3.6*1000000</f>
        <v>3.9891107252680351E-2</v>
      </c>
      <c r="K10" s="33"/>
      <c r="L10" s="33"/>
      <c r="M10" s="33"/>
      <c r="N10" s="33">
        <f>$C$30*'E Balans VL '!Y14/100/3.6*1000000</f>
        <v>1508.3919878513964</v>
      </c>
      <c r="O10" s="33"/>
      <c r="P10" s="33"/>
      <c r="R10" s="32"/>
    </row>
    <row r="11" spans="1:18">
      <c r="A11" s="32" t="s">
        <v>54</v>
      </c>
      <c r="B11" s="37">
        <f t="shared" si="0"/>
        <v>504.69867233636802</v>
      </c>
      <c r="C11" s="33"/>
      <c r="D11" s="37">
        <f>IF(ISERROR(TER_onderwijs_gas_kWh/1000),0,TER_onderwijs_gas_kWh/1000)*0.903</f>
        <v>1126.3715191172873</v>
      </c>
      <c r="E11" s="33">
        <f>$C$31*'E Balans VL '!I11/100/3.6*1000000</f>
        <v>0</v>
      </c>
      <c r="F11" s="33">
        <f>$C$31*('E Balans VL '!L11+'E Balans VL '!N11)/100/3.6*1000000</f>
        <v>19.775440580515141</v>
      </c>
      <c r="G11" s="34"/>
      <c r="H11" s="33"/>
      <c r="I11" s="33"/>
      <c r="J11" s="33">
        <f>$C$31*('E Balans VL '!D11+'E Balans VL '!E11)/100/3.6*1000000</f>
        <v>0</v>
      </c>
      <c r="K11" s="33"/>
      <c r="L11" s="33"/>
      <c r="M11" s="33"/>
      <c r="N11" s="33">
        <f>$C$31*'E Balans VL '!Y11/100/3.6*1000000</f>
        <v>1.589420816514675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56.7</v>
      </c>
      <c r="C13" s="243">
        <f ca="1">'lokale energieproductie'!O41+'lokale energieproductie'!O34</f>
        <v>81</v>
      </c>
      <c r="D13" s="304">
        <f ca="1">('lokale energieproductie'!P34+'lokale energieproductie'!P41)*(-1)</f>
        <v>-162.00000000000003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35547.021227764155</v>
      </c>
      <c r="C16" s="21">
        <f t="shared" ca="1" si="1"/>
        <v>81</v>
      </c>
      <c r="D16" s="21">
        <f t="shared" ca="1" si="1"/>
        <v>42351.007133563951</v>
      </c>
      <c r="E16" s="21">
        <f t="shared" si="1"/>
        <v>161.52011103470932</v>
      </c>
      <c r="F16" s="21">
        <f t="shared" ca="1" si="1"/>
        <v>6504.3991268118207</v>
      </c>
      <c r="G16" s="21">
        <f t="shared" si="1"/>
        <v>0</v>
      </c>
      <c r="H16" s="21">
        <f t="shared" si="1"/>
        <v>0</v>
      </c>
      <c r="I16" s="21">
        <f t="shared" si="1"/>
        <v>0</v>
      </c>
      <c r="J16" s="21">
        <f t="shared" si="1"/>
        <v>3.9891107252680351E-2</v>
      </c>
      <c r="K16" s="21">
        <f t="shared" si="1"/>
        <v>0</v>
      </c>
      <c r="L16" s="21">
        <f t="shared" ca="1" si="1"/>
        <v>0</v>
      </c>
      <c r="M16" s="21">
        <f t="shared" si="1"/>
        <v>0</v>
      </c>
      <c r="N16" s="21">
        <f t="shared" ca="1" si="1"/>
        <v>1556.732166702408</v>
      </c>
      <c r="O16" s="21">
        <f>O5</f>
        <v>48.972607658411548</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8.8650550542462472E-2</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3151.2630019858925</v>
      </c>
      <c r="C20" s="23">
        <f t="shared" ref="C20:P20" ca="1" si="2">C16*C18</f>
        <v>17.917921671164308</v>
      </c>
      <c r="D20" s="23">
        <f t="shared" ca="1" si="2"/>
        <v>8554.9034409799187</v>
      </c>
      <c r="E20" s="23">
        <f t="shared" si="2"/>
        <v>36.665065204879014</v>
      </c>
      <c r="F20" s="23">
        <f t="shared" ca="1" si="2"/>
        <v>1736.6745668587562</v>
      </c>
      <c r="G20" s="23">
        <f t="shared" si="2"/>
        <v>0</v>
      </c>
      <c r="H20" s="23">
        <f t="shared" si="2"/>
        <v>0</v>
      </c>
      <c r="I20" s="23">
        <f t="shared" si="2"/>
        <v>0</v>
      </c>
      <c r="J20" s="23">
        <f t="shared" si="2"/>
        <v>1.4121451967448843E-2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11992.626231889899</v>
      </c>
      <c r="C26" s="39">
        <f>IF(ISERROR(B26*3.6/1000000/'E Balans VL '!Z12*100),0,B26*3.6/1000000/'E Balans VL '!Z12*100)</f>
        <v>0.34406731802555429</v>
      </c>
      <c r="D26" s="233" t="s">
        <v>835</v>
      </c>
      <c r="F26" s="6"/>
    </row>
    <row r="27" spans="1:18" ht="30">
      <c r="A27" s="228" t="s">
        <v>52</v>
      </c>
      <c r="B27" s="33">
        <f>IF(ISERROR(TER_horeca_ele_kWh/1000),0,TER_horeca_ele_kWh/1000)</f>
        <v>2163.37084607921</v>
      </c>
      <c r="C27" s="39">
        <f>IF(ISERROR(B27*3.6/1000000/'E Balans VL '!Z9*100),0,B27*3.6/1000000/'E Balans VL '!Z9*100)</f>
        <v>0.15848931409397196</v>
      </c>
      <c r="D27" s="233" t="s">
        <v>835</v>
      </c>
      <c r="F27" s="6"/>
    </row>
    <row r="28" spans="1:18" ht="30">
      <c r="A28" s="168" t="s">
        <v>51</v>
      </c>
      <c r="B28" s="33">
        <f>IF(ISERROR(TER_handel_ele_kWh/1000),0,TER_handel_ele_kWh/1000)</f>
        <v>13451.933519031902</v>
      </c>
      <c r="C28" s="39">
        <f>IF(ISERROR(B28*3.6/1000000/'E Balans VL '!Z13*100),0,B28*3.6/1000000/'E Balans VL '!Z13*100)</f>
        <v>0.41567609178939352</v>
      </c>
      <c r="D28" s="233" t="s">
        <v>835</v>
      </c>
      <c r="F28" s="6"/>
    </row>
    <row r="29" spans="1:18" ht="30">
      <c r="A29" s="228" t="s">
        <v>50</v>
      </c>
      <c r="B29" s="33">
        <f>IF(ISERROR(TER_gezond_ele_kWh/1000),0,TER_gezond_ele_kWh/1000)</f>
        <v>3433.6116334419999</v>
      </c>
      <c r="C29" s="39">
        <f>IF(ISERROR(B29*3.6/1000000/'E Balans VL '!Z10*100),0,B29*3.6/1000000/'E Balans VL '!Z10*100)</f>
        <v>0.33651505320073316</v>
      </c>
      <c r="D29" s="233" t="s">
        <v>835</v>
      </c>
      <c r="F29" s="6"/>
    </row>
    <row r="30" spans="1:18" ht="30">
      <c r="A30" s="228" t="s">
        <v>49</v>
      </c>
      <c r="B30" s="33">
        <f>IF(ISERROR(TER_ander_ele_kWh/1000),0,TER_ander_ele_kWh/1000)</f>
        <v>3944.08032498478</v>
      </c>
      <c r="C30" s="39">
        <f>IF(ISERROR(B30*3.6/1000000/'E Balans VL '!Z14*100),0,B30*3.6/1000000/'E Balans VL '!Z14*100)</f>
        <v>0.16337654847514135</v>
      </c>
      <c r="D30" s="233" t="s">
        <v>835</v>
      </c>
      <c r="F30" s="6"/>
    </row>
    <row r="31" spans="1:18" ht="30">
      <c r="A31" s="228" t="s">
        <v>54</v>
      </c>
      <c r="B31" s="33">
        <f>IF(ISERROR(TER_onderwijs_ele_kWh/1000),0,TER_onderwijs_ele_kWh/1000)</f>
        <v>504.69867233636802</v>
      </c>
      <c r="C31" s="39">
        <f>IF(ISERROR(B31*3.6/1000000/'E Balans VL '!Z11*100),0,B31*3.6/1000000/'E Balans VL '!Z11*100)</f>
        <v>0.15507855784697325</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9</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32847.196717998711</v>
      </c>
      <c r="C5" s="17">
        <f>IF(ISERROR('Eigen informatie GS &amp; warmtenet'!B61),0,'Eigen informatie GS &amp; warmtenet'!B61)</f>
        <v>0</v>
      </c>
      <c r="D5" s="30">
        <f>SUM(D6:D15)</f>
        <v>83245.770068165293</v>
      </c>
      <c r="E5" s="17">
        <f>SUM(E6:E15)</f>
        <v>1791.2701557076532</v>
      </c>
      <c r="F5" s="17">
        <f>SUM(F6:F15)</f>
        <v>5745.2349213991947</v>
      </c>
      <c r="G5" s="18"/>
      <c r="H5" s="17"/>
      <c r="I5" s="17"/>
      <c r="J5" s="17">
        <f>SUM(J6:J15)</f>
        <v>19.5320788441628</v>
      </c>
      <c r="K5" s="17"/>
      <c r="L5" s="17"/>
      <c r="M5" s="17"/>
      <c r="N5" s="17">
        <f>SUM(N6:N15)</f>
        <v>951.01603758858016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9079.0931685088399</v>
      </c>
      <c r="C8" s="33"/>
      <c r="D8" s="37">
        <f>IF( ISERROR(IND_metaal_Gas_kWH/1000),0,IND_metaal_Gas_kWH/1000)*0.903</f>
        <v>17808.420216560433</v>
      </c>
      <c r="E8" s="33">
        <f>C30*'E Balans VL '!I18/100/3.6*1000000</f>
        <v>49.491552813960496</v>
      </c>
      <c r="F8" s="33">
        <f>C30*'E Balans VL '!L18/100/3.6*1000000+C30*'E Balans VL '!N18/100/3.6*1000000</f>
        <v>584.69429353763292</v>
      </c>
      <c r="G8" s="34"/>
      <c r="H8" s="33"/>
      <c r="I8" s="33"/>
      <c r="J8" s="40">
        <f>C30*'E Balans VL '!D18/100/3.6*1000000+C30*'E Balans VL '!E18/100/3.6*1000000</f>
        <v>7.4368847583396303</v>
      </c>
      <c r="K8" s="33"/>
      <c r="L8" s="33"/>
      <c r="M8" s="33"/>
      <c r="N8" s="33">
        <f>C30*'E Balans VL '!Y18/100/3.6*1000000</f>
        <v>196.14780846903582</v>
      </c>
      <c r="O8" s="33"/>
      <c r="P8" s="33"/>
      <c r="R8" s="32"/>
    </row>
    <row r="9" spans="1:18">
      <c r="A9" s="6" t="s">
        <v>32</v>
      </c>
      <c r="B9" s="37">
        <f t="shared" si="0"/>
        <v>7618.0609593112003</v>
      </c>
      <c r="C9" s="33"/>
      <c r="D9" s="37">
        <f>IF( ISERROR(IND_andere_gas_kWh/1000),0,IND_andere_gas_kWh/1000)*0.903</f>
        <v>38397.969667084231</v>
      </c>
      <c r="E9" s="33">
        <f>C31*'E Balans VL '!I19/100/3.6*1000000</f>
        <v>24.592398136670813</v>
      </c>
      <c r="F9" s="33">
        <f>C31*'E Balans VL '!L19/100/3.6*1000000+C31*'E Balans VL '!N19/100/3.6*1000000</f>
        <v>4925.8980185370447</v>
      </c>
      <c r="G9" s="34"/>
      <c r="H9" s="33"/>
      <c r="I9" s="33"/>
      <c r="J9" s="40">
        <f>C31*'E Balans VL '!D19/100/3.6*1000000+C31*'E Balans VL '!E19/100/3.6*1000000</f>
        <v>0</v>
      </c>
      <c r="K9" s="33"/>
      <c r="L9" s="33"/>
      <c r="M9" s="33"/>
      <c r="N9" s="33">
        <f>C31*'E Balans VL '!Y19/100/3.6*1000000</f>
        <v>307.83704373363071</v>
      </c>
      <c r="O9" s="33"/>
      <c r="P9" s="33"/>
      <c r="R9" s="32"/>
    </row>
    <row r="10" spans="1:18">
      <c r="A10" s="6" t="s">
        <v>40</v>
      </c>
      <c r="B10" s="37">
        <f t="shared" si="0"/>
        <v>6589.1701070777908</v>
      </c>
      <c r="C10" s="33"/>
      <c r="D10" s="37">
        <f>IF( ISERROR(IND_voed_gas_kWh/1000),0,IND_voed_gas_kWh/1000)*0.903</f>
        <v>9701.0188079553918</v>
      </c>
      <c r="E10" s="33">
        <f>C32*'E Balans VL '!I20/100/3.6*1000000</f>
        <v>13.812515375806329</v>
      </c>
      <c r="F10" s="33">
        <f>C32*'E Balans VL '!L20/100/3.6*1000000+C32*'E Balans VL '!N20/100/3.6*1000000</f>
        <v>128.37980504832734</v>
      </c>
      <c r="G10" s="34"/>
      <c r="H10" s="33"/>
      <c r="I10" s="33"/>
      <c r="J10" s="40">
        <f>C32*'E Balans VL '!D20/100/3.6*1000000+C32*'E Balans VL '!E20/100/3.6*1000000</f>
        <v>0</v>
      </c>
      <c r="K10" s="33"/>
      <c r="L10" s="33"/>
      <c r="M10" s="33"/>
      <c r="N10" s="33">
        <f>C32*'E Balans VL '!Y20/100/3.6*1000000</f>
        <v>262.09891900271811</v>
      </c>
      <c r="O10" s="33"/>
      <c r="P10" s="33"/>
      <c r="R10" s="32"/>
    </row>
    <row r="11" spans="1:18">
      <c r="A11" s="6" t="s">
        <v>39</v>
      </c>
      <c r="B11" s="37">
        <f t="shared" si="0"/>
        <v>66.281446515034403</v>
      </c>
      <c r="C11" s="33"/>
      <c r="D11" s="37">
        <f>IF( ISERROR(IND_textiel_gas_kWh/1000),0,IND_textiel_gas_kWh/1000)*0.903</f>
        <v>0</v>
      </c>
      <c r="E11" s="33">
        <f>C33*'E Balans VL '!I21/100/3.6*1000000</f>
        <v>5.6953654538621772E-2</v>
      </c>
      <c r="F11" s="33">
        <f>C33*'E Balans VL '!L21/100/3.6*1000000+C33*'E Balans VL '!N21/100/3.6*1000000</f>
        <v>1.3896593185176604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332.27753651659498</v>
      </c>
      <c r="C12" s="33"/>
      <c r="D12" s="37">
        <f>IF( ISERROR(IND_min_gas_kWh/1000),0,IND_min_gas_kWh/1000)*0.903</f>
        <v>208.77599799094966</v>
      </c>
      <c r="E12" s="33">
        <f>C34*'E Balans VL '!I22/100/3.6*1000000</f>
        <v>5.437741451655004</v>
      </c>
      <c r="F12" s="33">
        <f>C34*'E Balans VL '!L22/100/3.6*1000000+C34*'E Balans VL '!N22/100/3.6*1000000</f>
        <v>50.716958573180996</v>
      </c>
      <c r="G12" s="34"/>
      <c r="H12" s="33"/>
      <c r="I12" s="33"/>
      <c r="J12" s="40">
        <f>C34*'E Balans VL '!D22/100/3.6*1000000+C34*'E Balans VL '!E22/100/3.6*1000000</f>
        <v>11.891071874824334</v>
      </c>
      <c r="K12" s="33"/>
      <c r="L12" s="33"/>
      <c r="M12" s="33"/>
      <c r="N12" s="33">
        <f>C34*'E Balans VL '!Y22/100/3.6*1000000</f>
        <v>182.09514222416743</v>
      </c>
      <c r="O12" s="33"/>
      <c r="P12" s="33"/>
      <c r="R12" s="32"/>
    </row>
    <row r="13" spans="1:18">
      <c r="A13" s="6" t="s">
        <v>38</v>
      </c>
      <c r="B13" s="37">
        <f t="shared" si="0"/>
        <v>1031.9298186387</v>
      </c>
      <c r="C13" s="33"/>
      <c r="D13" s="37">
        <f>IF( ISERROR(IND_papier_gas_kWh/1000),0,IND_papier_gas_kWh/1000)*0.903</f>
        <v>2133.3302937549934</v>
      </c>
      <c r="E13" s="33">
        <f>C35*'E Balans VL '!I23/100/3.6*1000000</f>
        <v>0</v>
      </c>
      <c r="F13" s="33">
        <f>C35*'E Balans VL '!L23/100/3.6*1000000+C35*'E Balans VL '!N23/100/3.6*1000000</f>
        <v>0.13823025253584026</v>
      </c>
      <c r="G13" s="34"/>
      <c r="H13" s="33"/>
      <c r="I13" s="33"/>
      <c r="J13" s="40">
        <f>C35*'E Balans VL '!D23/100/3.6*1000000+C35*'E Balans VL '!E23/100/3.6*1000000</f>
        <v>0.20412221099883476</v>
      </c>
      <c r="K13" s="33"/>
      <c r="L13" s="33"/>
      <c r="M13" s="33"/>
      <c r="N13" s="33">
        <f>C35*'E Balans VL '!Y23/100/3.6*1000000</f>
        <v>0</v>
      </c>
      <c r="O13" s="33"/>
      <c r="P13" s="33"/>
      <c r="R13" s="32"/>
    </row>
    <row r="14" spans="1:18">
      <c r="A14" s="6" t="s">
        <v>33</v>
      </c>
      <c r="B14" s="37">
        <f t="shared" si="0"/>
        <v>8130.3836814305505</v>
      </c>
      <c r="C14" s="33"/>
      <c r="D14" s="37">
        <f>IF( ISERROR(IND_chemie_gas_kWh/1000),0,IND_chemie_gas_kWh/1000)*0.903</f>
        <v>14861.950272498907</v>
      </c>
      <c r="E14" s="33">
        <f>C36*'E Balans VL '!I24/100/3.6*1000000</f>
        <v>1697.878994275022</v>
      </c>
      <c r="F14" s="33">
        <f>C36*'E Balans VL '!L24/100/3.6*1000000+C36*'E Balans VL '!N24/100/3.6*1000000</f>
        <v>54.017956131955764</v>
      </c>
      <c r="G14" s="34"/>
      <c r="H14" s="33"/>
      <c r="I14" s="33"/>
      <c r="J14" s="40">
        <f>C36*'E Balans VL '!D24/100/3.6*1000000+C36*'E Balans VL '!E24/100/3.6*1000000</f>
        <v>0</v>
      </c>
      <c r="K14" s="33"/>
      <c r="L14" s="33"/>
      <c r="M14" s="33"/>
      <c r="N14" s="33">
        <f>C36*'E Balans VL '!Y24/100/3.6*1000000</f>
        <v>2.8371241590280696</v>
      </c>
      <c r="O14" s="33"/>
      <c r="P14" s="33"/>
      <c r="R14" s="32"/>
    </row>
    <row r="15" spans="1:18">
      <c r="A15" s="6" t="s">
        <v>259</v>
      </c>
      <c r="B15" s="37">
        <f t="shared" si="0"/>
        <v>0</v>
      </c>
      <c r="C15" s="33"/>
      <c r="D15" s="37">
        <f>IF( ISERROR(IND_rest_gas_kWh/1000),0,IND_rest_gas_kWh/1000)*0.903</f>
        <v>134.30481232038443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32847.196717998711</v>
      </c>
      <c r="C18" s="21">
        <f>C5+C16</f>
        <v>0</v>
      </c>
      <c r="D18" s="21">
        <f>MAX((D5+D16),0)</f>
        <v>83245.770068165293</v>
      </c>
      <c r="E18" s="21">
        <f>MAX((E5+E16),0)</f>
        <v>1791.2701557076532</v>
      </c>
      <c r="F18" s="21">
        <f>MAX((F5+F16),0)</f>
        <v>5745.2349213991947</v>
      </c>
      <c r="G18" s="21"/>
      <c r="H18" s="21"/>
      <c r="I18" s="21"/>
      <c r="J18" s="21">
        <f>MAX((J5+J16),0)</f>
        <v>19.5320788441628</v>
      </c>
      <c r="K18" s="21"/>
      <c r="L18" s="21">
        <f>MAX((L5+L16),0)</f>
        <v>0</v>
      </c>
      <c r="M18" s="21"/>
      <c r="N18" s="21">
        <f>MAX((N5+N16),0)</f>
        <v>951.01603758858016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8.8650550542462472E-2</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2911.9220728271521</v>
      </c>
      <c r="C22" s="23">
        <f ca="1">C18*C20</f>
        <v>0</v>
      </c>
      <c r="D22" s="23">
        <f>D18*D20</f>
        <v>16815.645553769391</v>
      </c>
      <c r="E22" s="23">
        <f>E18*E20</f>
        <v>406.61832534563729</v>
      </c>
      <c r="F22" s="23">
        <f>F18*F20</f>
        <v>1533.977724013585</v>
      </c>
      <c r="G22" s="23"/>
      <c r="H22" s="23"/>
      <c r="I22" s="23"/>
      <c r="J22" s="23">
        <f>J18*J20</f>
        <v>6.9143559108336312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9079.0931685088399</v>
      </c>
      <c r="C30" s="39">
        <f>IF(ISERROR(B30*3.6/1000000/'E Balans VL '!Z18*100),0,B30*3.6/1000000/'E Balans VL '!Z18*100)</f>
        <v>0.54671809536497351</v>
      </c>
      <c r="D30" s="233" t="s">
        <v>835</v>
      </c>
    </row>
    <row r="31" spans="1:18" ht="30">
      <c r="A31" s="6" t="s">
        <v>32</v>
      </c>
      <c r="B31" s="37">
        <f>IF( ISERROR(IND_ander_ele_kWh/1000),0,IND_ander_ele_kWh/1000)</f>
        <v>7618.0609593112003</v>
      </c>
      <c r="C31" s="39">
        <f>IF(ISERROR(B31*3.6/1000000/'E Balans VL '!Z19*100),0,B31*3.6/1000000/'E Balans VL '!Z19*100)</f>
        <v>0.31037557468349408</v>
      </c>
      <c r="D31" s="233" t="s">
        <v>835</v>
      </c>
    </row>
    <row r="32" spans="1:18" ht="30">
      <c r="A32" s="168" t="s">
        <v>40</v>
      </c>
      <c r="B32" s="37">
        <f>IF( ISERROR(IND_voed_ele_kWh/1000),0,IND_voed_ele_kWh/1000)</f>
        <v>6589.1701070777908</v>
      </c>
      <c r="C32" s="39">
        <f>IF(ISERROR(B32*3.6/1000000/'E Balans VL '!Z20*100),0,B32*3.6/1000000/'E Balans VL '!Z20*100)</f>
        <v>0.19051942459753882</v>
      </c>
      <c r="D32" s="233" t="s">
        <v>835</v>
      </c>
    </row>
    <row r="33" spans="1:5" ht="30">
      <c r="A33" s="168" t="s">
        <v>39</v>
      </c>
      <c r="B33" s="37">
        <f>IF( ISERROR(IND_textiel_ele_kWh/1000),0,IND_textiel_ele_kWh/1000)</f>
        <v>66.281446515034403</v>
      </c>
      <c r="C33" s="39">
        <f>IF(ISERROR(B33*3.6/1000000/'E Balans VL '!Z21*100),0,B33*3.6/1000000/'E Balans VL '!Z21*100)</f>
        <v>1.0900220964329525E-2</v>
      </c>
      <c r="D33" s="233" t="s">
        <v>835</v>
      </c>
    </row>
    <row r="34" spans="1:5" ht="30">
      <c r="A34" s="168" t="s">
        <v>36</v>
      </c>
      <c r="B34" s="37">
        <f>IF( ISERROR(IND_min_ele_kWh/1000),0,IND_min_ele_kWh/1000)</f>
        <v>332.27753651659498</v>
      </c>
      <c r="C34" s="39">
        <f>IF(ISERROR(B34*3.6/1000000/'E Balans VL '!Z22*100),0,B34*3.6/1000000/'E Balans VL '!Z22*100)</f>
        <v>0.14187942048709917</v>
      </c>
      <c r="D34" s="233" t="s">
        <v>835</v>
      </c>
    </row>
    <row r="35" spans="1:5" ht="30">
      <c r="A35" s="168" t="s">
        <v>38</v>
      </c>
      <c r="B35" s="37">
        <f>IF( ISERROR(IND_papier_ele_kWh/1000),0,IND_papier_ele_kWh/1000)</f>
        <v>1031.9298186387</v>
      </c>
      <c r="C35" s="39">
        <f>IF(ISERROR(B35*3.6/1000000/'E Balans VL '!Z22*100),0,B35*3.6/1000000/'E Balans VL '!Z22*100)</f>
        <v>0.44062444361027087</v>
      </c>
      <c r="D35" s="233" t="s">
        <v>835</v>
      </c>
    </row>
    <row r="36" spans="1:5" ht="30">
      <c r="A36" s="168" t="s">
        <v>33</v>
      </c>
      <c r="B36" s="37">
        <f>IF( ISERROR(IND_chemie_ele_kWh/1000),0,IND_chemie_ele_kWh/1000)</f>
        <v>8130.3836814305505</v>
      </c>
      <c r="C36" s="39">
        <f>IF(ISERROR(B36*3.6/1000000/'E Balans VL '!Z24*100),0,B36*3.6/1000000/'E Balans VL '!Z24*100)</f>
        <v>0.24670644861113783</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4785.4229138195897</v>
      </c>
      <c r="C5" s="17">
        <f>'Eigen informatie GS &amp; warmtenet'!B62</f>
        <v>0</v>
      </c>
      <c r="D5" s="30">
        <f>IF(ISERROR(SUM(LB_lb_gas_kWh,LB_rest_gas_kWh)/1000),0,SUM(LB_lb_gas_kWh,LB_rest_gas_kWh)/1000)*0.903</f>
        <v>5582.0121031143663</v>
      </c>
      <c r="E5" s="17">
        <f>B17*'E Balans VL '!I25/3.6*1000000/100</f>
        <v>137.06261067001725</v>
      </c>
      <c r="F5" s="17">
        <f>B17*('E Balans VL '!L25/3.6*1000000+'E Balans VL '!N25/3.6*1000000)/100</f>
        <v>15148.176973618922</v>
      </c>
      <c r="G5" s="18"/>
      <c r="H5" s="17"/>
      <c r="I5" s="17"/>
      <c r="J5" s="17">
        <f>('E Balans VL '!D25+'E Balans VL '!E25)/3.6*1000000*landbouw!B17/100</f>
        <v>1216.7827732581109</v>
      </c>
      <c r="K5" s="17"/>
      <c r="L5" s="17">
        <f>L6*(-1)</f>
        <v>0</v>
      </c>
      <c r="M5" s="17"/>
      <c r="N5" s="17">
        <f>N6*(-1)</f>
        <v>374.14285714285711</v>
      </c>
      <c r="O5" s="17"/>
      <c r="P5" s="17"/>
      <c r="R5" s="32"/>
    </row>
    <row r="6" spans="1:18">
      <c r="A6" s="16" t="s">
        <v>467</v>
      </c>
      <c r="B6" s="17" t="s">
        <v>204</v>
      </c>
      <c r="C6" s="17">
        <f>'lokale energieproductie'!O42+'lokale energieproductie'!O35</f>
        <v>2623.5</v>
      </c>
      <c r="D6" s="304">
        <f>('lokale energieproductie'!P35+'lokale energieproductie'!P42)*(-1)</f>
        <v>-4872.8571428571431</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4785.4229138195897</v>
      </c>
      <c r="C8" s="21">
        <f>C5+C6</f>
        <v>2623.5</v>
      </c>
      <c r="D8" s="21">
        <f>MAX((D5+D6),0)</f>
        <v>709.15496025722314</v>
      </c>
      <c r="E8" s="21">
        <f>MAX((E5+E6),0)</f>
        <v>137.06261067001725</v>
      </c>
      <c r="F8" s="21">
        <f>MAX((F5+F6),0)</f>
        <v>15148.176973618922</v>
      </c>
      <c r="G8" s="21"/>
      <c r="H8" s="21"/>
      <c r="I8" s="21"/>
      <c r="J8" s="21">
        <f>MAX((J5+J6),0)</f>
        <v>1216.7827732581109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8.8650550542462472E-2</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424.23037588862155</v>
      </c>
      <c r="C12" s="23">
        <f ca="1">C8*C10</f>
        <v>580.34157412715513</v>
      </c>
      <c r="D12" s="23">
        <f>D8*D10</f>
        <v>143.24930197195908</v>
      </c>
      <c r="E12" s="23">
        <f>E8*E10</f>
        <v>31.113212622093918</v>
      </c>
      <c r="F12" s="23">
        <f>F8*F10</f>
        <v>4044.5632519562523</v>
      </c>
      <c r="G12" s="23"/>
      <c r="H12" s="23"/>
      <c r="I12" s="23"/>
      <c r="J12" s="23">
        <f>J8*J10</f>
        <v>430.74110173337124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0.66267251385367409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813.21381669375273</v>
      </c>
      <c r="C26" s="243">
        <f>B26*'GWP N2O_CH4'!B5</f>
        <v>17077.490150568807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283.72648204036506</v>
      </c>
      <c r="C27" s="243">
        <f>B27*'GWP N2O_CH4'!B5</f>
        <v>5958.2561228476661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10.864876439734264</v>
      </c>
      <c r="C28" s="243">
        <f>B28*'GWP N2O_CH4'!B4</f>
        <v>3368.1116963176219</v>
      </c>
      <c r="D28" s="50"/>
    </row>
    <row r="29" spans="1:4">
      <c r="A29" s="41" t="s">
        <v>266</v>
      </c>
      <c r="B29" s="243">
        <f>B34*'ha_N2O bodem landbouw'!B4</f>
        <v>27.188064558907186</v>
      </c>
      <c r="C29" s="243">
        <f>B29*'GWP N2O_CH4'!B4</f>
        <v>8428.3000132612269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6.1766416754423887E-3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1.3404523922481383E-3</v>
      </c>
      <c r="C5" s="432" t="s">
        <v>204</v>
      </c>
      <c r="D5" s="417">
        <f>SUM(D6:D11)</f>
        <v>2.5252985704868692E-3</v>
      </c>
      <c r="E5" s="417">
        <f>SUM(E6:E11)</f>
        <v>9.8263422030311865E-4</v>
      </c>
      <c r="F5" s="430" t="s">
        <v>204</v>
      </c>
      <c r="G5" s="417">
        <f>SUM(G6:G11)</f>
        <v>0.44606465435938331</v>
      </c>
      <c r="H5" s="417">
        <f>SUM(H6:H11)</f>
        <v>0.12334241537121647</v>
      </c>
      <c r="I5" s="432" t="s">
        <v>204</v>
      </c>
      <c r="J5" s="432" t="s">
        <v>204</v>
      </c>
      <c r="K5" s="432" t="s">
        <v>204</v>
      </c>
      <c r="L5" s="432" t="s">
        <v>204</v>
      </c>
      <c r="M5" s="417">
        <f>SUM(M6:M11)</f>
        <v>3.4356174016510588E-2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8.5470632279474265E-4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1.4250401150216459E-3</v>
      </c>
      <c r="E6" s="884">
        <f>vkm_GW_PW*SUMIFS(TableVerdeelsleutelVkm[LPG],TableVerdeelsleutelVkm[Voertuigtype],"Lichte voertuigen")*SUMIFS(TableECFTransport[EnergieConsumptieFactor (PJ per km)],TableECFTransport[Index],CONCATENATE($A6,"_LPG_LPG"))</f>
        <v>5.6497044611754669E-4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0.16978781136465182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6.9886461411622733E-2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1.4703309814116706E-2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3.3407357044659414E-6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0.13242886902659812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9.7713336910439232E-7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7.6038417031939988E-3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4.8183971786028892E-4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1.1002584554652231E-3</v>
      </c>
      <c r="E8" s="420">
        <f>vkm_NGW_PW*SUMIFS(TableVerdeelsleutelVkm[LPG],TableVerdeelsleutelVkm[Voertuigtype],"Lichte voertuigen")*SUMIFS(TableECFTransport[EnergieConsumptieFactor (PJ per km)],TableECFTransport[Index],CONCATENATE($A8,"_LPG_LPG"))</f>
        <v>4.1766377418557191E-4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0.11497451780607183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5.3454777139233585E-2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1.039115842249445E-2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5.6561588864070087E-7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2.8873456162061571E-2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1.9968699104643895E-7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1.6578640767054295E-3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372.34788673559399</v>
      </c>
      <c r="C14" s="21"/>
      <c r="D14" s="21">
        <f t="shared" ref="D14:M14" si="0">((D5)*10^9/3600)+D12</f>
        <v>701.47182513524149</v>
      </c>
      <c r="E14" s="21">
        <f t="shared" si="0"/>
        <v>272.95395008419962</v>
      </c>
      <c r="F14" s="21"/>
      <c r="G14" s="21">
        <f t="shared" si="0"/>
        <v>123906.84843316203</v>
      </c>
      <c r="H14" s="21">
        <f t="shared" si="0"/>
        <v>34261.782047560133</v>
      </c>
      <c r="I14" s="21"/>
      <c r="J14" s="21"/>
      <c r="K14" s="21"/>
      <c r="L14" s="21"/>
      <c r="M14" s="21">
        <f t="shared" si="0"/>
        <v>9543.3816712529424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8.8650550542462472E-2</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33.008845152432869</v>
      </c>
      <c r="C18" s="23"/>
      <c r="D18" s="23">
        <f t="shared" ref="D18:M18" si="1">D14*D16</f>
        <v>141.6973086773188</v>
      </c>
      <c r="E18" s="23">
        <f t="shared" si="1"/>
        <v>61.960546669113313</v>
      </c>
      <c r="F18" s="23"/>
      <c r="G18" s="23">
        <f t="shared" si="1"/>
        <v>33083.128531654263</v>
      </c>
      <c r="H18" s="23">
        <f t="shared" si="1"/>
        <v>8531.1837298424725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4.0088243208102588E-3</v>
      </c>
      <c r="C50" s="315">
        <f t="shared" ref="C50:P50" si="2">SUM(C51:C52)</f>
        <v>0</v>
      </c>
      <c r="D50" s="315">
        <f t="shared" si="2"/>
        <v>0</v>
      </c>
      <c r="E50" s="315">
        <f t="shared" si="2"/>
        <v>0</v>
      </c>
      <c r="F50" s="315">
        <f t="shared" si="2"/>
        <v>0</v>
      </c>
      <c r="G50" s="315">
        <f t="shared" si="2"/>
        <v>8.4206919009320019E-3</v>
      </c>
      <c r="H50" s="315">
        <f t="shared" si="2"/>
        <v>0</v>
      </c>
      <c r="I50" s="315">
        <f t="shared" si="2"/>
        <v>0</v>
      </c>
      <c r="J50" s="315">
        <f t="shared" si="2"/>
        <v>0</v>
      </c>
      <c r="K50" s="315">
        <f t="shared" si="2"/>
        <v>0</v>
      </c>
      <c r="L50" s="315">
        <f t="shared" si="2"/>
        <v>0</v>
      </c>
      <c r="M50" s="315">
        <f t="shared" si="2"/>
        <v>4.8349748357894435E-4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1.3450934905254834E-4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8.4206919009320019E-3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4.8349748357894435E-4</v>
      </c>
      <c r="N51" s="317"/>
      <c r="O51" s="317"/>
      <c r="P51" s="320"/>
    </row>
    <row r="52" spans="1:18">
      <c r="A52" s="4" t="s">
        <v>318</v>
      </c>
      <c r="B52" s="885">
        <f>vkm_tram*SUMIFS(TableECFTransport[EnergieConsumptieFactor (PJ per km)],TableECFTransport[Index],"Tram_gemiddeld_Electric_Electric")</f>
        <v>3.8743149717577101E-3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1113.562311336183</v>
      </c>
      <c r="C54" s="21">
        <f t="shared" ref="C54:P54" si="3">(C50)*10^9/3600</f>
        <v>0</v>
      </c>
      <c r="D54" s="21">
        <f t="shared" si="3"/>
        <v>0</v>
      </c>
      <c r="E54" s="21">
        <f t="shared" si="3"/>
        <v>0</v>
      </c>
      <c r="F54" s="21">
        <f t="shared" si="3"/>
        <v>0</v>
      </c>
      <c r="G54" s="21">
        <f t="shared" si="3"/>
        <v>2339.0810835922225</v>
      </c>
      <c r="H54" s="21">
        <f t="shared" si="3"/>
        <v>0</v>
      </c>
      <c r="I54" s="21">
        <f t="shared" si="3"/>
        <v>0</v>
      </c>
      <c r="J54" s="21">
        <f t="shared" si="3"/>
        <v>0</v>
      </c>
      <c r="K54" s="21">
        <f t="shared" si="3"/>
        <v>0</v>
      </c>
      <c r="L54" s="21">
        <f t="shared" si="3"/>
        <v>0</v>
      </c>
      <c r="M54" s="21">
        <f t="shared" si="3"/>
        <v>134.30485654970676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8.8650550542462472E-2</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98.717911963289623</v>
      </c>
      <c r="C58" s="23">
        <f t="shared" ref="C58:P58" ca="1" si="4">C54*C56</f>
        <v>0</v>
      </c>
      <c r="D58" s="23">
        <f t="shared" si="4"/>
        <v>0</v>
      </c>
      <c r="E58" s="23">
        <f t="shared" si="4"/>
        <v>0</v>
      </c>
      <c r="F58" s="23">
        <f t="shared" si="4"/>
        <v>0</v>
      </c>
      <c r="G58" s="23">
        <f t="shared" si="4"/>
        <v>624.53464931912345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56161.897200440311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30295.623325124598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N32</f>
        <v>1893.15</v>
      </c>
      <c r="C8" s="543">
        <f>B51</f>
        <v>2073.1764705882356</v>
      </c>
      <c r="D8" s="544"/>
      <c r="E8" s="544">
        <f>E51</f>
        <v>0</v>
      </c>
      <c r="F8" s="545"/>
      <c r="G8" s="546"/>
      <c r="H8" s="544">
        <f>I51</f>
        <v>0</v>
      </c>
      <c r="I8" s="544">
        <f>G51+F51</f>
        <v>0</v>
      </c>
      <c r="J8" s="544">
        <f>H51+D51+C51</f>
        <v>154.05882352941177</v>
      </c>
      <c r="K8" s="544"/>
      <c r="L8" s="544"/>
      <c r="M8" s="544"/>
      <c r="N8" s="547"/>
      <c r="O8" s="548">
        <f>C8*$C$12+D8*$D$12+E8*$E$12+F8*$F$12+G8*$G$12+H8*$H$12+I8*$I$12+J8*$J$12</f>
        <v>418.78164705882364</v>
      </c>
      <c r="P8" s="1256"/>
      <c r="Q8" s="1257"/>
      <c r="S8" s="538"/>
      <c r="T8" s="1244"/>
      <c r="U8" s="1244"/>
    </row>
    <row r="9" spans="1:21" s="529" customFormat="1" ht="17.45" customHeight="1" thickBot="1">
      <c r="A9" s="549" t="s">
        <v>237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88350.670525564899</v>
      </c>
      <c r="C10" s="558">
        <f t="shared" ref="C10:L10" si="0">SUM(C8:C9)</f>
        <v>2073.1764705882356</v>
      </c>
      <c r="D10" s="558">
        <f t="shared" si="0"/>
        <v>0</v>
      </c>
      <c r="E10" s="558">
        <f t="shared" si="0"/>
        <v>0</v>
      </c>
      <c r="F10" s="558">
        <f t="shared" si="0"/>
        <v>0</v>
      </c>
      <c r="G10" s="558">
        <f t="shared" si="0"/>
        <v>0</v>
      </c>
      <c r="H10" s="558">
        <f t="shared" si="0"/>
        <v>0</v>
      </c>
      <c r="I10" s="558">
        <f t="shared" si="0"/>
        <v>0</v>
      </c>
      <c r="J10" s="558">
        <f t="shared" si="0"/>
        <v>154.05882352941177</v>
      </c>
      <c r="K10" s="558">
        <f t="shared" si="0"/>
        <v>0</v>
      </c>
      <c r="L10" s="558">
        <f t="shared" si="0"/>
        <v>0</v>
      </c>
      <c r="M10" s="959"/>
      <c r="N10" s="959"/>
      <c r="O10" s="559">
        <f>SUM(O4:O9)</f>
        <v>418.78164705882364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O32</f>
        <v>2704.5</v>
      </c>
      <c r="C17" s="574">
        <f>B52</f>
        <v>2961.680672268908</v>
      </c>
      <c r="D17" s="575"/>
      <c r="E17" s="575">
        <f>E52</f>
        <v>0</v>
      </c>
      <c r="F17" s="576"/>
      <c r="G17" s="577"/>
      <c r="H17" s="574">
        <f>I52</f>
        <v>0</v>
      </c>
      <c r="I17" s="575">
        <f>G52+F52</f>
        <v>0</v>
      </c>
      <c r="J17" s="575">
        <f>H52+D52+C52</f>
        <v>220.08403361344537</v>
      </c>
      <c r="K17" s="575"/>
      <c r="L17" s="575"/>
      <c r="M17" s="575"/>
      <c r="N17" s="960"/>
      <c r="O17" s="578">
        <f>C17*$C$22+E17*$E$22+H17*$H$22+I17*$I$22+J17*$J$22+D17*$D$22+F17*$F$22+G17*$G$22+K17*$K$22+L17*$L$22</f>
        <v>598.25949579831945</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2704.5</v>
      </c>
      <c r="C20" s="557">
        <f>SUM(C17:C19)</f>
        <v>2961.680672268908</v>
      </c>
      <c r="D20" s="557">
        <f t="shared" ref="D20:L20" si="1">SUM(D17:D19)</f>
        <v>0</v>
      </c>
      <c r="E20" s="557">
        <f t="shared" si="1"/>
        <v>0</v>
      </c>
      <c r="F20" s="557">
        <f t="shared" si="1"/>
        <v>0</v>
      </c>
      <c r="G20" s="557">
        <f t="shared" si="1"/>
        <v>0</v>
      </c>
      <c r="H20" s="557">
        <f t="shared" si="1"/>
        <v>0</v>
      </c>
      <c r="I20" s="557">
        <f t="shared" si="1"/>
        <v>0</v>
      </c>
      <c r="J20" s="557">
        <f t="shared" si="1"/>
        <v>220.08403361344537</v>
      </c>
      <c r="K20" s="557">
        <f t="shared" si="1"/>
        <v>0</v>
      </c>
      <c r="L20" s="557">
        <f t="shared" si="1"/>
        <v>0</v>
      </c>
      <c r="M20" s="557"/>
      <c r="N20" s="557"/>
      <c r="O20" s="583">
        <f>SUM(O17:O19)</f>
        <v>598.25949579831945</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44019</v>
      </c>
      <c r="C28" s="785">
        <v>9940</v>
      </c>
      <c r="D28" s="635"/>
      <c r="E28" s="634"/>
      <c r="F28" s="634"/>
      <c r="G28" s="634" t="s">
        <v>868</v>
      </c>
      <c r="H28" s="634" t="s">
        <v>869</v>
      </c>
      <c r="I28" s="634"/>
      <c r="J28" s="784"/>
      <c r="K28" s="784"/>
      <c r="L28" s="634" t="s">
        <v>870</v>
      </c>
      <c r="M28" s="634">
        <v>12.6</v>
      </c>
      <c r="N28" s="634">
        <v>56.7</v>
      </c>
      <c r="O28" s="634">
        <v>81</v>
      </c>
      <c r="P28" s="634">
        <v>162.00000000000003</v>
      </c>
      <c r="Q28" s="634">
        <v>0</v>
      </c>
      <c r="R28" s="634">
        <v>0</v>
      </c>
      <c r="S28" s="634">
        <v>0</v>
      </c>
      <c r="T28" s="634">
        <v>0</v>
      </c>
      <c r="U28" s="634">
        <v>0</v>
      </c>
      <c r="V28" s="634">
        <v>0</v>
      </c>
      <c r="W28" s="634">
        <v>0</v>
      </c>
      <c r="X28" s="634">
        <v>1600</v>
      </c>
      <c r="Y28" s="634" t="s">
        <v>49</v>
      </c>
      <c r="Z28" s="636" t="s">
        <v>149</v>
      </c>
    </row>
    <row r="29" spans="1:26" s="588" customFormat="1" ht="25.5" hidden="1">
      <c r="A29" s="587"/>
      <c r="B29" s="785">
        <v>44019</v>
      </c>
      <c r="C29" s="785">
        <v>9940</v>
      </c>
      <c r="D29" s="635"/>
      <c r="E29" s="634"/>
      <c r="F29" s="634"/>
      <c r="G29" s="634" t="s">
        <v>868</v>
      </c>
      <c r="H29" s="634" t="s">
        <v>869</v>
      </c>
      <c r="I29" s="634"/>
      <c r="J29" s="784"/>
      <c r="K29" s="784"/>
      <c r="L29" s="634" t="s">
        <v>870</v>
      </c>
      <c r="M29" s="634">
        <v>379</v>
      </c>
      <c r="N29" s="634">
        <v>1705.5</v>
      </c>
      <c r="O29" s="634">
        <v>2436.4285714285716</v>
      </c>
      <c r="P29" s="634">
        <v>4872.8571428571431</v>
      </c>
      <c r="Q29" s="634">
        <v>0</v>
      </c>
      <c r="R29" s="634">
        <v>0</v>
      </c>
      <c r="S29" s="634">
        <v>0</v>
      </c>
      <c r="T29" s="634">
        <v>0</v>
      </c>
      <c r="U29" s="634">
        <v>0</v>
      </c>
      <c r="V29" s="634">
        <v>0</v>
      </c>
      <c r="W29" s="634">
        <v>0</v>
      </c>
      <c r="X29" s="634">
        <v>10</v>
      </c>
      <c r="Y29" s="634" t="s">
        <v>105</v>
      </c>
      <c r="Z29" s="636" t="s">
        <v>105</v>
      </c>
    </row>
    <row r="30" spans="1:26" s="588" customFormat="1" ht="25.5" hidden="1">
      <c r="A30" s="587"/>
      <c r="B30" s="785">
        <v>44019</v>
      </c>
      <c r="C30" s="785">
        <v>9940</v>
      </c>
      <c r="D30" s="635"/>
      <c r="E30" s="634"/>
      <c r="F30" s="634"/>
      <c r="G30" s="634" t="s">
        <v>868</v>
      </c>
      <c r="H30" s="634" t="s">
        <v>869</v>
      </c>
      <c r="I30" s="634"/>
      <c r="J30" s="784"/>
      <c r="K30" s="784"/>
      <c r="L30" s="634" t="s">
        <v>870</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105</v>
      </c>
      <c r="Z30" s="636" t="s">
        <v>105</v>
      </c>
    </row>
    <row r="31" spans="1:26" s="588" customFormat="1" ht="25.5" hidden="1">
      <c r="A31" s="587"/>
      <c r="B31" s="785">
        <v>44019</v>
      </c>
      <c r="C31" s="785">
        <v>9940</v>
      </c>
      <c r="D31" s="635"/>
      <c r="E31" s="634"/>
      <c r="F31" s="634"/>
      <c r="G31" s="634" t="s">
        <v>868</v>
      </c>
      <c r="H31" s="634" t="s">
        <v>869</v>
      </c>
      <c r="I31" s="634"/>
      <c r="J31" s="784"/>
      <c r="K31" s="784"/>
      <c r="L31" s="634" t="s">
        <v>870</v>
      </c>
      <c r="M31" s="634">
        <v>19.399999999999999</v>
      </c>
      <c r="N31" s="634">
        <v>87.299999999999983</v>
      </c>
      <c r="O31" s="634">
        <v>124.71428571428569</v>
      </c>
      <c r="P31" s="634">
        <v>0</v>
      </c>
      <c r="Q31" s="634">
        <v>249.42857142857139</v>
      </c>
      <c r="R31" s="634">
        <v>0</v>
      </c>
      <c r="S31" s="634">
        <v>0</v>
      </c>
      <c r="T31" s="634">
        <v>0</v>
      </c>
      <c r="U31" s="634">
        <v>0</v>
      </c>
      <c r="V31" s="634">
        <v>0</v>
      </c>
      <c r="W31" s="634">
        <v>0</v>
      </c>
      <c r="X31" s="634">
        <v>10</v>
      </c>
      <c r="Y31" s="634" t="s">
        <v>105</v>
      </c>
      <c r="Z31" s="636" t="s">
        <v>105</v>
      </c>
    </row>
    <row r="32" spans="1:26" s="568" customFormat="1" hidden="1">
      <c r="A32" s="590" t="s">
        <v>269</v>
      </c>
      <c r="B32" s="591"/>
      <c r="C32" s="591"/>
      <c r="D32" s="591"/>
      <c r="E32" s="591"/>
      <c r="F32" s="591"/>
      <c r="G32" s="591"/>
      <c r="H32" s="591"/>
      <c r="I32" s="591"/>
      <c r="J32" s="591"/>
      <c r="K32" s="591"/>
      <c r="L32" s="592"/>
      <c r="M32" s="592">
        <f>SUM(M28:M31)</f>
        <v>420.7</v>
      </c>
      <c r="N32" s="592">
        <f>SUM(N28:N31)</f>
        <v>1893.15</v>
      </c>
      <c r="O32" s="592">
        <f>SUM(O28:O31)</f>
        <v>2704.5</v>
      </c>
      <c r="P32" s="592">
        <f>SUM(P28:P31)</f>
        <v>5034.8571428571431</v>
      </c>
      <c r="Q32" s="592">
        <f>SUM(Q28:Q31)</f>
        <v>374.14285714285711</v>
      </c>
      <c r="R32" s="592">
        <f>SUM(R28:R31)</f>
        <v>0</v>
      </c>
      <c r="S32" s="592">
        <f>SUM(S28:S31)</f>
        <v>0</v>
      </c>
      <c r="T32" s="592">
        <f>SUM(T28:T31)</f>
        <v>0</v>
      </c>
      <c r="U32" s="592">
        <f>SUM(U28:U31)</f>
        <v>0</v>
      </c>
      <c r="V32" s="592">
        <f>SUM(V28:V31)</f>
        <v>0</v>
      </c>
      <c r="W32" s="592">
        <f>SUM(W28:W31)</f>
        <v>0</v>
      </c>
      <c r="X32" s="593"/>
      <c r="Y32" s="593"/>
      <c r="Z32" s="594"/>
    </row>
    <row r="33" spans="1:27" s="568" customFormat="1">
      <c r="A33" s="590" t="s">
        <v>276</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277</v>
      </c>
      <c r="B34" s="591"/>
      <c r="C34" s="591"/>
      <c r="D34" s="591"/>
      <c r="E34" s="591"/>
      <c r="F34" s="591"/>
      <c r="G34" s="591"/>
      <c r="H34" s="591"/>
      <c r="I34" s="591"/>
      <c r="J34" s="591"/>
      <c r="K34" s="591"/>
      <c r="L34" s="592"/>
      <c r="M34" s="592">
        <f ca="1">SUMIF($Z$28:AC31,"tertiair",M28:M31)</f>
        <v>12.6</v>
      </c>
      <c r="N34" s="592">
        <f ca="1">SUMIF($Z$28:AD31,"tertiair",N28:N31)</f>
        <v>56.7</v>
      </c>
      <c r="O34" s="592">
        <f ca="1">SUMIF($Z$28:AE31,"tertiair",O28:O31)</f>
        <v>81</v>
      </c>
      <c r="P34" s="592">
        <f ca="1">SUMIF($Z$28:AF31,"tertiair",P28:P31)</f>
        <v>162.00000000000003</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278</v>
      </c>
      <c r="B35" s="596"/>
      <c r="C35" s="596"/>
      <c r="D35" s="596"/>
      <c r="E35" s="596"/>
      <c r="F35" s="596"/>
      <c r="G35" s="596"/>
      <c r="H35" s="596"/>
      <c r="I35" s="596"/>
      <c r="J35" s="596"/>
      <c r="K35" s="596"/>
      <c r="L35" s="597"/>
      <c r="M35" s="597">
        <f>SUMIF($Z$28:$Z$31,"landbouw",M28:M31)</f>
        <v>408.09999999999997</v>
      </c>
      <c r="N35" s="597">
        <f>SUMIF($Z$28:$Z$31,"landbouw",N28:N31)</f>
        <v>1836.45</v>
      </c>
      <c r="O35" s="597">
        <f>SUMIF($Z$28:$Z$31,"landbouw",O28:O31)</f>
        <v>2623.5</v>
      </c>
      <c r="P35" s="597">
        <f>SUMIF($Z$28:$Z$31,"landbouw",P28:P31)</f>
        <v>4872.8571428571431</v>
      </c>
      <c r="Q35" s="597">
        <f>SUMIF($Z$28:$Z$31,"landbouw",Q28:Q31)</f>
        <v>374.14285714285711</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270</v>
      </c>
      <c r="B37" s="631" t="s">
        <v>89</v>
      </c>
      <c r="C37" s="631" t="s">
        <v>90</v>
      </c>
      <c r="D37" s="631"/>
      <c r="E37" s="631"/>
      <c r="F37" s="631"/>
      <c r="G37" s="631" t="s">
        <v>91</v>
      </c>
      <c r="H37" s="631" t="s">
        <v>92</v>
      </c>
      <c r="I37" s="631"/>
      <c r="J37" s="631"/>
      <c r="K37" s="631"/>
      <c r="L37" s="631" t="s">
        <v>93</v>
      </c>
      <c r="M37" s="632" t="s">
        <v>287</v>
      </c>
      <c r="N37" s="632" t="s">
        <v>94</v>
      </c>
      <c r="O37" s="632" t="s">
        <v>95</v>
      </c>
      <c r="P37" s="632" t="s">
        <v>511</v>
      </c>
      <c r="Q37" s="632" t="s">
        <v>96</v>
      </c>
      <c r="R37" s="632" t="s">
        <v>97</v>
      </c>
      <c r="S37" s="632" t="s">
        <v>98</v>
      </c>
      <c r="T37" s="632" t="s">
        <v>99</v>
      </c>
      <c r="U37" s="632" t="s">
        <v>100</v>
      </c>
      <c r="V37" s="632" t="s">
        <v>101</v>
      </c>
      <c r="W37" s="631" t="s">
        <v>102</v>
      </c>
      <c r="X37" s="631" t="s">
        <v>288</v>
      </c>
      <c r="Y37" s="631" t="s">
        <v>103</v>
      </c>
      <c r="Z37" s="633" t="s">
        <v>289</v>
      </c>
    </row>
    <row r="38" spans="1:27" s="603" customFormat="1" ht="12.75" hidden="1">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hidden="1">
      <c r="A39" s="590" t="s">
        <v>269</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276</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277</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278</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IF(ISERROR(O32/(O32+N32)),0,O32/(O32+N32))</f>
        <v>0.58823529411764708</v>
      </c>
      <c r="C48" s="617">
        <f>IF(ISERROR(N32/(O32+N32)),0,N32/(N32+O32))</f>
        <v>0.41176470588235298</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$C$48*P32</f>
        <v>2073.1764705882356</v>
      </c>
      <c r="C51" s="626">
        <f t="shared" si="2"/>
        <v>154.05882352941177</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$B$48*P32</f>
        <v>2961.680672268908</v>
      </c>
      <c r="C52" s="629">
        <f t="shared" si="3"/>
        <v>220.08403361344537</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2021-11-11T12:19:36Z</dcterms:modified>
</cp:coreProperties>
</file>