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B13675F-E51D-42D1-B412-4E8B00FDB6D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6" i="22" s="1"/>
  <c r="A8" i="23"/>
  <c r="A9" i="23"/>
  <c r="A10" i="23"/>
  <c r="A11" i="23"/>
  <c r="D8" i="22" s="1"/>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0" i="16"/>
  <c r="C22" i="16" s="1"/>
  <c r="D43" i="14" s="1"/>
  <c r="C18" i="15"/>
  <c r="C20" i="15" s="1"/>
  <c r="D40" i="14" s="1"/>
  <c r="C10" i="13"/>
  <c r="C12" i="13" s="1"/>
  <c r="C56" i="22"/>
  <c r="C58" i="22" s="1"/>
  <c r="D49" i="14" s="1"/>
  <c r="D52" i="14" s="1"/>
  <c r="C22" i="59"/>
  <c r="C17" i="19"/>
  <c r="C19" i="19" s="1"/>
  <c r="D39" i="14" s="1"/>
  <c r="C10" i="17"/>
  <c r="C12" i="17" s="1"/>
  <c r="D54" i="14" s="1"/>
  <c r="D56" i="14" s="1"/>
  <c r="C29" i="20"/>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<sst xmlns="http://schemas.openxmlformats.org/spreadsheetml/2006/main" count="2427" uniqueCount="871">
  <si>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</si>
  <si>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</si>
  <si>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</si>
  <si>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</si>
  <si>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</si>
  <si>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</si>
  <si>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</si>
  <si>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</si>
  <si>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</si>
  <si>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</si>
  <si>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</si>
  <si>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</si>
  <si>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</si>
  <si>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</si>
  <si>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</si>
  <si>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</si>
  <si>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</si>
  <si>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</si>
  <si>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</si>
  <si>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</si>
  <si>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</si>
  <si>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</si>
  <si>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</si>
  <si>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</si>
  <si>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</si>
  <si>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</si>
  <si>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</si>
  <si>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</si>
  <si>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</si>
  <si>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</si>
  <si>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</si>
  <si>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</si>
  <si>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</si>
  <si>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</si>
  <si>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</si>
  <si>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</si>
  <si>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</si>
  <si>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</si>
  <si>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</si>
  <si>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</si>
  <si>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</si>
  <si>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</si>
  <si>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</si>
  <si>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</si>
  <si>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</si>
  <si>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</si>
  <si>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</si>
  <si>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</si>
  <si>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</si>
  <si>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</si>
  <si>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</si>
  <si>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</si>
  <si>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</si>
  <si>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</si>
  <si>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</si>
  <si>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</si>
  <si>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</si>
  <si>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</si>
  <si>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</si>
  <si>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</si>
  <si>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</si>
  <si>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</si>
  <si>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</si>
  <si>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</si>
  <si>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</si>
  <si>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</si>
  <si>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</si>
  <si>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</si>
  <si>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</si>
  <si>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</si>
  <si>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</si>
  <si>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</si>
  <si>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</si>
  <si>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</si>
  <si>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</si>
  <si>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</si>
  <si>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</si>
  <si>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</si>
  <si>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</si>
  <si>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</si>
  <si>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</si>
  <si>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</si>
  <si>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</si>
  <si>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</si>
  <si>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</si>
  <si>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</si>
  <si>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</si>
  <si>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</si>
  <si>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</si>
  <si>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</si>
  <si>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</si>
  <si>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</si>
  <si>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</si>
  <si>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</si>
  <si>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</si>
  <si>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</si>
  <si>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</si>
  <si>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</si>
  <si>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</si>
  <si>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</si>
  <si>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</si>
  <si>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</si>
  <si>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</si>
  <si>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</si>
  <si>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</si>
  <si>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</si>
  <si>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</si>
  <si>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</si>
  <si>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</si>
  <si>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</si>
  <si>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</si>
  <si>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</si>
  <si>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</si>
  <si>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</si>
  <si>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</si>
  <si>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</si>
  <si>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</si>
  <si>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</si>
  <si>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</si>
  <si>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</si>
  <si>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</si>
  <si>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</si>
  <si>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</si>
  <si>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</si>
  <si>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</si>
  <si>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</si>
  <si>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</si>
  <si>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</si>
  <si>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</si>
  <si>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</si>
  <si>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</si>
  <si>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</si>
  <si>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</si>
  <si>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</si>
  <si>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</si>
  <si>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</si>
  <si>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</si>
  <si>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</si>
  <si>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</si>
  <si>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</si>
  <si>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</si>
  <si>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</si>
  <si>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</si>
  <si>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</si>
  <si>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</si>
  <si>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</si>
  <si>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</si>
  <si>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</si>
  <si>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</si>
  <si>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</si>
  <si>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</si>
  <si>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</si>
  <si>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</si>
  <si>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</si>
  <si>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</si>
  <si>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</si>
  <si>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</si>
  <si>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</si>
  <si>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</si>
  <si>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</si>
  <si>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</si>
  <si>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</si>
  <si>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</si>
  <si>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</si>
  <si>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</si>
  <si>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</si>
  <si>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</si>
  <si>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</si>
  <si>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</si>
  <si>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</si>
  <si>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</si>
  <si>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</si>
  <si>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</si>
  <si>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</si>
  <si>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</si>
  <si>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</si>
  <si>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</si>
  <si>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</si>
  <si>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</si>
  <si>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</si>
  <si>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</si>
  <si>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</si>
  <si>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</si>
  <si>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</si>
  <si>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</si>
  <si>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</si>
  <si>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</si>
  <si>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</si>
  <si>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</si>
  <si>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</si>
  <si>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</si>
  <si>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</si>
  <si>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</si>
  <si>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</si>
  <si>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</si>
  <si>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</si>
  <si>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</si>
  <si>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</si>
  <si>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</si>
  <si>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</si>
  <si>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</si>
  <si>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</si>
  <si>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</si>
  <si>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</si>
  <si>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</si>
  <si>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</si>
  <si>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</si>
  <si>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</si>
  <si>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</si>
  <si>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</si>
  <si>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</si>
  <si>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</si>
  <si>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</si>
  <si>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</si>
  <si>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</si>
  <si>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</si>
  <si>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</si>
  <si>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</si>
  <si>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</si>
  <si>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</si>
  <si>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</si>
  <si>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</si>
  <si>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</si>
  <si>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</si>
  <si>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</si>
  <si>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</si>
  <si>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</si>
  <si>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</si>
  <si>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</si>
  <si>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</si>
  <si>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</si>
  <si>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</si>
  <si>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</si>
  <si>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</si>
  <si>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</si>
  <si>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</si>
  <si>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</si>
  <si>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</si>
  <si>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</si>
  <si>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</si>
  <si>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</si>
  <si>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</si>
  <si>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</si>
  <si>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</si>
  <si>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</si>
  <si>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</si>
  <si>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</si>
  <si>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</si>
  <si>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</si>
  <si>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</si>
  <si>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</si>
  <si>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</si>
  <si>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</si>
  <si>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</si>
  <si>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</si>
  <si>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</si>
  <si>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</si>
  <si>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</si>
  <si>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</si>
  <si>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</si>
  <si>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</si>
  <si>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</si>
  <si>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</si>
  <si>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</si>
  <si>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</si>
  <si>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</si>
  <si>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</si>
  <si>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</si>
  <si>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</si>
  <si>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</si>
  <si>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</si>
  <si>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</si>
  <si>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</si>
  <si>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</si>
  <si>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</si>
  <si>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</si>
  <si>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</si>
  <si>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</si>
  <si>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</si>
  <si>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</si>
  <si>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</si>
  <si>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</si>
  <si>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</si>
  <si>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</si>
  <si>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</si>
  <si>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</si>
  <si>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</si>
  <si>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</si>
  <si>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</si>
  <si>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</si>
  <si>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</si>
  <si>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</si>
  <si>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</si>
  <si>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</si>
  <si>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</si>
  <si>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</si>
  <si>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</si>
  <si>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</si>
  <si>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</si>
  <si>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</si>
  <si>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</si>
  <si>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</si>
  <si>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</si>
  <si>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</si>
  <si>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</si>
  <si>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</si>
  <si>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</si>
  <si>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</si>
  <si>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</si>
  <si>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</si>
  <si>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</si>
  <si>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</si>
  <si>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</si>
  <si>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</si>
  <si>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</si>
  <si>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</si>
  <si>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</si>
  <si>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</si>
  <si>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</si>
  <si>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</si>
  <si>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</si>
  <si>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</si>
  <si>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</si>
  <si>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</si>
  <si>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</si>
  <si>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</si>
  <si>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</si>
  <si>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</si>
  <si>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</si>
  <si>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</si>
  <si>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</si>
  <si>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</si>
  <si>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</si>
  <si>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</si>
  <si>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</si>
  <si>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</si>
  <si>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</si>
  <si>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</si>
  <si>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</si>
  <si>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</si>
  <si>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</si>
  <si>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</si>
  <si>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</si>
  <si>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</si>
  <si>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</si>
  <si>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</si>
  <si>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</si>
  <si>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</si>
  <si>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</si>
  <si>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</si>
  <si>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</si>
  <si>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</si>
  <si>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</si>
  <si>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</si>
  <si>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</si>
  <si>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</si>
  <si>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</si>
  <si>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</si>
  <si>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</si>
  <si>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</si>
  <si>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</si>
  <si>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</si>
  <si>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</si>
  <si>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</si>
  <si>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</si>
  <si>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</si>
  <si>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</si>
  <si>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</si>
  <si>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</si>
  <si>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</si>
  <si>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</si>
  <si>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</si>
  <si>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</si>
  <si>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</si>
  <si>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</si>
  <si>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</si>
  <si>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</si>
  <si>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</si>
  <si>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</si>
  <si>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</si>
  <si>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</si>
  <si>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</si>
  <si>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</si>
  <si>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</si>
  <si>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</si>
  <si>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</si>
  <si>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</si>
  <si>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</si>
  <si>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</si>
  <si>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</si>
  <si>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</si>
  <si>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</si>
  <si>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</si>
  <si>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</si>
  <si>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</si>
  <si>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</si>
  <si>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</si>
  <si>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</si>
  <si>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</si>
  <si>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</si>
  <si>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</si>
  <si>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</si>
  <si>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</si>
  <si>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</si>
  <si>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</si>
  <si>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</si>
  <si>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</si>
  <si>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</si>
  <si>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</si>
  <si>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</si>
  <si>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</si>
  <si>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</si>
  <si>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</si>
  <si>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</si>
  <si>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</si>
  <si>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</si>
  <si>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</si>
  <si>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</si>
  <si>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</si>
  <si>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</si>
  <si>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</si>
  <si>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</si>
  <si>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</si>
  <si>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</si>
  <si>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</si>
  <si>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</si>
  <si>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</si>
  <si>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</si>
  <si>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</si>
  <si>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</si>
  <si>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</si>
  <si>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</si>
  <si>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</si>
  <si>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</si>
  <si>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</si>
  <si>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</si>
  <si>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</si>
  <si>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</si>
  <si>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</si>
  <si>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</si>
  <si>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</si>
  <si>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</si>
  <si>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</si>
  <si>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</si>
  <si>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</si>
  <si>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</si>
  <si>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</si>
  <si>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</si>
  <si>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</si>
  <si>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</si>
  <si>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</si>
  <si>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</si>
  <si>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</si>
  <si>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</si>
  <si>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</si>
  <si>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</si>
  <si>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</si>
  <si>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</si>
  <si>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</si>
  <si>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</si>
  <si>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</si>
  <si>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</si>
  <si>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</si>
  <si>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</si>
  <si>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</si>
  <si>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</si>
  <si>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</si>
  <si>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</si>
  <si>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</si>
  <si>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</si>
  <si>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</si>
  <si>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</si>
  <si>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</si>
  <si>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</si>
  <si>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</si>
  <si>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</si>
  <si>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</si>
  <si>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</si>
  <si>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</si>
  <si>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</si>
  <si>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</si>
  <si>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</si>
  <si>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</si>
  <si>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</si>
  <si>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</si>
  <si>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</si>
  <si>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</si>
  <si>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</si>
  <si>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</si>
  <si>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</si>
  <si>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</si>
  <si>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</si>
  <si>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</si>
  <si>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</si>
  <si>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</si>
  <si>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</si>
  <si>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</si>
  <si>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</si>
  <si>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</si>
  <si>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</si>
  <si>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</si>
  <si>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</si>
  <si>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</si>
  <si>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</si>
  <si>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</si>
  <si>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</si>
  <si>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</si>
  <si>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</si>
  <si>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</si>
  <si>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</si>
  <si>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</si>
  <si>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</si>
  <si>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</si>
  <si>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</si>
  <si>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</si>
  <si>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</si>
  <si>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</si>
  <si>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</si>
  <si>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</si>
  <si>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</si>
  <si>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</si>
  <si>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</si>
  <si>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</si>
  <si>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</si>
  <si>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</si>
  <si>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</si>
  <si>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</si>
  <si>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</si>
  <si>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</si>
  <si>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</si>
  <si>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</si>
  <si>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</si>
  <si>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</si>
  <si>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</si>
  <si>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</si>
  <si>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</si>
  <si>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</si>
  <si>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</si>
  <si>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</si>
  <si>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</si>
  <si>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</si>
  <si>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</si>
  <si>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</si>
  <si>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</si>
  <si>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</si>
  <si>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</si>
  <si>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</si>
  <si>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</si>
  <si>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</si>
  <si>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</si>
  <si>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</si>
  <si>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</si>
  <si>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</si>
  <si>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</si>
  <si>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</si>
  <si>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</si>
  <si>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</si>
  <si>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</si>
  <si>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</si>
  <si>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</si>
  <si>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</si>
  <si>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</si>
  <si>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</si>
  <si>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</si>
  <si>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</si>
  <si>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</si>
  <si>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</si>
  <si>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</si>
  <si>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</si>
  <si>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</si>
  <si>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</si>
  <si>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</si>
  <si>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</si>
  <si>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</si>
  <si>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</si>
  <si>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</si>
  <si>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</si>
  <si>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</si>
  <si>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</si>
  <si>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</si>
  <si>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</si>
  <si>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</si>
  <si>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</si>
  <si>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</si>
  <si>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</si>
  <si>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</si>
  <si>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</si>
  <si>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</si>
  <si>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</si>
  <si>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</si>
  <si>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</si>
  <si>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</si>
  <si>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</si>
  <si>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</si>
  <si>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</si>
  <si>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</si>
  <si>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</si>
  <si>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</si>
  <si>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</si>
  <si>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</si>
  <si>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</si>
  <si>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</si>
  <si>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</si>
  <si>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</si>
  <si>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</si>
  <si>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</si>
  <si>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</si>
  <si>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</si>
  <si>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</si>
  <si>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</si>
  <si>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</si>
  <si>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</si>
  <si>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</si>
  <si>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</si>
  <si>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</si>
  <si>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</si>
  <si>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</si>
  <si>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</si>
  <si>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</si>
  <si>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</si>
  <si>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</si>
  <si>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</si>
  <si>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</si>
  <si>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</si>
  <si>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</si>
  <si>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</si>
  <si>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</si>
  <si>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</si>
  <si>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</si>
  <si>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</si>
  <si>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</si>
  <si>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</si>
  <si>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</si>
  <si>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</si>
  <si>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</si>
  <si>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</si>
  <si>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</si>
  <si>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</si>
  <si>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</si>
  <si>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</si>
  <si>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</si>
  <si>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</si>
  <si>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</si>
  <si>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</si>
  <si>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</si>
  <si>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</si>
  <si>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</si>
  <si>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</si>
  <si>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</si>
  <si>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</si>
  <si>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</si>
  <si>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</si>
  <si>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</si>
  <si>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</si>
  <si>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</si>
  <si>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</si>
  <si>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</si>
  <si>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</si>
  <si>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</si>
  <si>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</si>
  <si>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</si>
  <si>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</si>
  <si>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</si>
  <si>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</si>
  <si>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</si>
  <si>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</si>
  <si>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</si>
  <si>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</si>
  <si>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</si>
  <si>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</si>
  <si>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</si>
  <si>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</si>
  <si>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</si>
  <si>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</si>
  <si>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</si>
  <si>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</si>
  <si>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</si>
  <si>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</si>
  <si>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</si>
  <si>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</si>
  <si>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</si>
  <si>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</si>
  <si>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</si>
  <si>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</si>
  <si>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</si>
  <si>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</si>
  <si>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</si>
  <si>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</si>
  <si>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</si>
  <si>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</si>
  <si>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</si>
  <si>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</si>
  <si>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</si>
  <si>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</si>
  <si>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</si>
  <si>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</si>
  <si>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</si>
  <si>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</si>
  <si>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</si>
  <si>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</si>
  <si>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</si>
  <si>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</si>
  <si>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</si>
  <si>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</si>
  <si>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</si>
  <si>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</si>
  <si>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</si>
  <si>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</si>
  <si>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</si>
  <si>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</si>
  <si>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</si>
  <si>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</si>
  <si>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</si>
  <si>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</si>
  <si>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</si>
  <si>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</si>
  <si>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</si>
  <si>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</si>
  <si>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</si>
  <si>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</si>
  <si>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</si>
  <si>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</si>
  <si>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</si>
  <si>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</si>
  <si>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</si>
  <si>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</si>
  <si>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</si>
  <si>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</si>
  <si>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</si>
  <si>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</si>
  <si>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</si>
  <si>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</si>
  <si>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</si>
  <si>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</si>
  <si>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</si>
  <si>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</si>
  <si>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</si>
  <si>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</si>
  <si>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</si>
  <si>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</si>
  <si>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</si>
  <si>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</si>
  <si>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</si>
  <si>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</si>
  <si>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</si>
  <si>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</si>
  <si>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</si>
  <si>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</si>
  <si>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</si>
  <si>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</si>
  <si>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</si>
  <si>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</si>
  <si>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</si>
  <si>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</si>
  <si>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</si>
  <si>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</si>
  <si>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</si>
  <si>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</si>
  <si>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</si>
  <si>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</si>
  <si>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</si>
  <si>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</si>
  <si>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</si>
  <si>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</si>
  <si>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</si>
  <si>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</si>
  <si>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</si>
  <si>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</si>
  <si>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</si>
  <si>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</si>
  <si>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</si>
  <si>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</si>
  <si>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</si>
  <si>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</si>
  <si>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</si>
  <si>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</si>
  <si>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</si>
  <si>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</si>
  <si>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</si>
  <si>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</si>
  <si>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</si>
  <si>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</si>
  <si>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</si>
  <si>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</si>
  <si>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</si>
  <si>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</si>
  <si>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</si>
  <si>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</si>
  <si>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</si>
  <si>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</si>
  <si>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</si>
  <si>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</si>
  <si>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</si>
  <si>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</si>
  <si>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</si>
  <si>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</si>
  <si>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</si>
  <si>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</si>
  <si>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</si>
  <si>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</si>
  <si>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</si>
  <si>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</si>
  <si>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</si>
  <si>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</si>
  <si>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</si>
  <si>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</si>
  <si>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</si>
  <si>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</si>
  <si>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</si>
  <si>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</si>
  <si>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</si>
  <si>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</si>
  <si>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</si>
  <si>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</si>
  <si>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</si>
  <si>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</si>
  <si>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</si>
  <si>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</si>
  <si>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</si>
  <si>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</si>
  <si>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</si>
  <si>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</si>
  <si>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</si>
  <si>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</si>
  <si>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</si>
  <si>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</si>
  <si>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</si>
  <si>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</si>
  <si>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</si>
  <si>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</si>
  <si>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</si>
  <si>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</si>
  <si>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</si>
  <si>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</si>
  <si>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</si>
  <si>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</si>
  <si>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</si>
  <si>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</si>
  <si>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</si>
  <si>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</si>
  <si>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</si>
  <si>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</si>
  <si>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</si>
  <si>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</si>
  <si>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</si>
  <si>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</si>
  <si>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</si>
  <si>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</si>
  <si>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</si>
  <si>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</si>
  <si>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</si>
  <si>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</si>
  <si>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</si>
  <si>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</si>
  <si>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</si>
  <si>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</si>
  <si>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</si>
  <si>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</si>
  <si>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</si>
  <si>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</si>
  <si>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</si>
  <si>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</si>
  <si>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</si>
  <si>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</si>
  <si>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42011</t>
  </si>
  <si>
    <t>LEBBEKE</t>
  </si>
  <si>
    <t>referentietaak LNE (2017); Jaarverslag De Lijn</t>
  </si>
  <si>
    <t>waterkracht</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</si>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</sst>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655CBA1-1AA8-47EA-97BD-65A199D9BC8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158885.58166524858</c:v>
                </c:pt>
                <c:pt idx="1">
                  <c:v>32228.389180189275</c:v>
                </c:pt>
                <c:pt idx="2">
                  <c:v>920.34900000000005</c:v>
                </c:pt>
                <c:pt idx="3">
                  <c:v>5030.1100907276568</c:v>
                </c:pt>
                <c:pt idx="4">
                  <c:v>121911.26762066624</c:v>
                </c:pt>
                <c:pt idx="5">
                  <c:v>98060.463385636132</c:v>
                </c:pt>
                <c:pt idx="6">
                  <c:v>682.25451145248121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158885.58166524858</c:v>
                </c:pt>
                <c:pt idx="1">
                  <c:v>32228.389180189275</c:v>
                </c:pt>
                <c:pt idx="2">
                  <c:v>920.34900000000005</c:v>
                </c:pt>
                <c:pt idx="3">
                  <c:v>5030.1100907276568</c:v>
                </c:pt>
                <c:pt idx="4">
                  <c:v>121911.26762066624</c:v>
                </c:pt>
                <c:pt idx="5">
                  <c:v>98060.463385636132</c:v>
                </c:pt>
                <c:pt idx="6">
                  <c:v>682.25451145248121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32479.659023628185</c:v>
                </c:pt>
                <c:pt idx="1">
                  <c:v>6643.5308584056793</c:v>
                </c:pt>
                <c:pt idx="2">
                  <c:v>192.33124835563504</c:v>
                </c:pt>
                <c:pt idx="3">
                  <c:v>1268.9198577185732</c:v>
                </c:pt>
                <c:pt idx="4">
                  <c:v>24718.495672782396</c:v>
                </c:pt>
                <c:pt idx="5">
                  <c:v>24240.628143641588</c:v>
                </c:pt>
                <c:pt idx="6">
                  <c:v>171.82864776330408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32479.659023628185</c:v>
                </c:pt>
                <c:pt idx="1">
                  <c:v>6643.5308584056793</c:v>
                </c:pt>
                <c:pt idx="2">
                  <c:v>192.33124835563504</c:v>
                </c:pt>
                <c:pt idx="3">
                  <c:v>1268.9198577185732</c:v>
                </c:pt>
                <c:pt idx="4">
                  <c:v>24718.495672782396</c:v>
                </c:pt>
                <c:pt idx="5">
                  <c:v>24240.628143641588</c:v>
                </c:pt>
                <c:pt idx="6">
                  <c:v>171.82864776330408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42011</v>
      </c>
      <c r="B6" s="384"/>
      <c r="C6" s="385"/>
    </row>
    <row r="7" spans="1:7" s="382" customFormat="1" ht="15.75" customHeight="1">
      <c r="A7" s="386" t="str">
        <f>txtMunicipality</f>
        <v>LEBBEKE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13807.479564221205</v>
      </c>
      <c r="D10" s="681">
        <f ca="1">tertiair!C16</f>
        <v>77.142857142857139</v>
      </c>
      <c r="E10" s="681">
        <f ca="1">tertiair!D16</f>
        <v>16360.135541652562</v>
      </c>
      <c r="F10" s="681">
        <f>tertiair!E16</f>
        <v>65.534276554988011</v>
      </c>
      <c r="G10" s="681">
        <f ca="1">tertiair!F16</f>
        <v>2293.8691187024897</v>
      </c>
      <c r="H10" s="681">
        <f>tertiair!G16</f>
        <v>0</v>
      </c>
      <c r="I10" s="681">
        <f>tertiair!H16</f>
        <v>0</v>
      </c>
      <c r="J10" s="681">
        <f>tertiair!I16</f>
        <v>0</v>
      </c>
      <c r="K10" s="681">
        <f>tertiair!J16</f>
        <v>1.3650888057011932E-2</v>
      </c>
      <c r="L10" s="681">
        <f>tertiair!K16</f>
        <v>0</v>
      </c>
      <c r="M10" s="681">
        <f ca="1">tertiair!L16</f>
        <v>0</v>
      </c>
      <c r="N10" s="681">
        <f>tertiair!M16</f>
        <v>0</v>
      </c>
      <c r="O10" s="681">
        <f ca="1">tertiair!N16</f>
        <v>529.87138872959463</v>
      </c>
      <c r="P10" s="681">
        <f>tertiair!O16</f>
        <v>14.691782297523464</v>
      </c>
      <c r="Q10" s="682">
        <f>tertiair!P16</f>
        <v>0</v>
      </c>
      <c r="R10" s="684">
        <f ca="1">SUM(C10:Q10)</f>
        <v>33148.73818018927</v>
      </c>
      <c r="S10" s="67"/>
    </row>
    <row r="11" spans="1:19" s="443" customFormat="1">
      <c r="A11" s="802" t="s">
        <v>214</v>
      </c>
      <c r="B11" s="807"/>
      <c r="C11" s="681">
        <f>huishoudens!B8</f>
        <v>32834.127213072694</v>
      </c>
      <c r="D11" s="681">
        <f>huishoudens!C8</f>
        <v>0</v>
      </c>
      <c r="E11" s="681">
        <f>huishoudens!D8</f>
        <v>74294.556763867135</v>
      </c>
      <c r="F11" s="681">
        <f>huishoudens!E8</f>
        <v>1733.6845380748537</v>
      </c>
      <c r="G11" s="681">
        <f>huishoudens!F8</f>
        <v>37979.142847857125</v>
      </c>
      <c r="H11" s="681">
        <f>huishoudens!G8</f>
        <v>0</v>
      </c>
      <c r="I11" s="681">
        <f>huishoudens!H8</f>
        <v>0</v>
      </c>
      <c r="J11" s="681">
        <f>huishoudens!I8</f>
        <v>0</v>
      </c>
      <c r="K11" s="681">
        <f>huishoudens!J8</f>
        <v>216.44728901152607</v>
      </c>
      <c r="L11" s="681">
        <f>huishoudens!K8</f>
        <v>0</v>
      </c>
      <c r="M11" s="681">
        <f>huishoudens!L8</f>
        <v>0</v>
      </c>
      <c r="N11" s="681">
        <f>huishoudens!M8</f>
        <v>0</v>
      </c>
      <c r="O11" s="681">
        <f>huishoudens!N8</f>
        <v>10662.325054650442</v>
      </c>
      <c r="P11" s="681">
        <f>huishoudens!O8</f>
        <v>438.45476648453399</v>
      </c>
      <c r="Q11" s="682">
        <f>huishoudens!P8</f>
        <v>726.8431922302666</v>
      </c>
      <c r="R11" s="684">
        <f>SUM(C11:Q11)</f>
        <v>158885.58166524858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80257.132213672245</v>
      </c>
      <c r="D13" s="681">
        <f>industrie!C18</f>
        <v>3195</v>
      </c>
      <c r="E13" s="681">
        <f>industrie!D18</f>
        <v>32105.41723018654</v>
      </c>
      <c r="F13" s="681">
        <f>industrie!E18</f>
        <v>184.08188849764662</v>
      </c>
      <c r="G13" s="681">
        <f>industrie!F18</f>
        <v>2413.7184562862349</v>
      </c>
      <c r="H13" s="681">
        <f>industrie!G18</f>
        <v>0</v>
      </c>
      <c r="I13" s="681">
        <f>industrie!H18</f>
        <v>0</v>
      </c>
      <c r="J13" s="681">
        <f>industrie!I18</f>
        <v>0</v>
      </c>
      <c r="K13" s="681">
        <f>industrie!J18</f>
        <v>44.691108425161175</v>
      </c>
      <c r="L13" s="681">
        <f>industrie!K18</f>
        <v>0</v>
      </c>
      <c r="M13" s="681">
        <f>industrie!L18</f>
        <v>0</v>
      </c>
      <c r="N13" s="681">
        <f>industrie!M18</f>
        <v>0</v>
      </c>
      <c r="O13" s="681">
        <f>industrie!N18</f>
        <v>3711.226723598405</v>
      </c>
      <c r="P13" s="681">
        <f>industrie!O18</f>
        <v>0</v>
      </c>
      <c r="Q13" s="682">
        <f>industrie!P18</f>
        <v>0</v>
      </c>
      <c r="R13" s="684">
        <f>SUM(C13:Q13)</f>
        <v>121911.26762066624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126898.73899096614</v>
      </c>
      <c r="D16" s="717">
        <f t="shared" ref="D16:R16" ca="1" si="0">SUM(D9:D15)</f>
        <v>3272.1428571428573</v>
      </c>
      <c r="E16" s="717">
        <f t="shared" ca="1" si="0"/>
        <v>122760.10953570623</v>
      </c>
      <c r="F16" s="717">
        <f t="shared" si="0"/>
        <v>1983.3007031274883</v>
      </c>
      <c r="G16" s="717">
        <f t="shared" ca="1" si="0"/>
        <v>42686.730422845852</v>
      </c>
      <c r="H16" s="717">
        <f t="shared" si="0"/>
        <v>0</v>
      </c>
      <c r="I16" s="717">
        <f t="shared" si="0"/>
        <v>0</v>
      </c>
      <c r="J16" s="717">
        <f t="shared" si="0"/>
        <v>0</v>
      </c>
      <c r="K16" s="717">
        <f t="shared" si="0"/>
        <v>261.15204832474427</v>
      </c>
      <c r="L16" s="717">
        <f t="shared" si="0"/>
        <v>0</v>
      </c>
      <c r="M16" s="717">
        <f t="shared" ca="1" si="0"/>
        <v>0</v>
      </c>
      <c r="N16" s="717">
        <f t="shared" si="0"/>
        <v>0</v>
      </c>
      <c r="O16" s="717">
        <f t="shared" ca="1" si="0"/>
        <v>14903.423166978442</v>
      </c>
      <c r="P16" s="717">
        <f t="shared" si="0"/>
        <v>453.14654878205744</v>
      </c>
      <c r="Q16" s="717">
        <f t="shared" si="0"/>
        <v>726.8431922302666</v>
      </c>
      <c r="R16" s="717">
        <f t="shared" ca="1" si="0"/>
        <v>313945.58746610407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10.152967028635283</v>
      </c>
      <c r="D19" s="681">
        <f>transport!C54</f>
        <v>0</v>
      </c>
      <c r="E19" s="681">
        <f>transport!D54</f>
        <v>0</v>
      </c>
      <c r="F19" s="681">
        <f>transport!E54</f>
        <v>0</v>
      </c>
      <c r="G19" s="681">
        <f>transport!F54</f>
        <v>0</v>
      </c>
      <c r="H19" s="681">
        <f>transport!G54</f>
        <v>635.6064305616311</v>
      </c>
      <c r="I19" s="681">
        <f>transport!H54</f>
        <v>0</v>
      </c>
      <c r="J19" s="681">
        <f>transport!I54</f>
        <v>0</v>
      </c>
      <c r="K19" s="681">
        <f>transport!J54</f>
        <v>0</v>
      </c>
      <c r="L19" s="681">
        <f>transport!K54</f>
        <v>0</v>
      </c>
      <c r="M19" s="681">
        <f>transport!L54</f>
        <v>0</v>
      </c>
      <c r="N19" s="681">
        <f>transport!M54</f>
        <v>36.495113862214836</v>
      </c>
      <c r="O19" s="681">
        <f>transport!N54</f>
        <v>0</v>
      </c>
      <c r="P19" s="681">
        <f>transport!O54</f>
        <v>0</v>
      </c>
      <c r="Q19" s="682">
        <f>transport!P54</f>
        <v>0</v>
      </c>
      <c r="R19" s="684">
        <f>SUM(C19:Q19)</f>
        <v>682.25451145248121</v>
      </c>
      <c r="S19" s="67"/>
    </row>
    <row r="20" spans="1:19" s="443" customFormat="1">
      <c r="A20" s="802" t="s">
        <v>296</v>
      </c>
      <c r="B20" s="807"/>
      <c r="C20" s="681">
        <f>transport!B14</f>
        <v>221.31083584124704</v>
      </c>
      <c r="D20" s="681">
        <f>transport!C14</f>
        <v>0</v>
      </c>
      <c r="E20" s="681">
        <f>transport!D14</f>
        <v>462.76042052887595</v>
      </c>
      <c r="F20" s="681">
        <f>transport!E14</f>
        <v>177.5656677589092</v>
      </c>
      <c r="G20" s="681">
        <f>transport!F14</f>
        <v>0</v>
      </c>
      <c r="H20" s="681">
        <f>transport!G14</f>
        <v>69099.34211400323</v>
      </c>
      <c r="I20" s="681">
        <f>transport!H14</f>
        <v>22534.417828452351</v>
      </c>
      <c r="J20" s="681">
        <f>transport!I14</f>
        <v>0</v>
      </c>
      <c r="K20" s="681">
        <f>transport!J14</f>
        <v>0</v>
      </c>
      <c r="L20" s="681">
        <f>transport!K14</f>
        <v>0</v>
      </c>
      <c r="M20" s="681">
        <f>transport!L14</f>
        <v>0</v>
      </c>
      <c r="N20" s="681">
        <f>transport!M14</f>
        <v>5565.0665190515065</v>
      </c>
      <c r="O20" s="681">
        <f>transport!N14</f>
        <v>0</v>
      </c>
      <c r="P20" s="681">
        <f>transport!O14</f>
        <v>0</v>
      </c>
      <c r="Q20" s="682">
        <f>transport!P14</f>
        <v>0</v>
      </c>
      <c r="R20" s="684">
        <f>SUM(C20:Q20)</f>
        <v>98060.463385636132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231.46380286988233</v>
      </c>
      <c r="D22" s="805">
        <f t="shared" ref="D22:R22" si="1">SUM(D18:D21)</f>
        <v>0</v>
      </c>
      <c r="E22" s="805">
        <f t="shared" si="1"/>
        <v>462.76042052887595</v>
      </c>
      <c r="F22" s="805">
        <f t="shared" si="1"/>
        <v>177.5656677589092</v>
      </c>
      <c r="G22" s="805">
        <f t="shared" si="1"/>
        <v>0</v>
      </c>
      <c r="H22" s="805">
        <f t="shared" si="1"/>
        <v>69734.948544564861</v>
      </c>
      <c r="I22" s="805">
        <f t="shared" si="1"/>
        <v>22534.417828452351</v>
      </c>
      <c r="J22" s="805">
        <f t="shared" si="1"/>
        <v>0</v>
      </c>
      <c r="K22" s="805">
        <f t="shared" si="1"/>
        <v>0</v>
      </c>
      <c r="L22" s="805">
        <f t="shared" si="1"/>
        <v>0</v>
      </c>
      <c r="M22" s="805">
        <f t="shared" si="1"/>
        <v>0</v>
      </c>
      <c r="N22" s="805">
        <f t="shared" si="1"/>
        <v>5601.561632913721</v>
      </c>
      <c r="O22" s="805">
        <f t="shared" si="1"/>
        <v>0</v>
      </c>
      <c r="P22" s="805">
        <f t="shared" si="1"/>
        <v>0</v>
      </c>
      <c r="Q22" s="805">
        <f t="shared" si="1"/>
        <v>0</v>
      </c>
      <c r="R22" s="805">
        <f t="shared" si="1"/>
        <v>98742.717897088616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1002.9349604709099</v>
      </c>
      <c r="D24" s="681">
        <f>+landbouw!C8</f>
        <v>0</v>
      </c>
      <c r="E24" s="681">
        <f>+landbouw!D8</f>
        <v>568.66050387727466</v>
      </c>
      <c r="F24" s="681">
        <f>+landbouw!E8</f>
        <v>28.725754544576471</v>
      </c>
      <c r="G24" s="681">
        <f>+landbouw!F8</f>
        <v>3174.7740059439193</v>
      </c>
      <c r="H24" s="681">
        <f>+landbouw!G8</f>
        <v>0</v>
      </c>
      <c r="I24" s="681">
        <f>+landbouw!H8</f>
        <v>0</v>
      </c>
      <c r="J24" s="681">
        <f>+landbouw!I8</f>
        <v>0</v>
      </c>
      <c r="K24" s="681">
        <f>+landbouw!J8</f>
        <v>255.0148658909763</v>
      </c>
      <c r="L24" s="681">
        <f>+landbouw!K8</f>
        <v>0</v>
      </c>
      <c r="M24" s="681">
        <f>+landbouw!L8</f>
        <v>0</v>
      </c>
      <c r="N24" s="681">
        <f>+landbouw!M8</f>
        <v>0</v>
      </c>
      <c r="O24" s="681">
        <f>+landbouw!N8</f>
        <v>0</v>
      </c>
      <c r="P24" s="681">
        <f>+landbouw!O8</f>
        <v>0</v>
      </c>
      <c r="Q24" s="682">
        <f>+landbouw!P8</f>
        <v>0</v>
      </c>
      <c r="R24" s="684">
        <f>SUM(C24:Q24)</f>
        <v>5030.1100907276568</v>
      </c>
      <c r="S24" s="67"/>
    </row>
    <row r="25" spans="1:19" s="443" customFormat="1" ht="15" thickBot="1">
      <c r="A25" s="824" t="s">
        <v>690</v>
      </c>
      <c r="B25" s="937"/>
      <c r="C25" s="938">
        <f>IF(Onbekend_ele_kWh="---",0,Onbekend_ele_kWh)/1000+IF(REST_rest_ele_kWh="---",0,REST_rest_ele_kWh)/1000</f>
        <v>645.79357826836201</v>
      </c>
      <c r="D25" s="938"/>
      <c r="E25" s="938">
        <f>IF(onbekend_gas_kWh="---",0,onbekend_gas_kWh)/1000+IF(REST_rest_gas_kWh="---",0,REST_rest_gas_kWh)/1000</f>
        <v>1345.1972679324799</v>
      </c>
      <c r="F25" s="938"/>
      <c r="G25" s="938"/>
      <c r="H25" s="938"/>
      <c r="I25" s="938"/>
      <c r="J25" s="938"/>
      <c r="K25" s="938"/>
      <c r="L25" s="938"/>
      <c r="M25" s="938"/>
      <c r="N25" s="938"/>
      <c r="O25" s="938"/>
      <c r="P25" s="938"/>
      <c r="Q25" s="939"/>
      <c r="R25" s="684">
        <f>SUM(C25:Q25)</f>
        <v>1990.990846200842</v>
      </c>
      <c r="S25" s="67"/>
    </row>
    <row r="26" spans="1:19" s="443" customFormat="1" ht="15.75" thickBot="1">
      <c r="A26" s="689" t="s">
        <v>691</v>
      </c>
      <c r="B26" s="810"/>
      <c r="C26" s="805">
        <f>SUM(C24:C25)</f>
        <v>1648.7285387392719</v>
      </c>
      <c r="D26" s="805">
        <f t="shared" ref="D26:R26" si="2">SUM(D24:D25)</f>
        <v>0</v>
      </c>
      <c r="E26" s="805">
        <f t="shared" si="2"/>
        <v>1913.8577718097545</v>
      </c>
      <c r="F26" s="805">
        <f t="shared" si="2"/>
        <v>28.725754544576471</v>
      </c>
      <c r="G26" s="805">
        <f t="shared" si="2"/>
        <v>3174.7740059439193</v>
      </c>
      <c r="H26" s="805">
        <f t="shared" si="2"/>
        <v>0</v>
      </c>
      <c r="I26" s="805">
        <f t="shared" si="2"/>
        <v>0</v>
      </c>
      <c r="J26" s="805">
        <f t="shared" si="2"/>
        <v>0</v>
      </c>
      <c r="K26" s="805">
        <f t="shared" si="2"/>
        <v>255.0148658909763</v>
      </c>
      <c r="L26" s="805">
        <f t="shared" si="2"/>
        <v>0</v>
      </c>
      <c r="M26" s="805">
        <f t="shared" si="2"/>
        <v>0</v>
      </c>
      <c r="N26" s="805">
        <f t="shared" si="2"/>
        <v>0</v>
      </c>
      <c r="O26" s="805">
        <f t="shared" si="2"/>
        <v>0</v>
      </c>
      <c r="P26" s="805">
        <f t="shared" si="2"/>
        <v>0</v>
      </c>
      <c r="Q26" s="805">
        <f t="shared" si="2"/>
        <v>0</v>
      </c>
      <c r="R26" s="805">
        <f t="shared" si="2"/>
        <v>7021.1009369284984</v>
      </c>
      <c r="S26" s="67"/>
    </row>
    <row r="27" spans="1:19" s="443" customFormat="1" ht="17.25" thickTop="1" thickBot="1">
      <c r="A27" s="690" t="s">
        <v>109</v>
      </c>
      <c r="B27" s="797"/>
      <c r="C27" s="691">
        <f ca="1">C22+C16+C26</f>
        <v>128778.9313325753</v>
      </c>
      <c r="D27" s="691">
        <f t="shared" ref="D27:R27" ca="1" si="3">D22+D16+D26</f>
        <v>3272.1428571428573</v>
      </c>
      <c r="E27" s="691">
        <f t="shared" ca="1" si="3"/>
        <v>125136.72772804486</v>
      </c>
      <c r="F27" s="691">
        <f t="shared" si="3"/>
        <v>2189.5921254309737</v>
      </c>
      <c r="G27" s="691">
        <f t="shared" ca="1" si="3"/>
        <v>45861.504428789769</v>
      </c>
      <c r="H27" s="691">
        <f t="shared" si="3"/>
        <v>69734.948544564861</v>
      </c>
      <c r="I27" s="691">
        <f t="shared" si="3"/>
        <v>22534.417828452351</v>
      </c>
      <c r="J27" s="691">
        <f t="shared" si="3"/>
        <v>0</v>
      </c>
      <c r="K27" s="691">
        <f t="shared" si="3"/>
        <v>516.16691421572057</v>
      </c>
      <c r="L27" s="691">
        <f t="shared" si="3"/>
        <v>0</v>
      </c>
      <c r="M27" s="691">
        <f t="shared" ca="1" si="3"/>
        <v>0</v>
      </c>
      <c r="N27" s="691">
        <f t="shared" si="3"/>
        <v>5601.561632913721</v>
      </c>
      <c r="O27" s="691">
        <f t="shared" ca="1" si="3"/>
        <v>14903.423166978442</v>
      </c>
      <c r="P27" s="691">
        <f t="shared" si="3"/>
        <v>453.14654878205744</v>
      </c>
      <c r="Q27" s="691">
        <f t="shared" si="3"/>
        <v>726.8431922302666</v>
      </c>
      <c r="R27" s="691">
        <f t="shared" ca="1" si="3"/>
        <v>419709.40630012116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2885.4377863523337</v>
      </c>
      <c r="D40" s="681">
        <f ca="1">tertiair!C20</f>
        <v>18.3327731092437</v>
      </c>
      <c r="E40" s="681">
        <f ca="1">tertiair!D20</f>
        <v>3304.7473794138177</v>
      </c>
      <c r="F40" s="681">
        <f>tertiair!E20</f>
        <v>14.876280777982279</v>
      </c>
      <c r="G40" s="681">
        <f ca="1">tertiair!F20</f>
        <v>612.4630546935648</v>
      </c>
      <c r="H40" s="681">
        <f>tertiair!G20</f>
        <v>0</v>
      </c>
      <c r="I40" s="681">
        <f>tertiair!H20</f>
        <v>0</v>
      </c>
      <c r="J40" s="681">
        <f>tertiair!I20</f>
        <v>0</v>
      </c>
      <c r="K40" s="681">
        <f>tertiair!J20</f>
        <v>4.8324143721822236E-3</v>
      </c>
      <c r="L40" s="681">
        <f>tertiair!K20</f>
        <v>0</v>
      </c>
      <c r="M40" s="681">
        <f ca="1">tertiair!L20</f>
        <v>0</v>
      </c>
      <c r="N40" s="681">
        <f>tertiair!M20</f>
        <v>0</v>
      </c>
      <c r="O40" s="681">
        <f ca="1">tertiair!N20</f>
        <v>0</v>
      </c>
      <c r="P40" s="681">
        <f>tertiair!O20</f>
        <v>0</v>
      </c>
      <c r="Q40" s="764">
        <f>tertiair!P20</f>
        <v>0</v>
      </c>
      <c r="R40" s="843">
        <f t="shared" ca="1" si="4"/>
        <v>6835.862106761314</v>
      </c>
    </row>
    <row r="41" spans="1:18">
      <c r="A41" s="815" t="s">
        <v>214</v>
      </c>
      <c r="B41" s="822"/>
      <c r="C41" s="681">
        <f ca="1">huishoudens!B12</f>
        <v>6861.5586864960997</v>
      </c>
      <c r="D41" s="681">
        <f ca="1">huishoudens!C12</f>
        <v>0</v>
      </c>
      <c r="E41" s="681">
        <f>huishoudens!D12</f>
        <v>15007.500466301162</v>
      </c>
      <c r="F41" s="681">
        <f>huishoudens!E12</f>
        <v>393.54639014299181</v>
      </c>
      <c r="G41" s="681">
        <f>huishoudens!F12</f>
        <v>10140.431140377854</v>
      </c>
      <c r="H41" s="681">
        <f>huishoudens!G12</f>
        <v>0</v>
      </c>
      <c r="I41" s="681">
        <f>huishoudens!H12</f>
        <v>0</v>
      </c>
      <c r="J41" s="681">
        <f>huishoudens!I12</f>
        <v>0</v>
      </c>
      <c r="K41" s="681">
        <f>huishoudens!J12</f>
        <v>76.622340310080219</v>
      </c>
      <c r="L41" s="681">
        <f>huishoudens!K12</f>
        <v>0</v>
      </c>
      <c r="M41" s="681">
        <f>huishoudens!L12</f>
        <v>0</v>
      </c>
      <c r="N41" s="681">
        <f>huishoudens!M12</f>
        <v>0</v>
      </c>
      <c r="O41" s="681">
        <f>huishoudens!N12</f>
        <v>0</v>
      </c>
      <c r="P41" s="681">
        <f>huishoudens!O12</f>
        <v>0</v>
      </c>
      <c r="Q41" s="764">
        <f>huishoudens!P12</f>
        <v>0</v>
      </c>
      <c r="R41" s="843">
        <f t="shared" ca="1" si="4"/>
        <v>32479.659023628185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16771.84897044364</v>
      </c>
      <c r="D43" s="681">
        <f ca="1">industrie!C22</f>
        <v>759.28235294117667</v>
      </c>
      <c r="E43" s="681">
        <f>industrie!D22</f>
        <v>6485.2942804976819</v>
      </c>
      <c r="F43" s="681">
        <f>industrie!E22</f>
        <v>41.786588688965786</v>
      </c>
      <c r="G43" s="681">
        <f>industrie!F22</f>
        <v>644.46282782842479</v>
      </c>
      <c r="H43" s="681">
        <f>industrie!G22</f>
        <v>0</v>
      </c>
      <c r="I43" s="681">
        <f>industrie!H22</f>
        <v>0</v>
      </c>
      <c r="J43" s="681">
        <f>industrie!I22</f>
        <v>0</v>
      </c>
      <c r="K43" s="681">
        <f>industrie!J22</f>
        <v>15.820652382507054</v>
      </c>
      <c r="L43" s="681">
        <f>industrie!K22</f>
        <v>0</v>
      </c>
      <c r="M43" s="681">
        <f>industrie!L22</f>
        <v>0</v>
      </c>
      <c r="N43" s="681">
        <f>industrie!M22</f>
        <v>0</v>
      </c>
      <c r="O43" s="681">
        <f>industrie!N22</f>
        <v>0</v>
      </c>
      <c r="P43" s="681">
        <f>industrie!O22</f>
        <v>0</v>
      </c>
      <c r="Q43" s="764">
        <f>industrie!P22</f>
        <v>0</v>
      </c>
      <c r="R43" s="842">
        <f t="shared" ca="1" si="4"/>
        <v>24718.495672782396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26518.845443292073</v>
      </c>
      <c r="D46" s="717">
        <f t="shared" ref="D46:Q46" ca="1" si="5">SUM(D39:D45)</f>
        <v>777.61512605042037</v>
      </c>
      <c r="E46" s="717">
        <f t="shared" ca="1" si="5"/>
        <v>24797.542126212662</v>
      </c>
      <c r="F46" s="717">
        <f t="shared" si="5"/>
        <v>450.20925960993986</v>
      </c>
      <c r="G46" s="717">
        <f t="shared" ca="1" si="5"/>
        <v>11397.357022899843</v>
      </c>
      <c r="H46" s="717">
        <f t="shared" si="5"/>
        <v>0</v>
      </c>
      <c r="I46" s="717">
        <f t="shared" si="5"/>
        <v>0</v>
      </c>
      <c r="J46" s="717">
        <f t="shared" si="5"/>
        <v>0</v>
      </c>
      <c r="K46" s="717">
        <f t="shared" si="5"/>
        <v>92.447825106959456</v>
      </c>
      <c r="L46" s="717">
        <f t="shared" si="5"/>
        <v>0</v>
      </c>
      <c r="M46" s="717">
        <f t="shared" ca="1" si="5"/>
        <v>0</v>
      </c>
      <c r="N46" s="717">
        <f t="shared" si="5"/>
        <v>0</v>
      </c>
      <c r="O46" s="717">
        <f t="shared" ca="1" si="5"/>
        <v>0</v>
      </c>
      <c r="P46" s="717">
        <f t="shared" si="5"/>
        <v>0</v>
      </c>
      <c r="Q46" s="717">
        <f t="shared" si="5"/>
        <v>0</v>
      </c>
      <c r="R46" s="717">
        <f ca="1">SUM(R39:R45)</f>
        <v>64034.016803171893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2.1217308033485414</v>
      </c>
      <c r="D49" s="681">
        <f ca="1">transport!C58</f>
        <v>0</v>
      </c>
      <c r="E49" s="681">
        <f>transport!D58</f>
        <v>0</v>
      </c>
      <c r="F49" s="681">
        <f>transport!E58</f>
        <v>0</v>
      </c>
      <c r="G49" s="681">
        <f>transport!F58</f>
        <v>0</v>
      </c>
      <c r="H49" s="681">
        <f>transport!G58</f>
        <v>169.70691695995552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171.82864776330408</v>
      </c>
    </row>
    <row r="50" spans="1:18">
      <c r="A50" s="818" t="s">
        <v>296</v>
      </c>
      <c r="B50" s="828"/>
      <c r="C50" s="687">
        <f ca="1">transport!B18</f>
        <v>46.248748389986908</v>
      </c>
      <c r="D50" s="687">
        <f>transport!C18</f>
        <v>0</v>
      </c>
      <c r="E50" s="687">
        <f>transport!D18</f>
        <v>93.477604946832955</v>
      </c>
      <c r="F50" s="687">
        <f>transport!E18</f>
        <v>40.307406581272389</v>
      </c>
      <c r="G50" s="687">
        <f>transport!F18</f>
        <v>0</v>
      </c>
      <c r="H50" s="687">
        <f>transport!G18</f>
        <v>18449.524344438862</v>
      </c>
      <c r="I50" s="687">
        <f>transport!H18</f>
        <v>5611.0700392846356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24240.628143641588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48.370479193335449</v>
      </c>
      <c r="D52" s="717">
        <f t="shared" ref="D52:Q52" ca="1" si="6">SUM(D48:D51)</f>
        <v>0</v>
      </c>
      <c r="E52" s="717">
        <f t="shared" si="6"/>
        <v>93.477604946832955</v>
      </c>
      <c r="F52" s="717">
        <f t="shared" si="6"/>
        <v>40.307406581272389</v>
      </c>
      <c r="G52" s="717">
        <f t="shared" si="6"/>
        <v>0</v>
      </c>
      <c r="H52" s="717">
        <f t="shared" si="6"/>
        <v>18619.231261398818</v>
      </c>
      <c r="I52" s="717">
        <f t="shared" si="6"/>
        <v>5611.0700392846356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24412.456791404893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209.58976754131268</v>
      </c>
      <c r="D54" s="687">
        <f ca="1">+landbouw!C12</f>
        <v>0</v>
      </c>
      <c r="E54" s="687">
        <f>+landbouw!D12</f>
        <v>114.86942178320949</v>
      </c>
      <c r="F54" s="687">
        <f>+landbouw!E12</f>
        <v>6.5207462816188588</v>
      </c>
      <c r="G54" s="687">
        <f>+landbouw!F12</f>
        <v>847.66465958702645</v>
      </c>
      <c r="H54" s="687">
        <f>+landbouw!G12</f>
        <v>0</v>
      </c>
      <c r="I54" s="687">
        <f>+landbouw!H12</f>
        <v>0</v>
      </c>
      <c r="J54" s="687">
        <f>+landbouw!I12</f>
        <v>0</v>
      </c>
      <c r="K54" s="687">
        <f>+landbouw!J12</f>
        <v>90.275262525405608</v>
      </c>
      <c r="L54" s="687">
        <f>+landbouw!K12</f>
        <v>0</v>
      </c>
      <c r="M54" s="687">
        <f>+landbouw!L12</f>
        <v>0</v>
      </c>
      <c r="N54" s="687">
        <f>+landbouw!M12</f>
        <v>0</v>
      </c>
      <c r="O54" s="687">
        <f>+landbouw!N12</f>
        <v>0</v>
      </c>
      <c r="P54" s="687">
        <f>+landbouw!O12</f>
        <v>0</v>
      </c>
      <c r="Q54" s="688">
        <f>+landbouw!P12</f>
        <v>0</v>
      </c>
      <c r="R54" s="716">
        <f ca="1">SUM(C54:Q54)</f>
        <v>1268.9198577185732</v>
      </c>
    </row>
    <row r="55" spans="1:18" ht="15" thickBot="1">
      <c r="A55" s="818" t="s">
        <v>690</v>
      </c>
      <c r="B55" s="828"/>
      <c r="C55" s="687">
        <f ca="1">C25*'EF ele_warmte'!B12</f>
        <v>134.95563649051238</v>
      </c>
      <c r="D55" s="687"/>
      <c r="E55" s="687">
        <f>E25*EF_CO2_aardgas</f>
        <v>271.72984812236098</v>
      </c>
      <c r="F55" s="687"/>
      <c r="G55" s="687"/>
      <c r="H55" s="687"/>
      <c r="I55" s="687"/>
      <c r="J55" s="687"/>
      <c r="K55" s="687"/>
      <c r="L55" s="687"/>
      <c r="M55" s="687"/>
      <c r="N55" s="687"/>
      <c r="O55" s="687"/>
      <c r="P55" s="687"/>
      <c r="Q55" s="688"/>
      <c r="R55" s="716">
        <f ca="1">SUM(C55:Q55)</f>
        <v>406.68548461287332</v>
      </c>
    </row>
    <row r="56" spans="1:18" ht="15.75" thickBot="1">
      <c r="A56" s="816" t="s">
        <v>691</v>
      </c>
      <c r="B56" s="829"/>
      <c r="C56" s="717">
        <f ca="1">SUM(C54:C55)</f>
        <v>344.54540403182506</v>
      </c>
      <c r="D56" s="717">
        <f t="shared" ref="D56:Q56" ca="1" si="7">SUM(D54:D55)</f>
        <v>0</v>
      </c>
      <c r="E56" s="717">
        <f t="shared" si="7"/>
        <v>386.59926990557045</v>
      </c>
      <c r="F56" s="717">
        <f t="shared" si="7"/>
        <v>6.5207462816188588</v>
      </c>
      <c r="G56" s="717">
        <f t="shared" si="7"/>
        <v>847.66465958702645</v>
      </c>
      <c r="H56" s="717">
        <f t="shared" si="7"/>
        <v>0</v>
      </c>
      <c r="I56" s="717">
        <f t="shared" si="7"/>
        <v>0</v>
      </c>
      <c r="J56" s="717">
        <f t="shared" si="7"/>
        <v>0</v>
      </c>
      <c r="K56" s="717">
        <f t="shared" si="7"/>
        <v>90.275262525405608</v>
      </c>
      <c r="L56" s="717">
        <f t="shared" si="7"/>
        <v>0</v>
      </c>
      <c r="M56" s="717">
        <f t="shared" si="7"/>
        <v>0</v>
      </c>
      <c r="N56" s="717">
        <f t="shared" si="7"/>
        <v>0</v>
      </c>
      <c r="O56" s="717">
        <f t="shared" si="7"/>
        <v>0</v>
      </c>
      <c r="P56" s="717">
        <f t="shared" si="7"/>
        <v>0</v>
      </c>
      <c r="Q56" s="718">
        <f t="shared" si="7"/>
        <v>0</v>
      </c>
      <c r="R56" s="719">
        <f ca="1">SUM(R54:R55)</f>
        <v>1675.6053423314465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26911.761326517233</v>
      </c>
      <c r="D61" s="725">
        <f t="shared" ref="D61:Q61" ca="1" si="8">D46+D52+D56</f>
        <v>777.61512605042037</v>
      </c>
      <c r="E61" s="725">
        <f t="shared" ca="1" si="8"/>
        <v>25277.619001065068</v>
      </c>
      <c r="F61" s="725">
        <f t="shared" si="8"/>
        <v>497.03741247283114</v>
      </c>
      <c r="G61" s="725">
        <f t="shared" ca="1" si="8"/>
        <v>12245.021682486869</v>
      </c>
      <c r="H61" s="725">
        <f t="shared" si="8"/>
        <v>18619.231261398818</v>
      </c>
      <c r="I61" s="725">
        <f t="shared" si="8"/>
        <v>5611.0700392846356</v>
      </c>
      <c r="J61" s="725">
        <f t="shared" si="8"/>
        <v>0</v>
      </c>
      <c r="K61" s="725">
        <f t="shared" si="8"/>
        <v>182.72308763236506</v>
      </c>
      <c r="L61" s="725">
        <f t="shared" si="8"/>
        <v>0</v>
      </c>
      <c r="M61" s="725">
        <f t="shared" ca="1" si="8"/>
        <v>0</v>
      </c>
      <c r="N61" s="725">
        <f t="shared" si="8"/>
        <v>0</v>
      </c>
      <c r="O61" s="725">
        <f t="shared" ca="1" si="8"/>
        <v>0</v>
      </c>
      <c r="P61" s="725">
        <f t="shared" si="8"/>
        <v>0</v>
      </c>
      <c r="Q61" s="725">
        <f t="shared" si="8"/>
        <v>0</v>
      </c>
      <c r="R61" s="725">
        <f ca="1">R46+R52+R56</f>
        <v>90122.078936908234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0.20897642997996957</v>
      </c>
      <c r="D63" s="771">
        <f t="shared" ca="1" si="9"/>
        <v>0.23764705882352946</v>
      </c>
      <c r="E63" s="963">
        <f t="shared" ca="1" si="9"/>
        <v>0.20200000000000004</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7178.7899828832578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2290.5</v>
      </c>
      <c r="D76" s="946">
        <f>'lokale energieproductie'!C8</f>
        <v>2694.7058823529414</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544.33058823529416</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7178.7899828832578</v>
      </c>
      <c r="C78" s="743">
        <f>SUM(C72:C77)</f>
        <v>2290.5</v>
      </c>
      <c r="D78" s="744">
        <f t="shared" ref="D78:H78" si="10">SUM(D76:D77)</f>
        <v>2694.7058823529414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544.33058823529416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3272.1428571428573</v>
      </c>
      <c r="D87" s="767">
        <f>'lokale energieproductie'!C17</f>
        <v>3849.5798319327737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777.61512605042037</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3272.1428571428573</v>
      </c>
      <c r="D90" s="743">
        <f t="shared" ref="D90:H90" si="12">SUM(D87:D89)</f>
        <v>3849.5798319327737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777.61512605042037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32834.127213072694</v>
      </c>
      <c r="C4" s="447">
        <f>huishoudens!C8</f>
        <v>0</v>
      </c>
      <c r="D4" s="447">
        <f>huishoudens!D8</f>
        <v>74294.556763867135</v>
      </c>
      <c r="E4" s="447">
        <f>huishoudens!E8</f>
        <v>1733.6845380748537</v>
      </c>
      <c r="F4" s="447">
        <f>huishoudens!F8</f>
        <v>37979.142847857125</v>
      </c>
      <c r="G4" s="447">
        <f>huishoudens!G8</f>
        <v>0</v>
      </c>
      <c r="H4" s="447">
        <f>huishoudens!H8</f>
        <v>0</v>
      </c>
      <c r="I4" s="447">
        <f>huishoudens!I8</f>
        <v>0</v>
      </c>
      <c r="J4" s="447">
        <f>huishoudens!J8</f>
        <v>216.44728901152607</v>
      </c>
      <c r="K4" s="447">
        <f>huishoudens!K8</f>
        <v>0</v>
      </c>
      <c r="L4" s="447">
        <f>huishoudens!L8</f>
        <v>0</v>
      </c>
      <c r="M4" s="447">
        <f>huishoudens!M8</f>
        <v>0</v>
      </c>
      <c r="N4" s="447">
        <f>huishoudens!N8</f>
        <v>10662.325054650442</v>
      </c>
      <c r="O4" s="447">
        <f>huishoudens!O8</f>
        <v>438.45476648453399</v>
      </c>
      <c r="P4" s="448">
        <f>huishoudens!P8</f>
        <v>726.8431922302666</v>
      </c>
      <c r="Q4" s="449">
        <f>SUM(B4:P4)</f>
        <v>158885.58166524858</v>
      </c>
    </row>
    <row r="5" spans="1:17">
      <c r="A5" s="446" t="s">
        <v>149</v>
      </c>
      <c r="B5" s="447">
        <f ca="1">tertiair!B16</f>
        <v>12887.130564221205</v>
      </c>
      <c r="C5" s="447">
        <f ca="1">tertiair!C16</f>
        <v>77.142857142857139</v>
      </c>
      <c r="D5" s="447">
        <f ca="1">tertiair!D16</f>
        <v>16360.135541652562</v>
      </c>
      <c r="E5" s="447">
        <f>tertiair!E16</f>
        <v>65.534276554988011</v>
      </c>
      <c r="F5" s="447">
        <f ca="1">tertiair!F16</f>
        <v>2293.8691187024897</v>
      </c>
      <c r="G5" s="447">
        <f>tertiair!G16</f>
        <v>0</v>
      </c>
      <c r="H5" s="447">
        <f>tertiair!H16</f>
        <v>0</v>
      </c>
      <c r="I5" s="447">
        <f>tertiair!I16</f>
        <v>0</v>
      </c>
      <c r="J5" s="447">
        <f>tertiair!J16</f>
        <v>1.3650888057011932E-2</v>
      </c>
      <c r="K5" s="447">
        <f>tertiair!K16</f>
        <v>0</v>
      </c>
      <c r="L5" s="447">
        <f ca="1">tertiair!L16</f>
        <v>0</v>
      </c>
      <c r="M5" s="447">
        <f>tertiair!M16</f>
        <v>0</v>
      </c>
      <c r="N5" s="447">
        <f ca="1">tertiair!N16</f>
        <v>529.87138872959463</v>
      </c>
      <c r="O5" s="447">
        <f>tertiair!O16</f>
        <v>14.691782297523464</v>
      </c>
      <c r="P5" s="448">
        <f>tertiair!P16</f>
        <v>0</v>
      </c>
      <c r="Q5" s="446">
        <f t="shared" ref="Q5:Q14" ca="1" si="0">SUM(B5:P5)</f>
        <v>32228.389180189275</v>
      </c>
    </row>
    <row r="6" spans="1:17">
      <c r="A6" s="446" t="s">
        <v>187</v>
      </c>
      <c r="B6" s="447">
        <f>'openbare verlichting'!B8</f>
        <v>920.34900000000005</v>
      </c>
      <c r="C6" s="447"/>
      <c r="D6" s="447"/>
      <c r="E6" s="447"/>
      <c r="F6" s="447"/>
      <c r="G6" s="447"/>
      <c r="H6" s="447"/>
      <c r="I6" s="447"/>
      <c r="J6" s="447"/>
      <c r="K6" s="447"/>
      <c r="L6" s="447"/>
      <c r="M6" s="447"/>
      <c r="N6" s="447"/>
      <c r="O6" s="447"/>
      <c r="P6" s="448"/>
      <c r="Q6" s="446">
        <f t="shared" si="0"/>
        <v>920.34900000000005</v>
      </c>
    </row>
    <row r="7" spans="1:17">
      <c r="A7" s="446" t="s">
        <v>105</v>
      </c>
      <c r="B7" s="447">
        <f>landbouw!B8</f>
        <v>1002.9349604709099</v>
      </c>
      <c r="C7" s="447">
        <f>landbouw!C8</f>
        <v>0</v>
      </c>
      <c r="D7" s="447">
        <f>landbouw!D8</f>
        <v>568.66050387727466</v>
      </c>
      <c r="E7" s="447">
        <f>landbouw!E8</f>
        <v>28.725754544576471</v>
      </c>
      <c r="F7" s="447">
        <f>landbouw!F8</f>
        <v>3174.7740059439193</v>
      </c>
      <c r="G7" s="447">
        <f>landbouw!G8</f>
        <v>0</v>
      </c>
      <c r="H7" s="447">
        <f>landbouw!H8</f>
        <v>0</v>
      </c>
      <c r="I7" s="447">
        <f>landbouw!I8</f>
        <v>0</v>
      </c>
      <c r="J7" s="447">
        <f>landbouw!J8</f>
        <v>255.0148658909763</v>
      </c>
      <c r="K7" s="447">
        <f>landbouw!K8</f>
        <v>0</v>
      </c>
      <c r="L7" s="447">
        <f>landbouw!L8</f>
        <v>0</v>
      </c>
      <c r="M7" s="447">
        <f>landbouw!M8</f>
        <v>0</v>
      </c>
      <c r="N7" s="447">
        <f>landbouw!N8</f>
        <v>0</v>
      </c>
      <c r="O7" s="447">
        <f>landbouw!O8</f>
        <v>0</v>
      </c>
      <c r="P7" s="448">
        <f>landbouw!P8</f>
        <v>0</v>
      </c>
      <c r="Q7" s="446">
        <f t="shared" si="0"/>
        <v>5030.1100907276568</v>
      </c>
    </row>
    <row r="8" spans="1:17">
      <c r="A8" s="446" t="s">
        <v>611</v>
      </c>
      <c r="B8" s="447">
        <f>industrie!B18</f>
        <v>80257.132213672245</v>
      </c>
      <c r="C8" s="447">
        <f>industrie!C18</f>
        <v>3195</v>
      </c>
      <c r="D8" s="447">
        <f>industrie!D18</f>
        <v>32105.41723018654</v>
      </c>
      <c r="E8" s="447">
        <f>industrie!E18</f>
        <v>184.08188849764662</v>
      </c>
      <c r="F8" s="447">
        <f>industrie!F18</f>
        <v>2413.7184562862349</v>
      </c>
      <c r="G8" s="447">
        <f>industrie!G18</f>
        <v>0</v>
      </c>
      <c r="H8" s="447">
        <f>industrie!H18</f>
        <v>0</v>
      </c>
      <c r="I8" s="447">
        <f>industrie!I18</f>
        <v>0</v>
      </c>
      <c r="J8" s="447">
        <f>industrie!J18</f>
        <v>44.691108425161175</v>
      </c>
      <c r="K8" s="447">
        <f>industrie!K18</f>
        <v>0</v>
      </c>
      <c r="L8" s="447">
        <f>industrie!L18</f>
        <v>0</v>
      </c>
      <c r="M8" s="447">
        <f>industrie!M18</f>
        <v>0</v>
      </c>
      <c r="N8" s="447">
        <f>industrie!N18</f>
        <v>3711.226723598405</v>
      </c>
      <c r="O8" s="447">
        <f>industrie!O18</f>
        <v>0</v>
      </c>
      <c r="P8" s="448">
        <f>industrie!P18</f>
        <v>0</v>
      </c>
      <c r="Q8" s="446">
        <f t="shared" si="0"/>
        <v>121911.26762066624</v>
      </c>
    </row>
    <row r="9" spans="1:17" s="452" customFormat="1">
      <c r="A9" s="450" t="s">
        <v>537</v>
      </c>
      <c r="B9" s="451">
        <f>transport!B14</f>
        <v>221.31083584124704</v>
      </c>
      <c r="C9" s="451">
        <f>transport!C14</f>
        <v>0</v>
      </c>
      <c r="D9" s="451">
        <f>transport!D14</f>
        <v>462.76042052887595</v>
      </c>
      <c r="E9" s="451">
        <f>transport!E14</f>
        <v>177.5656677589092</v>
      </c>
      <c r="F9" s="451">
        <f>transport!F14</f>
        <v>0</v>
      </c>
      <c r="G9" s="451">
        <f>transport!G14</f>
        <v>69099.34211400323</v>
      </c>
      <c r="H9" s="451">
        <f>transport!H14</f>
        <v>22534.417828452351</v>
      </c>
      <c r="I9" s="451">
        <f>transport!I14</f>
        <v>0</v>
      </c>
      <c r="J9" s="451">
        <f>transport!J14</f>
        <v>0</v>
      </c>
      <c r="K9" s="451">
        <f>transport!K14</f>
        <v>0</v>
      </c>
      <c r="L9" s="451">
        <f>transport!L14</f>
        <v>0</v>
      </c>
      <c r="M9" s="451">
        <f>transport!M14</f>
        <v>5565.0665190515065</v>
      </c>
      <c r="N9" s="451">
        <f>transport!N14</f>
        <v>0</v>
      </c>
      <c r="O9" s="451">
        <f>transport!O14</f>
        <v>0</v>
      </c>
      <c r="P9" s="451">
        <f>transport!P14</f>
        <v>0</v>
      </c>
      <c r="Q9" s="450">
        <f>SUM(B9:P9)</f>
        <v>98060.463385636132</v>
      </c>
    </row>
    <row r="10" spans="1:17">
      <c r="A10" s="446" t="s">
        <v>527</v>
      </c>
      <c r="B10" s="447">
        <f>transport!B54</f>
        <v>10.152967028635283</v>
      </c>
      <c r="C10" s="447">
        <f>transport!C54</f>
        <v>0</v>
      </c>
      <c r="D10" s="447">
        <f>transport!D54</f>
        <v>0</v>
      </c>
      <c r="E10" s="447">
        <f>transport!E54</f>
        <v>0</v>
      </c>
      <c r="F10" s="447">
        <f>transport!F54</f>
        <v>0</v>
      </c>
      <c r="G10" s="447">
        <f>transport!G54</f>
        <v>635.6064305616311</v>
      </c>
      <c r="H10" s="447">
        <f>transport!H54</f>
        <v>0</v>
      </c>
      <c r="I10" s="447">
        <f>transport!I54</f>
        <v>0</v>
      </c>
      <c r="J10" s="447">
        <f>transport!J54</f>
        <v>0</v>
      </c>
      <c r="K10" s="447">
        <f>transport!K54</f>
        <v>0</v>
      </c>
      <c r="L10" s="447">
        <f>transport!L54</f>
        <v>0</v>
      </c>
      <c r="M10" s="447">
        <f>transport!M54</f>
        <v>36.495113862214836</v>
      </c>
      <c r="N10" s="447">
        <f>transport!N54</f>
        <v>0</v>
      </c>
      <c r="O10" s="447">
        <f>transport!O54</f>
        <v>0</v>
      </c>
      <c r="P10" s="448">
        <f>transport!P54</f>
        <v>0</v>
      </c>
      <c r="Q10" s="446">
        <f t="shared" si="0"/>
        <v>682.25451145248121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645.79357826836201</v>
      </c>
      <c r="C14" s="454"/>
      <c r="D14" s="454">
        <f>'SEAP template'!E25</f>
        <v>1345.1972679324799</v>
      </c>
      <c r="E14" s="454"/>
      <c r="F14" s="454"/>
      <c r="G14" s="454"/>
      <c r="H14" s="454"/>
      <c r="I14" s="454"/>
      <c r="J14" s="454"/>
      <c r="K14" s="454"/>
      <c r="L14" s="454"/>
      <c r="M14" s="454"/>
      <c r="N14" s="454"/>
      <c r="O14" s="454"/>
      <c r="P14" s="455"/>
      <c r="Q14" s="446">
        <f t="shared" si="0"/>
        <v>1990.990846200842</v>
      </c>
    </row>
    <row r="15" spans="1:17" s="458" customFormat="1">
      <c r="A15" s="456" t="s">
        <v>531</v>
      </c>
      <c r="B15" s="457">
        <f ca="1">SUM(B4:B14)</f>
        <v>128778.9313325753</v>
      </c>
      <c r="C15" s="457">
        <f t="shared" ref="C15:Q15" ca="1" si="1">SUM(C4:C14)</f>
        <v>3272.1428571428573</v>
      </c>
      <c r="D15" s="457">
        <f t="shared" ca="1" si="1"/>
        <v>125136.72772804486</v>
      </c>
      <c r="E15" s="457">
        <f t="shared" si="1"/>
        <v>2189.5921254309737</v>
      </c>
      <c r="F15" s="457">
        <f t="shared" ca="1" si="1"/>
        <v>45861.504428789762</v>
      </c>
      <c r="G15" s="457">
        <f t="shared" si="1"/>
        <v>69734.948544564861</v>
      </c>
      <c r="H15" s="457">
        <f t="shared" si="1"/>
        <v>22534.417828452351</v>
      </c>
      <c r="I15" s="457">
        <f t="shared" si="1"/>
        <v>0</v>
      </c>
      <c r="J15" s="457">
        <f t="shared" si="1"/>
        <v>516.16691421572057</v>
      </c>
      <c r="K15" s="457">
        <f t="shared" si="1"/>
        <v>0</v>
      </c>
      <c r="L15" s="457">
        <f t="shared" ca="1" si="1"/>
        <v>0</v>
      </c>
      <c r="M15" s="457">
        <f t="shared" si="1"/>
        <v>5601.561632913721</v>
      </c>
      <c r="N15" s="457">
        <f t="shared" ca="1" si="1"/>
        <v>14903.423166978442</v>
      </c>
      <c r="O15" s="457">
        <f t="shared" si="1"/>
        <v>453.14654878205744</v>
      </c>
      <c r="P15" s="457">
        <f t="shared" si="1"/>
        <v>726.8431922302666</v>
      </c>
      <c r="Q15" s="457">
        <f t="shared" ca="1" si="1"/>
        <v>419709.40630012116</v>
      </c>
    </row>
    <row r="17" spans="1:17">
      <c r="A17" s="459" t="s">
        <v>532</v>
      </c>
      <c r="B17" s="776">
        <f ca="1">huishoudens!B10</f>
        <v>0.2089764299799696</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6861.5586864960997</v>
      </c>
      <c r="C22" s="447">
        <f t="shared" ref="C22:C32" ca="1" si="3">C4*$C$17</f>
        <v>0</v>
      </c>
      <c r="D22" s="447">
        <f t="shared" ref="D22:D32" si="4">D4*$D$17</f>
        <v>15007.500466301162</v>
      </c>
      <c r="E22" s="447">
        <f t="shared" ref="E22:E32" si="5">E4*$E$17</f>
        <v>393.54639014299181</v>
      </c>
      <c r="F22" s="447">
        <f t="shared" ref="F22:F32" si="6">F4*$F$17</f>
        <v>10140.431140377854</v>
      </c>
      <c r="G22" s="447">
        <f t="shared" ref="G22:G32" si="7">G4*$G$17</f>
        <v>0</v>
      </c>
      <c r="H22" s="447">
        <f t="shared" ref="H22:H32" si="8">H4*$H$17</f>
        <v>0</v>
      </c>
      <c r="I22" s="447">
        <f t="shared" ref="I22:I32" si="9">I4*$I$17</f>
        <v>0</v>
      </c>
      <c r="J22" s="447">
        <f t="shared" ref="J22:J32" si="10">J4*$J$17</f>
        <v>76.622340310080219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32479.659023628185</v>
      </c>
    </row>
    <row r="23" spans="1:17">
      <c r="A23" s="446" t="s">
        <v>149</v>
      </c>
      <c r="B23" s="447">
        <f t="shared" ca="1" si="2"/>
        <v>2693.1065379966985</v>
      </c>
      <c r="C23" s="447">
        <f t="shared" ca="1" si="3"/>
        <v>18.3327731092437</v>
      </c>
      <c r="D23" s="447">
        <f t="shared" ca="1" si="4"/>
        <v>3304.7473794138177</v>
      </c>
      <c r="E23" s="447">
        <f t="shared" si="5"/>
        <v>14.876280777982279</v>
      </c>
      <c r="F23" s="447">
        <f t="shared" ca="1" si="6"/>
        <v>612.4630546935648</v>
      </c>
      <c r="G23" s="447">
        <f t="shared" si="7"/>
        <v>0</v>
      </c>
      <c r="H23" s="447">
        <f t="shared" si="8"/>
        <v>0</v>
      </c>
      <c r="I23" s="447">
        <f t="shared" si="9"/>
        <v>0</v>
      </c>
      <c r="J23" s="447">
        <f t="shared" si="10"/>
        <v>4.8324143721822236E-3</v>
      </c>
      <c r="K23" s="447">
        <f t="shared" si="11"/>
        <v>0</v>
      </c>
      <c r="L23" s="447">
        <f t="shared" ca="1" si="12"/>
        <v>0</v>
      </c>
      <c r="M23" s="447">
        <f t="shared" si="13"/>
        <v>0</v>
      </c>
      <c r="N23" s="447">
        <f t="shared" ca="1" si="14"/>
        <v>0</v>
      </c>
      <c r="O23" s="447">
        <f t="shared" si="15"/>
        <v>0</v>
      </c>
      <c r="P23" s="448">
        <f t="shared" si="16"/>
        <v>0</v>
      </c>
      <c r="Q23" s="446">
        <f t="shared" ref="Q23:Q31" ca="1" si="17">SUM(B23:P23)</f>
        <v>6643.5308584056793</v>
      </c>
    </row>
    <row r="24" spans="1:17">
      <c r="A24" s="446" t="s">
        <v>187</v>
      </c>
      <c r="B24" s="447">
        <f t="shared" ca="1" si="2"/>
        <v>192.33124835563504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192.33124835563504</v>
      </c>
    </row>
    <row r="25" spans="1:17">
      <c r="A25" s="446" t="s">
        <v>105</v>
      </c>
      <c r="B25" s="447">
        <f t="shared" ca="1" si="2"/>
        <v>209.58976754131268</v>
      </c>
      <c r="C25" s="447">
        <f t="shared" ca="1" si="3"/>
        <v>0</v>
      </c>
      <c r="D25" s="447">
        <f t="shared" si="4"/>
        <v>114.86942178320949</v>
      </c>
      <c r="E25" s="447">
        <f t="shared" si="5"/>
        <v>6.5207462816188588</v>
      </c>
      <c r="F25" s="447">
        <f t="shared" si="6"/>
        <v>847.66465958702645</v>
      </c>
      <c r="G25" s="447">
        <f t="shared" si="7"/>
        <v>0</v>
      </c>
      <c r="H25" s="447">
        <f t="shared" si="8"/>
        <v>0</v>
      </c>
      <c r="I25" s="447">
        <f t="shared" si="9"/>
        <v>0</v>
      </c>
      <c r="J25" s="447">
        <f t="shared" si="10"/>
        <v>90.275262525405608</v>
      </c>
      <c r="K25" s="447">
        <f t="shared" si="11"/>
        <v>0</v>
      </c>
      <c r="L25" s="447">
        <f t="shared" si="12"/>
        <v>0</v>
      </c>
      <c r="M25" s="447">
        <f t="shared" si="13"/>
        <v>0</v>
      </c>
      <c r="N25" s="447">
        <f t="shared" si="14"/>
        <v>0</v>
      </c>
      <c r="O25" s="447">
        <f t="shared" si="15"/>
        <v>0</v>
      </c>
      <c r="P25" s="448">
        <f t="shared" si="16"/>
        <v>0</v>
      </c>
      <c r="Q25" s="446">
        <f t="shared" ca="1" si="17"/>
        <v>1268.9198577185732</v>
      </c>
    </row>
    <row r="26" spans="1:17">
      <c r="A26" s="446" t="s">
        <v>611</v>
      </c>
      <c r="B26" s="447">
        <f t="shared" ca="1" si="2"/>
        <v>16771.84897044364</v>
      </c>
      <c r="C26" s="447">
        <f t="shared" ca="1" si="3"/>
        <v>759.28235294117667</v>
      </c>
      <c r="D26" s="447">
        <f t="shared" si="4"/>
        <v>6485.2942804976819</v>
      </c>
      <c r="E26" s="447">
        <f t="shared" si="5"/>
        <v>41.786588688965786</v>
      </c>
      <c r="F26" s="447">
        <f t="shared" si="6"/>
        <v>644.46282782842479</v>
      </c>
      <c r="G26" s="447">
        <f t="shared" si="7"/>
        <v>0</v>
      </c>
      <c r="H26" s="447">
        <f t="shared" si="8"/>
        <v>0</v>
      </c>
      <c r="I26" s="447">
        <f t="shared" si="9"/>
        <v>0</v>
      </c>
      <c r="J26" s="447">
        <f t="shared" si="10"/>
        <v>15.820652382507054</v>
      </c>
      <c r="K26" s="447">
        <f t="shared" si="11"/>
        <v>0</v>
      </c>
      <c r="L26" s="447">
        <f t="shared" si="12"/>
        <v>0</v>
      </c>
      <c r="M26" s="447">
        <f t="shared" si="13"/>
        <v>0</v>
      </c>
      <c r="N26" s="447">
        <f t="shared" si="14"/>
        <v>0</v>
      </c>
      <c r="O26" s="447">
        <f t="shared" si="15"/>
        <v>0</v>
      </c>
      <c r="P26" s="448">
        <f t="shared" si="16"/>
        <v>0</v>
      </c>
      <c r="Q26" s="446">
        <f t="shared" ca="1" si="17"/>
        <v>24718.495672782396</v>
      </c>
    </row>
    <row r="27" spans="1:17" s="452" customFormat="1">
      <c r="A27" s="450" t="s">
        <v>537</v>
      </c>
      <c r="B27" s="770">
        <f t="shared" ca="1" si="2"/>
        <v>46.248748389986908</v>
      </c>
      <c r="C27" s="451">
        <f t="shared" ca="1" si="3"/>
        <v>0</v>
      </c>
      <c r="D27" s="451">
        <f t="shared" si="4"/>
        <v>93.477604946832955</v>
      </c>
      <c r="E27" s="451">
        <f t="shared" si="5"/>
        <v>40.307406581272389</v>
      </c>
      <c r="F27" s="451">
        <f t="shared" si="6"/>
        <v>0</v>
      </c>
      <c r="G27" s="451">
        <f t="shared" si="7"/>
        <v>18449.524344438862</v>
      </c>
      <c r="H27" s="451">
        <f t="shared" si="8"/>
        <v>5611.0700392846356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24240.628143641588</v>
      </c>
    </row>
    <row r="28" spans="1:17" ht="16.5" customHeight="1">
      <c r="A28" s="446" t="s">
        <v>527</v>
      </c>
      <c r="B28" s="447">
        <f t="shared" ca="1" si="2"/>
        <v>2.1217308033485414</v>
      </c>
      <c r="C28" s="447">
        <f t="shared" ca="1" si="3"/>
        <v>0</v>
      </c>
      <c r="D28" s="447">
        <f t="shared" si="4"/>
        <v>0</v>
      </c>
      <c r="E28" s="447">
        <f t="shared" si="5"/>
        <v>0</v>
      </c>
      <c r="F28" s="447">
        <f t="shared" si="6"/>
        <v>0</v>
      </c>
      <c r="G28" s="447">
        <f t="shared" si="7"/>
        <v>169.70691695995552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171.82864776330408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134.95563649051238</v>
      </c>
      <c r="C32" s="447">
        <f t="shared" ca="1" si="3"/>
        <v>0</v>
      </c>
      <c r="D32" s="447">
        <f t="shared" si="4"/>
        <v>271.72984812236098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406.68548461287332</v>
      </c>
    </row>
    <row r="33" spans="1:17" s="458" customFormat="1">
      <c r="A33" s="456" t="s">
        <v>531</v>
      </c>
      <c r="B33" s="457">
        <f ca="1">SUM(B22:B32)</f>
        <v>26911.761326517229</v>
      </c>
      <c r="C33" s="457">
        <f t="shared" ref="C33:Q33" ca="1" si="19">SUM(C22:C32)</f>
        <v>777.61512605042037</v>
      </c>
      <c r="D33" s="457">
        <f t="shared" ca="1" si="19"/>
        <v>25277.619001065068</v>
      </c>
      <c r="E33" s="457">
        <f t="shared" si="19"/>
        <v>497.03741247283114</v>
      </c>
      <c r="F33" s="457">
        <f t="shared" ca="1" si="19"/>
        <v>12245.021682486869</v>
      </c>
      <c r="G33" s="457">
        <f t="shared" si="19"/>
        <v>18619.231261398818</v>
      </c>
      <c r="H33" s="457">
        <f t="shared" si="19"/>
        <v>5611.0700392846356</v>
      </c>
      <c r="I33" s="457">
        <f t="shared" si="19"/>
        <v>0</v>
      </c>
      <c r="J33" s="457">
        <f t="shared" si="19"/>
        <v>182.72308763236506</v>
      </c>
      <c r="K33" s="457">
        <f t="shared" si="19"/>
        <v>0</v>
      </c>
      <c r="L33" s="457">
        <f t="shared" ca="1" si="19"/>
        <v>0</v>
      </c>
      <c r="M33" s="457">
        <f t="shared" si="19"/>
        <v>0</v>
      </c>
      <c r="N33" s="457">
        <f t="shared" ca="1" si="19"/>
        <v>0</v>
      </c>
      <c r="O33" s="457">
        <f t="shared" si="19"/>
        <v>0</v>
      </c>
      <c r="P33" s="457">
        <f t="shared" si="19"/>
        <v>0</v>
      </c>
      <c r="Q33" s="457">
        <f t="shared" ca="1" si="19"/>
        <v>90122.078936908234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7178.7899828832578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2290.5</v>
      </c>
      <c r="D8" s="1014">
        <f>'SEAP template'!D76</f>
        <v>2694.7058823529414</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544.33058823529416</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7178.7899828832578</v>
      </c>
      <c r="C10" s="1016">
        <f>SUM(C4:C9)</f>
        <v>2290.5</v>
      </c>
      <c r="D10" s="1016">
        <f t="shared" ref="D10:H10" si="0">SUM(D8:D9)</f>
        <v>2694.7058823529414</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544.33058823529416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0.2089764299799696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3272.1428571428573</v>
      </c>
      <c r="D17" s="1015">
        <f>'SEAP template'!D87</f>
        <v>3849.5798319327737</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777.61512605042037</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3272.1428571428573</v>
      </c>
      <c r="D20" s="1016">
        <f t="shared" ref="D20:H20" si="2">SUM(D17:D19)</f>
        <v>3849.5798319327737</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777.61512605042037</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0.2089764299799696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0.2089764299799696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0.2089764299799696</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8181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1361.68</v>
      </c>
      <c r="C14" s="326"/>
      <c r="D14" s="326"/>
      <c r="E14" s="326"/>
      <c r="F14" s="326"/>
    </row>
    <row r="15" spans="1:6">
      <c r="A15" s="1310" t="s">
        <v>177</v>
      </c>
      <c r="B15" s="1311">
        <v>15</v>
      </c>
      <c r="C15" s="326"/>
      <c r="D15" s="326"/>
      <c r="E15" s="326"/>
      <c r="F15" s="326"/>
    </row>
    <row r="16" spans="1:6">
      <c r="A16" s="1310" t="s">
        <v>6</v>
      </c>
      <c r="B16" s="1311">
        <v>440</v>
      </c>
      <c r="C16" s="326"/>
      <c r="D16" s="326"/>
      <c r="E16" s="326"/>
      <c r="F16" s="326"/>
    </row>
    <row r="17" spans="1:6">
      <c r="A17" s="1310" t="s">
        <v>7</v>
      </c>
      <c r="B17" s="1311">
        <v>383</v>
      </c>
      <c r="C17" s="326"/>
      <c r="D17" s="326"/>
      <c r="E17" s="326"/>
      <c r="F17" s="326"/>
    </row>
    <row r="18" spans="1:6">
      <c r="A18" s="1310" t="s">
        <v>8</v>
      </c>
      <c r="B18" s="1311">
        <v>468</v>
      </c>
      <c r="C18" s="326"/>
      <c r="D18" s="326"/>
      <c r="E18" s="326"/>
      <c r="F18" s="326"/>
    </row>
    <row r="19" spans="1:6">
      <c r="A19" s="1310" t="s">
        <v>9</v>
      </c>
      <c r="B19" s="1311">
        <v>410</v>
      </c>
      <c r="C19" s="326"/>
      <c r="D19" s="326"/>
      <c r="E19" s="326"/>
      <c r="F19" s="326"/>
    </row>
    <row r="20" spans="1:6">
      <c r="A20" s="1310" t="s">
        <v>10</v>
      </c>
      <c r="B20" s="1311">
        <v>331</v>
      </c>
      <c r="C20" s="326"/>
      <c r="D20" s="326"/>
      <c r="E20" s="326"/>
      <c r="F20" s="326"/>
    </row>
    <row r="21" spans="1:6">
      <c r="A21" s="1310" t="s">
        <v>11</v>
      </c>
      <c r="B21" s="1311">
        <v>547</v>
      </c>
      <c r="C21" s="326"/>
      <c r="D21" s="326"/>
      <c r="E21" s="326"/>
      <c r="F21" s="326"/>
    </row>
    <row r="22" spans="1:6">
      <c r="A22" s="1310" t="s">
        <v>12</v>
      </c>
      <c r="B22" s="1311">
        <v>1465</v>
      </c>
      <c r="C22" s="326"/>
      <c r="D22" s="326"/>
      <c r="E22" s="326"/>
      <c r="F22" s="326"/>
    </row>
    <row r="23" spans="1:6">
      <c r="A23" s="1310" t="s">
        <v>13</v>
      </c>
      <c r="B23" s="1311">
        <v>46</v>
      </c>
      <c r="C23" s="326"/>
      <c r="D23" s="326"/>
      <c r="E23" s="326"/>
      <c r="F23" s="326"/>
    </row>
    <row r="24" spans="1:6">
      <c r="A24" s="1310" t="s">
        <v>14</v>
      </c>
      <c r="B24" s="1311">
        <v>3</v>
      </c>
      <c r="C24" s="326"/>
      <c r="D24" s="326"/>
      <c r="E24" s="326"/>
      <c r="F24" s="326"/>
    </row>
    <row r="25" spans="1:6">
      <c r="A25" s="1310" t="s">
        <v>15</v>
      </c>
      <c r="B25" s="1311">
        <v>267</v>
      </c>
      <c r="C25" s="326"/>
      <c r="D25" s="326"/>
      <c r="E25" s="326"/>
      <c r="F25" s="326"/>
    </row>
    <row r="26" spans="1:6">
      <c r="A26" s="1310" t="s">
        <v>16</v>
      </c>
      <c r="B26" s="1311">
        <v>139</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100</v>
      </c>
      <c r="C29" s="326"/>
      <c r="D29" s="326"/>
      <c r="E29" s="326"/>
      <c r="F29" s="326"/>
    </row>
    <row r="30" spans="1:6">
      <c r="A30" s="1305" t="s">
        <v>679</v>
      </c>
      <c r="B30" s="1313">
        <v>29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152523.46260918499</v>
      </c>
      <c r="E38" s="1311">
        <v>0</v>
      </c>
      <c r="F38" s="1311">
        <v>0</v>
      </c>
    </row>
    <row r="39" spans="1:6">
      <c r="A39" s="1310" t="s">
        <v>29</v>
      </c>
      <c r="B39" s="1310" t="s">
        <v>30</v>
      </c>
      <c r="C39" s="1311">
        <v>5664</v>
      </c>
      <c r="D39" s="1311">
        <v>82275256.659875005</v>
      </c>
      <c r="E39" s="1311">
        <v>8190</v>
      </c>
      <c r="F39" s="1311">
        <v>26977275.178003602</v>
      </c>
    </row>
    <row r="40" spans="1:6">
      <c r="A40" s="1310" t="s">
        <v>29</v>
      </c>
      <c r="B40" s="1310" t="s">
        <v>28</v>
      </c>
      <c r="C40" s="1311">
        <v>0</v>
      </c>
      <c r="D40" s="1311">
        <v>0</v>
      </c>
      <c r="E40" s="1311">
        <v>0</v>
      </c>
      <c r="F40" s="1311">
        <v>0</v>
      </c>
    </row>
    <row r="41" spans="1:6">
      <c r="A41" s="1310" t="s">
        <v>31</v>
      </c>
      <c r="B41" s="1310" t="s">
        <v>32</v>
      </c>
      <c r="C41" s="1311">
        <v>72</v>
      </c>
      <c r="D41" s="1311">
        <v>1362591.2721972701</v>
      </c>
      <c r="E41" s="1311">
        <v>149</v>
      </c>
      <c r="F41" s="1311">
        <v>1124181.4404553999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188075.20546298</v>
      </c>
      <c r="E44" s="1311">
        <v>13</v>
      </c>
      <c r="F44" s="1311">
        <v>552369.92920997401</v>
      </c>
    </row>
    <row r="45" spans="1:6">
      <c r="A45" s="1310" t="s">
        <v>31</v>
      </c>
      <c r="B45" s="1310" t="s">
        <v>36</v>
      </c>
      <c r="C45" s="1311">
        <v>5</v>
      </c>
      <c r="D45" s="1311">
        <v>259672.93701010899</v>
      </c>
      <c r="E45" s="1311">
        <v>5</v>
      </c>
      <c r="F45" s="1311">
        <v>1235318.3514221699</v>
      </c>
    </row>
    <row r="46" spans="1:6">
      <c r="A46" s="1310" t="s">
        <v>31</v>
      </c>
      <c r="B46" s="1310" t="s">
        <v>37</v>
      </c>
      <c r="C46" s="1311">
        <v>0</v>
      </c>
      <c r="D46" s="1311">
        <v>0</v>
      </c>
      <c r="E46" s="1311">
        <v>0</v>
      </c>
      <c r="F46" s="1311">
        <v>0</v>
      </c>
    </row>
    <row r="47" spans="1:6">
      <c r="A47" s="1310" t="s">
        <v>31</v>
      </c>
      <c r="B47" s="1310" t="s">
        <v>38</v>
      </c>
      <c r="C47" s="1311">
        <v>3</v>
      </c>
      <c r="D47" s="1311">
        <v>79279.063910403202</v>
      </c>
      <c r="E47" s="1311">
        <v>6</v>
      </c>
      <c r="F47" s="1311">
        <v>71812.942300002993</v>
      </c>
    </row>
    <row r="48" spans="1:6">
      <c r="A48" s="1310" t="s">
        <v>31</v>
      </c>
      <c r="B48" s="1310" t="s">
        <v>28</v>
      </c>
      <c r="C48" s="1311">
        <v>2</v>
      </c>
      <c r="D48" s="1311">
        <v>19728.077845004998</v>
      </c>
      <c r="E48" s="1311">
        <v>3</v>
      </c>
      <c r="F48" s="1311">
        <v>3065.4179490505003</v>
      </c>
    </row>
    <row r="49" spans="1:6">
      <c r="A49" s="1310" t="s">
        <v>31</v>
      </c>
      <c r="B49" s="1310" t="s">
        <v>39</v>
      </c>
      <c r="C49" s="1311">
        <v>0</v>
      </c>
      <c r="D49" s="1311">
        <v>0</v>
      </c>
      <c r="E49" s="1311">
        <v>4</v>
      </c>
      <c r="F49" s="1311">
        <v>197377.92167812501</v>
      </c>
    </row>
    <row r="50" spans="1:6">
      <c r="A50" s="1310" t="s">
        <v>31</v>
      </c>
      <c r="B50" s="1310" t="s">
        <v>40</v>
      </c>
      <c r="C50" s="1311">
        <v>12</v>
      </c>
      <c r="D50" s="1311">
        <v>40721237.308675602</v>
      </c>
      <c r="E50" s="1311">
        <v>15</v>
      </c>
      <c r="F50" s="1311">
        <v>74836506.210657507</v>
      </c>
    </row>
    <row r="51" spans="1:6">
      <c r="A51" s="1310" t="s">
        <v>41</v>
      </c>
      <c r="B51" s="1310" t="s">
        <v>42</v>
      </c>
      <c r="C51" s="1311">
        <v>20</v>
      </c>
      <c r="D51" s="1311">
        <v>629745.85146985005</v>
      </c>
      <c r="E51" s="1311">
        <v>90</v>
      </c>
      <c r="F51" s="1311">
        <v>1002934.96047091</v>
      </c>
    </row>
    <row r="52" spans="1:6">
      <c r="A52" s="1310" t="s">
        <v>41</v>
      </c>
      <c r="B52" s="1310" t="s">
        <v>28</v>
      </c>
      <c r="C52" s="1311">
        <v>0</v>
      </c>
      <c r="D52" s="1311">
        <v>0</v>
      </c>
      <c r="E52" s="1311">
        <v>0</v>
      </c>
      <c r="F52" s="1311">
        <v>0</v>
      </c>
    </row>
    <row r="53" spans="1:6">
      <c r="A53" s="1310" t="s">
        <v>43</v>
      </c>
      <c r="B53" s="1310" t="s">
        <v>44</v>
      </c>
      <c r="C53" s="1311">
        <v>121</v>
      </c>
      <c r="D53" s="1311">
        <v>1345197.26793248</v>
      </c>
      <c r="E53" s="1311">
        <v>275</v>
      </c>
      <c r="F53" s="1311">
        <v>645793.57826836198</v>
      </c>
    </row>
    <row r="54" spans="1:6">
      <c r="A54" s="1310" t="s">
        <v>45</v>
      </c>
      <c r="B54" s="1310" t="s">
        <v>46</v>
      </c>
      <c r="C54" s="1311">
        <v>0</v>
      </c>
      <c r="D54" s="1311">
        <v>0</v>
      </c>
      <c r="E54" s="1311">
        <v>1</v>
      </c>
      <c r="F54" s="1311">
        <v>920349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62</v>
      </c>
      <c r="D57" s="1311">
        <v>4090586.1001313101</v>
      </c>
      <c r="E57" s="1311">
        <v>99</v>
      </c>
      <c r="F57" s="1311">
        <v>1349679.23209534</v>
      </c>
    </row>
    <row r="58" spans="1:6">
      <c r="A58" s="1310" t="s">
        <v>48</v>
      </c>
      <c r="B58" s="1310" t="s">
        <v>50</v>
      </c>
      <c r="C58" s="1311">
        <v>35</v>
      </c>
      <c r="D58" s="1311">
        <v>2177711.5735225598</v>
      </c>
      <c r="E58" s="1311">
        <v>73</v>
      </c>
      <c r="F58" s="1311">
        <v>861159.60841368395</v>
      </c>
    </row>
    <row r="59" spans="1:6">
      <c r="A59" s="1310" t="s">
        <v>48</v>
      </c>
      <c r="B59" s="1310" t="s">
        <v>51</v>
      </c>
      <c r="C59" s="1311">
        <v>107</v>
      </c>
      <c r="D59" s="1311">
        <v>3356414.9111061799</v>
      </c>
      <c r="E59" s="1311">
        <v>226</v>
      </c>
      <c r="F59" s="1311">
        <v>5919152.5261797002</v>
      </c>
    </row>
    <row r="60" spans="1:6">
      <c r="A60" s="1310" t="s">
        <v>48</v>
      </c>
      <c r="B60" s="1310" t="s">
        <v>52</v>
      </c>
      <c r="C60" s="1311">
        <v>64</v>
      </c>
      <c r="D60" s="1311">
        <v>2142143.4783818601</v>
      </c>
      <c r="E60" s="1311">
        <v>80</v>
      </c>
      <c r="F60" s="1311">
        <v>1440853.0423566899</v>
      </c>
    </row>
    <row r="61" spans="1:6">
      <c r="A61" s="1310" t="s">
        <v>48</v>
      </c>
      <c r="B61" s="1310" t="s">
        <v>53</v>
      </c>
      <c r="C61" s="1311">
        <v>173</v>
      </c>
      <c r="D61" s="1311">
        <v>5622528.2102680597</v>
      </c>
      <c r="E61" s="1311">
        <v>358</v>
      </c>
      <c r="F61" s="1311">
        <v>3025675.1596526601</v>
      </c>
    </row>
    <row r="62" spans="1:6">
      <c r="A62" s="1310" t="s">
        <v>48</v>
      </c>
      <c r="B62" s="1310" t="s">
        <v>54</v>
      </c>
      <c r="C62" s="1311">
        <v>11</v>
      </c>
      <c r="D62" s="1311">
        <v>899011.35885833495</v>
      </c>
      <c r="E62" s="1311">
        <v>14</v>
      </c>
      <c r="F62" s="1311">
        <v>236610.99552313099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14989.654994913</v>
      </c>
      <c r="E65" s="1311">
        <v>0</v>
      </c>
      <c r="F65" s="1311">
        <v>0</v>
      </c>
    </row>
    <row r="66" spans="1:6">
      <c r="A66" s="1310" t="s">
        <v>55</v>
      </c>
      <c r="B66" s="1310" t="s">
        <v>57</v>
      </c>
      <c r="C66" s="1311">
        <v>0</v>
      </c>
      <c r="D66" s="1311">
        <v>0</v>
      </c>
      <c r="E66" s="1311">
        <v>3</v>
      </c>
      <c r="F66" s="1311">
        <v>9359</v>
      </c>
    </row>
    <row r="67" spans="1:6">
      <c r="A67" s="1310" t="s">
        <v>55</v>
      </c>
      <c r="B67" s="1310" t="s">
        <v>58</v>
      </c>
      <c r="C67" s="1311">
        <v>0</v>
      </c>
      <c r="D67" s="1311">
        <v>0</v>
      </c>
      <c r="E67" s="1311">
        <v>0</v>
      </c>
      <c r="F67" s="1311">
        <v>0</v>
      </c>
    </row>
    <row r="68" spans="1:6">
      <c r="A68" s="1305" t="s">
        <v>55</v>
      </c>
      <c r="B68" s="1305" t="s">
        <v>59</v>
      </c>
      <c r="C68" s="1313">
        <v>6</v>
      </c>
      <c r="D68" s="1313">
        <v>141016.95795865401</v>
      </c>
      <c r="E68" s="1313">
        <v>11</v>
      </c>
      <c r="F68" s="1313">
        <v>61842.0328251225</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34701904</v>
      </c>
      <c r="E73" s="445"/>
      <c r="F73" s="326"/>
    </row>
    <row r="74" spans="1:6">
      <c r="A74" s="1310" t="s">
        <v>63</v>
      </c>
      <c r="B74" s="1310" t="s">
        <v>632</v>
      </c>
      <c r="C74" s="1323" t="s">
        <v>634</v>
      </c>
      <c r="D74" s="1311">
        <v>2598672.5255152299</v>
      </c>
      <c r="E74" s="445"/>
      <c r="F74" s="326"/>
    </row>
    <row r="75" spans="1:6">
      <c r="A75" s="1310" t="s">
        <v>64</v>
      </c>
      <c r="B75" s="1310" t="s">
        <v>631</v>
      </c>
      <c r="C75" s="1323" t="s">
        <v>635</v>
      </c>
      <c r="D75" s="1311">
        <v>63074130</v>
      </c>
      <c r="E75" s="445"/>
      <c r="F75" s="326"/>
    </row>
    <row r="76" spans="1:6">
      <c r="A76" s="1310" t="s">
        <v>64</v>
      </c>
      <c r="B76" s="1310" t="s">
        <v>632</v>
      </c>
      <c r="C76" s="1323" t="s">
        <v>636</v>
      </c>
      <c r="D76" s="1311">
        <v>3515749.5255152299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189374.94896954001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5856.8520350690924</v>
      </c>
      <c r="C91" s="326"/>
      <c r="D91" s="326"/>
      <c r="E91" s="326"/>
      <c r="F91" s="326"/>
    </row>
    <row r="92" spans="1:6">
      <c r="A92" s="1305" t="s">
        <v>68</v>
      </c>
      <c r="B92" s="1306">
        <v>1321.937947814165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2589</v>
      </c>
      <c r="C97" s="326"/>
      <c r="D97" s="326"/>
      <c r="E97" s="326"/>
      <c r="F97" s="326"/>
    </row>
    <row r="98" spans="1:6">
      <c r="A98" s="1310" t="s">
        <v>71</v>
      </c>
      <c r="B98" s="1311">
        <v>0</v>
      </c>
      <c r="C98" s="326"/>
      <c r="D98" s="326"/>
      <c r="E98" s="326"/>
      <c r="F98" s="326"/>
    </row>
    <row r="99" spans="1:6">
      <c r="A99" s="1310" t="s">
        <v>72</v>
      </c>
      <c r="B99" s="1311">
        <v>69</v>
      </c>
      <c r="C99" s="326"/>
      <c r="D99" s="326"/>
      <c r="E99" s="326"/>
      <c r="F99" s="326"/>
    </row>
    <row r="100" spans="1:6">
      <c r="A100" s="1310" t="s">
        <v>73</v>
      </c>
      <c r="B100" s="1311">
        <v>547</v>
      </c>
      <c r="C100" s="326"/>
      <c r="D100" s="326"/>
      <c r="E100" s="326"/>
      <c r="F100" s="326"/>
    </row>
    <row r="101" spans="1:6">
      <c r="A101" s="1310" t="s">
        <v>74</v>
      </c>
      <c r="B101" s="1311">
        <v>86</v>
      </c>
      <c r="C101" s="326"/>
      <c r="D101" s="326"/>
      <c r="E101" s="326"/>
      <c r="F101" s="326"/>
    </row>
    <row r="102" spans="1:6">
      <c r="A102" s="1310" t="s">
        <v>75</v>
      </c>
      <c r="B102" s="1311">
        <v>115</v>
      </c>
      <c r="C102" s="326"/>
      <c r="D102" s="326"/>
      <c r="E102" s="326"/>
      <c r="F102" s="326"/>
    </row>
    <row r="103" spans="1:6">
      <c r="A103" s="1310" t="s">
        <v>76</v>
      </c>
      <c r="B103" s="1311">
        <v>283</v>
      </c>
      <c r="C103" s="326"/>
      <c r="D103" s="326"/>
      <c r="E103" s="326"/>
      <c r="F103" s="326"/>
    </row>
    <row r="104" spans="1:6">
      <c r="A104" s="1310" t="s">
        <v>77</v>
      </c>
      <c r="B104" s="1311">
        <v>3142</v>
      </c>
      <c r="C104" s="326"/>
      <c r="D104" s="326"/>
      <c r="E104" s="326"/>
      <c r="F104" s="326"/>
    </row>
    <row r="105" spans="1:6">
      <c r="A105" s="1305" t="s">
        <v>78</v>
      </c>
      <c r="B105" s="131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43</v>
      </c>
      <c r="C123" s="1311">
        <v>70</v>
      </c>
      <c r="D123" s="326"/>
      <c r="E123" s="326"/>
      <c r="F123" s="326"/>
    </row>
    <row r="124" spans="1:6">
      <c r="A124" s="1310" t="s">
        <v>88</v>
      </c>
      <c r="B124" s="1311">
        <v>0</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150</v>
      </c>
      <c r="C129" s="326"/>
      <c r="D129" s="326"/>
      <c r="E129" s="326"/>
      <c r="F129" s="326"/>
    </row>
    <row r="130" spans="1:6">
      <c r="A130" s="1310" t="s">
        <v>284</v>
      </c>
      <c r="B130" s="1311">
        <v>3</v>
      </c>
      <c r="C130" s="326"/>
      <c r="D130" s="326"/>
      <c r="E130" s="326"/>
      <c r="F130" s="326"/>
    </row>
    <row r="131" spans="1:6">
      <c r="A131" s="1310" t="s">
        <v>285</v>
      </c>
      <c r="B131" s="1311">
        <v>0</v>
      </c>
      <c r="C131" s="326"/>
      <c r="D131" s="326"/>
      <c r="E131" s="326"/>
      <c r="F131" s="326"/>
    </row>
    <row r="132" spans="1:6">
      <c r="A132" s="1305" t="s">
        <v>286</v>
      </c>
      <c r="B132" s="1306">
        <v>26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128778.9313325753</v>
      </c>
      <c r="C3" s="43" t="s">
        <v>163</v>
      </c>
      <c r="D3" s="43"/>
      <c r="E3" s="154"/>
      <c r="F3" s="43"/>
      <c r="G3" s="43"/>
      <c r="H3" s="43"/>
      <c r="I3" s="43"/>
      <c r="J3" s="43"/>
      <c r="K3" s="96"/>
    </row>
    <row r="4" spans="1:11">
      <c r="A4" s="352" t="s">
        <v>164</v>
      </c>
      <c r="B4" s="49">
        <f>IF(ISERROR('SEAP template'!B78+'SEAP template'!C78),0,'SEAP template'!B78+'SEAP template'!C78)</f>
        <v>9469.2899828832578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544.33058823529416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0.2089764299799696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777.61512605042037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3272.1428571428573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920.34900000000005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920.34900000000005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0.2089764299799696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192.33124835563504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26977.275178003601</v>
      </c>
      <c r="C5" s="17">
        <f>IF(ISERROR('Eigen informatie GS &amp; warmtenet'!B59),0,'Eigen informatie GS &amp; warmtenet'!B59)</f>
        <v>0</v>
      </c>
      <c r="D5" s="30">
        <f>(SUM(HH_hh_gas_kWh,HH_rest_gas_kWh)/1000)*0.903</f>
        <v>74294.556763867135</v>
      </c>
      <c r="E5" s="17">
        <f>B32*B41</f>
        <v>1733.6845380748537</v>
      </c>
      <c r="F5" s="17">
        <f>B36*B45</f>
        <v>37979.142847857125</v>
      </c>
      <c r="G5" s="18"/>
      <c r="H5" s="17"/>
      <c r="I5" s="17"/>
      <c r="J5" s="17">
        <f>B35*B44+C35*C44</f>
        <v>216.44728901152607</v>
      </c>
      <c r="K5" s="17"/>
      <c r="L5" s="17"/>
      <c r="M5" s="17"/>
      <c r="N5" s="17">
        <f>B34*B43+C34*C43</f>
        <v>10662.325054650442</v>
      </c>
      <c r="O5" s="17">
        <f>B52*B53*B54</f>
        <v>438.45476648453399</v>
      </c>
      <c r="P5" s="17">
        <f>B60*B61*B62/1000-B60*B61*B62/1000/B63</f>
        <v>726.8431922302666</v>
      </c>
    </row>
    <row r="6" spans="1:16">
      <c r="A6" s="16" t="s">
        <v>597</v>
      </c>
      <c r="B6" s="778">
        <f>kWh_PV_kleiner_dan_10kW</f>
        <v>5856.8520350690924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32834.127213072694</v>
      </c>
      <c r="C8" s="21">
        <f>C5</f>
        <v>0</v>
      </c>
      <c r="D8" s="21">
        <f>D5</f>
        <v>74294.556763867135</v>
      </c>
      <c r="E8" s="21">
        <f>E5</f>
        <v>1733.6845380748537</v>
      </c>
      <c r="F8" s="21">
        <f>F5</f>
        <v>37979.142847857125</v>
      </c>
      <c r="G8" s="21"/>
      <c r="H8" s="21"/>
      <c r="I8" s="21"/>
      <c r="J8" s="21">
        <f>J5</f>
        <v>216.44728901152607</v>
      </c>
      <c r="K8" s="21"/>
      <c r="L8" s="21">
        <f>L5</f>
        <v>0</v>
      </c>
      <c r="M8" s="21">
        <f>M5</f>
        <v>0</v>
      </c>
      <c r="N8" s="21">
        <f>N5</f>
        <v>10662.325054650442</v>
      </c>
      <c r="O8" s="21">
        <f>O5</f>
        <v>438.45476648453399</v>
      </c>
      <c r="P8" s="21">
        <f>P5</f>
        <v>726.8431922302666</v>
      </c>
    </row>
    <row r="9" spans="1:16">
      <c r="B9" s="19"/>
      <c r="C9" s="19"/>
      <c r="D9" s="254"/>
      <c r="E9" s="19"/>
      <c r="F9" s="19"/>
      <c r="G9" s="19"/>
      <c r="H9" s="19"/>
      <c r="I9" s="19"/>
      <c r="J9" s="19"/>
      <c r="K9" s="19"/>
      <c r="L9" s="19"/>
      <c r="M9" s="19"/>
      <c r="N9" s="19"/>
      <c r="O9" s="19"/>
      <c r="P9" s="19"/>
    </row>
    <row r="10" spans="1:16">
      <c r="A10" s="24" t="s">
        <v>207</v>
      </c>
      <c r="B10" s="25">
        <f ca="1">'EF ele_warmte'!B12</f>
        <v>0.2089764299799696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6861.5586864960997</v>
      </c>
      <c r="C12" s="23">
        <f ca="1">C10*C8</f>
        <v>0</v>
      </c>
      <c r="D12" s="23">
        <f>D8*D10</f>
        <v>15007.500466301162</v>
      </c>
      <c r="E12" s="23">
        <f>E10*E8</f>
        <v>393.54639014299181</v>
      </c>
      <c r="F12" s="23">
        <f>F10*F8</f>
        <v>10140.431140377854</v>
      </c>
      <c r="G12" s="23"/>
      <c r="H12" s="23"/>
      <c r="I12" s="23"/>
      <c r="J12" s="23">
        <f>J10*J8</f>
        <v>76.622340310080219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8181</v>
      </c>
      <c r="C26" s="36"/>
      <c r="D26" s="225"/>
    </row>
    <row r="27" spans="1:5" s="15" customFormat="1">
      <c r="A27" s="227" t="s">
        <v>860</v>
      </c>
      <c r="B27" s="37">
        <f>SUM(HH_hh_gas_aantal,HH_rest_gas_aantal)</f>
        <v>5664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5380.8</v>
      </c>
      <c r="C31" s="34" t="s">
        <v>104</v>
      </c>
      <c r="D31" s="171"/>
    </row>
    <row r="32" spans="1:5">
      <c r="A32" s="168" t="s">
        <v>72</v>
      </c>
      <c r="B32" s="33">
        <f>IF((B21*($B$26-($B$27-0.05*$B$27)-$B$60))&lt;0,0,(B21*($B$26-($B$27-0.05*$B$27)-$B$60)))</f>
        <v>43.358342672874443</v>
      </c>
      <c r="C32" s="34" t="s">
        <v>104</v>
      </c>
      <c r="D32" s="171"/>
    </row>
    <row r="33" spans="1:6">
      <c r="A33" s="168" t="s">
        <v>73</v>
      </c>
      <c r="B33" s="33">
        <f>IF((B22*($B$26-($B$27-0.05*$B$27)-$B$60))&lt;0,0,B22*($B$26-($B$27-0.05*$B$27)-$B$60))</f>
        <v>704.05361286729431</v>
      </c>
      <c r="C33" s="34" t="s">
        <v>104</v>
      </c>
      <c r="D33" s="171"/>
    </row>
    <row r="34" spans="1:6">
      <c r="A34" s="168" t="s">
        <v>74</v>
      </c>
      <c r="B34" s="33">
        <f>IF((B24*($B$26-($B$27-0.05*$B$27)-$B$60))&lt;0,0,B24*($B$26-($B$27-0.05*$B$27)-$B$60))</f>
        <v>134.97649955885612</v>
      </c>
      <c r="C34" s="33">
        <f>B26*C24</f>
        <v>1676.3354935573379</v>
      </c>
      <c r="D34" s="230"/>
    </row>
    <row r="35" spans="1:6">
      <c r="A35" s="168" t="s">
        <v>76</v>
      </c>
      <c r="B35" s="33">
        <f>IF((B19*($B$26-($B$27-0.05*$B$27)-$B$60))&lt;0,0,B19*($B$26-($B$27-0.05*$B$27)-$B$60))</f>
        <v>18.847768190780233</v>
      </c>
      <c r="C35" s="33">
        <f>B35/2</f>
        <v>9.4238840953901164</v>
      </c>
      <c r="D35" s="230"/>
    </row>
    <row r="36" spans="1:6">
      <c r="A36" s="168" t="s">
        <v>77</v>
      </c>
      <c r="B36" s="33">
        <f>IF((B18*($B$26-($B$27-0.05*$B$27)-$B$60))&lt;0,0,B18*($B$26-($B$27-0.05*$B$27)-$B$60))</f>
        <v>1829.9637767101942</v>
      </c>
      <c r="C36" s="34" t="s">
        <v>104</v>
      </c>
      <c r="D36" s="171"/>
    </row>
    <row r="37" spans="1:6">
      <c r="A37" s="168" t="s">
        <v>78</v>
      </c>
      <c r="B37" s="33">
        <f>B60</f>
        <v>69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221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12833.130564221205</v>
      </c>
      <c r="C5" s="17">
        <f>IF(ISERROR('Eigen informatie GS &amp; warmtenet'!B60),0,'Eigen informatie GS &amp; warmtenet'!B60)</f>
        <v>0</v>
      </c>
      <c r="D5" s="30">
        <f>SUM(D6:D12)</f>
        <v>16514.421255938276</v>
      </c>
      <c r="E5" s="17">
        <f>SUM(E6:E12)</f>
        <v>65.534276554988011</v>
      </c>
      <c r="F5" s="17">
        <f>SUM(F6:F12)</f>
        <v>2293.8691187024897</v>
      </c>
      <c r="G5" s="18"/>
      <c r="H5" s="17"/>
      <c r="I5" s="17"/>
      <c r="J5" s="17">
        <f>SUM(J6:J12)</f>
        <v>1.3650888057011932E-2</v>
      </c>
      <c r="K5" s="17"/>
      <c r="L5" s="17"/>
      <c r="M5" s="17"/>
      <c r="N5" s="17">
        <f>SUM(N6:N12)</f>
        <v>529.87138872959463</v>
      </c>
      <c r="O5" s="17">
        <f>B38*B39*B40</f>
        <v>14.691782297523464</v>
      </c>
      <c r="P5" s="17">
        <f>B46*B47*B48/1000-B46*B47*B48/1000/B49</f>
        <v>0</v>
      </c>
      <c r="R5" s="32"/>
    </row>
    <row r="6" spans="1:18">
      <c r="A6" s="32" t="s">
        <v>53</v>
      </c>
      <c r="B6" s="37">
        <f>B26</f>
        <v>3025.6751596526601</v>
      </c>
      <c r="C6" s="33"/>
      <c r="D6" s="37">
        <f>IF(ISERROR(TER_kantoor_gas_kWh/1000),0,TER_kantoor_gas_kWh/1000)*0.903</f>
        <v>5077.1429738720581</v>
      </c>
      <c r="E6" s="33">
        <f>$C$26*'E Balans VL '!I12/100/3.6*1000000</f>
        <v>0.72092920974502517</v>
      </c>
      <c r="F6" s="33">
        <f>$C$26*('E Balans VL '!L12+'E Balans VL '!N12)/100/3.6*1000000</f>
        <v>262.80952758037046</v>
      </c>
      <c r="G6" s="34"/>
      <c r="H6" s="33"/>
      <c r="I6" s="33"/>
      <c r="J6" s="33">
        <f>$C$26*('E Balans VL '!D12+'E Balans VL '!E12)/100/3.6*1000000</f>
        <v>0</v>
      </c>
      <c r="K6" s="33"/>
      <c r="L6" s="33"/>
      <c r="M6" s="33"/>
      <c r="N6" s="33">
        <f>$C$26*'E Balans VL '!Y12/100/3.6*1000000</f>
        <v>4.0442381434328798</v>
      </c>
      <c r="O6" s="33"/>
      <c r="P6" s="33"/>
      <c r="R6" s="32"/>
    </row>
    <row r="7" spans="1:18">
      <c r="A7" s="32" t="s">
        <v>52</v>
      </c>
      <c r="B7" s="37">
        <f t="shared" ref="B7:B12" si="0">B27</f>
        <v>1440.8530423566899</v>
      </c>
      <c r="C7" s="33"/>
      <c r="D7" s="37">
        <f>IF(ISERROR(TER_horeca_gas_kWh/1000),0,TER_horeca_gas_kWh/1000)*0.903</f>
        <v>1934.3555609788195</v>
      </c>
      <c r="E7" s="33">
        <f>$C$27*'E Balans VL '!I9/100/3.6*1000000</f>
        <v>0</v>
      </c>
      <c r="F7" s="33">
        <f>$C$27*('E Balans VL '!L9+'E Balans VL '!N9)/100/3.6*1000000</f>
        <v>117.40344723683492</v>
      </c>
      <c r="G7" s="34"/>
      <c r="H7" s="33"/>
      <c r="I7" s="33"/>
      <c r="J7" s="33">
        <f>$C$27*('E Balans VL '!D9+'E Balans VL '!E9)/100/3.6*1000000</f>
        <v>0</v>
      </c>
      <c r="K7" s="33"/>
      <c r="L7" s="33"/>
      <c r="M7" s="33"/>
      <c r="N7" s="33">
        <f>$C$27*'E Balans VL '!Y9/100/3.6*1000000</f>
        <v>0.39908946786630167</v>
      </c>
      <c r="O7" s="33"/>
      <c r="P7" s="33"/>
      <c r="R7" s="32"/>
    </row>
    <row r="8" spans="1:18">
      <c r="A8" s="6" t="s">
        <v>51</v>
      </c>
      <c r="B8" s="37">
        <f t="shared" si="0"/>
        <v>5919.1525261797005</v>
      </c>
      <c r="C8" s="33"/>
      <c r="D8" s="37">
        <f>IF(ISERROR(TER_handel_gas_kWh/1000),0,TER_handel_gas_kWh/1000)*0.903</f>
        <v>3030.8426647288802</v>
      </c>
      <c r="E8" s="33">
        <f>$C$28*'E Balans VL '!I13/100/3.6*1000000</f>
        <v>47.315424044725646</v>
      </c>
      <c r="F8" s="33">
        <f>$C$28*('E Balans VL '!L13+'E Balans VL '!N13)/100/3.6*1000000</f>
        <v>588.03100787701817</v>
      </c>
      <c r="G8" s="34"/>
      <c r="H8" s="33"/>
      <c r="I8" s="33"/>
      <c r="J8" s="33">
        <f>$C$28*('E Balans VL '!D13+'E Balans VL '!E13)/100/3.6*1000000</f>
        <v>0</v>
      </c>
      <c r="K8" s="33"/>
      <c r="L8" s="33"/>
      <c r="M8" s="33"/>
      <c r="N8" s="33">
        <f>$C$28*'E Balans VL '!Y13/100/3.6*1000000</f>
        <v>2.2111557999388873</v>
      </c>
      <c r="O8" s="33"/>
      <c r="P8" s="33"/>
      <c r="R8" s="32"/>
    </row>
    <row r="9" spans="1:18">
      <c r="A9" s="32" t="s">
        <v>50</v>
      </c>
      <c r="B9" s="37">
        <f t="shared" si="0"/>
        <v>861.15960841368394</v>
      </c>
      <c r="C9" s="33"/>
      <c r="D9" s="37">
        <f>IF(ISERROR(TER_gezond_gas_kWh/1000),0,TER_gezond_gas_kWh/1000)*0.903</f>
        <v>1966.4735508908716</v>
      </c>
      <c r="E9" s="33">
        <f>$C$29*'E Balans VL '!I10/100/3.6*1000000</f>
        <v>0</v>
      </c>
      <c r="F9" s="33">
        <f>$C$29*('E Balans VL '!L10+'E Balans VL '!N10)/100/3.6*1000000</f>
        <v>78.508731502656374</v>
      </c>
      <c r="G9" s="34"/>
      <c r="H9" s="33"/>
      <c r="I9" s="33"/>
      <c r="J9" s="33">
        <f>$C$29*('E Balans VL '!D10+'E Balans VL '!E10)/100/3.6*1000000</f>
        <v>0</v>
      </c>
      <c r="K9" s="33"/>
      <c r="L9" s="33"/>
      <c r="M9" s="33"/>
      <c r="N9" s="33">
        <f>$C$29*'E Balans VL '!Y10/100/3.6*1000000</f>
        <v>6.2943050006716854</v>
      </c>
      <c r="O9" s="33"/>
      <c r="P9" s="33"/>
      <c r="R9" s="32"/>
    </row>
    <row r="10" spans="1:18">
      <c r="A10" s="32" t="s">
        <v>49</v>
      </c>
      <c r="B10" s="37">
        <f t="shared" si="0"/>
        <v>1349.67923209534</v>
      </c>
      <c r="C10" s="33"/>
      <c r="D10" s="37">
        <f>IF(ISERROR(TER_ander_gas_kWh/1000),0,TER_ander_gas_kWh/1000)*0.903</f>
        <v>3693.7992484185729</v>
      </c>
      <c r="E10" s="33">
        <f>$C$30*'E Balans VL '!I14/100/3.6*1000000</f>
        <v>17.497923300517339</v>
      </c>
      <c r="F10" s="33">
        <f>$C$30*('E Balans VL '!L14+'E Balans VL '!N14)/100/3.6*1000000</f>
        <v>1237.8453543936616</v>
      </c>
      <c r="G10" s="34"/>
      <c r="H10" s="33"/>
      <c r="I10" s="33"/>
      <c r="J10" s="33">
        <f>$C$30*('E Balans VL '!D14+'E Balans VL '!E14)/100/3.6*1000000</f>
        <v>1.3650888057011932E-2</v>
      </c>
      <c r="K10" s="33"/>
      <c r="L10" s="33"/>
      <c r="M10" s="33"/>
      <c r="N10" s="33">
        <f>$C$30*'E Balans VL '!Y14/100/3.6*1000000</f>
        <v>516.17745383263514</v>
      </c>
      <c r="O10" s="33"/>
      <c r="P10" s="33"/>
      <c r="R10" s="32"/>
    </row>
    <row r="11" spans="1:18">
      <c r="A11" s="32" t="s">
        <v>54</v>
      </c>
      <c r="B11" s="37">
        <f t="shared" si="0"/>
        <v>236.61099552313098</v>
      </c>
      <c r="C11" s="33"/>
      <c r="D11" s="37">
        <f>IF(ISERROR(TER_onderwijs_gas_kWh/1000),0,TER_onderwijs_gas_kWh/1000)*0.903</f>
        <v>811.8072570490765</v>
      </c>
      <c r="E11" s="33">
        <f>$C$31*'E Balans VL '!I11/100/3.6*1000000</f>
        <v>0</v>
      </c>
      <c r="F11" s="33">
        <f>$C$31*('E Balans VL '!L11+'E Balans VL '!N11)/100/3.6*1000000</f>
        <v>9.2710501119482345</v>
      </c>
      <c r="G11" s="34"/>
      <c r="H11" s="33"/>
      <c r="I11" s="33"/>
      <c r="J11" s="33">
        <f>$C$31*('E Balans VL '!D11+'E Balans VL '!E11)/100/3.6*1000000</f>
        <v>0</v>
      </c>
      <c r="K11" s="33"/>
      <c r="L11" s="33"/>
      <c r="M11" s="33"/>
      <c r="N11" s="33">
        <f>$C$31*'E Balans VL '!Y11/100/3.6*1000000</f>
        <v>0.74514648504975978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54</v>
      </c>
      <c r="C13" s="243">
        <f ca="1">'lokale energieproductie'!O39+'lokale energieproductie'!O32</f>
        <v>77.142857142857139</v>
      </c>
      <c r="D13" s="304">
        <f ca="1">('lokale energieproductie'!P32+'lokale energieproductie'!P39)*(-1)</f>
        <v>-154.28571428571431</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12887.130564221205</v>
      </c>
      <c r="C16" s="21">
        <f t="shared" ca="1" si="1"/>
        <v>77.142857142857139</v>
      </c>
      <c r="D16" s="21">
        <f t="shared" ca="1" si="1"/>
        <v>16360.135541652562</v>
      </c>
      <c r="E16" s="21">
        <f t="shared" si="1"/>
        <v>65.534276554988011</v>
      </c>
      <c r="F16" s="21">
        <f t="shared" ca="1" si="1"/>
        <v>2293.8691187024897</v>
      </c>
      <c r="G16" s="21">
        <f t="shared" si="1"/>
        <v>0</v>
      </c>
      <c r="H16" s="21">
        <f t="shared" si="1"/>
        <v>0</v>
      </c>
      <c r="I16" s="21">
        <f t="shared" si="1"/>
        <v>0</v>
      </c>
      <c r="J16" s="21">
        <f t="shared" si="1"/>
        <v>1.3650888057011932E-2</v>
      </c>
      <c r="K16" s="21">
        <f t="shared" si="1"/>
        <v>0</v>
      </c>
      <c r="L16" s="21">
        <f t="shared" ca="1" si="1"/>
        <v>0</v>
      </c>
      <c r="M16" s="21">
        <f t="shared" si="1"/>
        <v>0</v>
      </c>
      <c r="N16" s="21">
        <f t="shared" ca="1" si="1"/>
        <v>529.87138872959463</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0.2089764299799696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2693.1065379966985</v>
      </c>
      <c r="C20" s="23">
        <f t="shared" ref="C20:P20" ca="1" si="2">C16*C18</f>
        <v>18.3327731092437</v>
      </c>
      <c r="D20" s="23">
        <f t="shared" ca="1" si="2"/>
        <v>3304.7473794138177</v>
      </c>
      <c r="E20" s="23">
        <f t="shared" si="2"/>
        <v>14.876280777982279</v>
      </c>
      <c r="F20" s="23">
        <f t="shared" ca="1" si="2"/>
        <v>612.4630546935648</v>
      </c>
      <c r="G20" s="23">
        <f t="shared" si="2"/>
        <v>0</v>
      </c>
      <c r="H20" s="23">
        <f t="shared" si="2"/>
        <v>0</v>
      </c>
      <c r="I20" s="23">
        <f t="shared" si="2"/>
        <v>0</v>
      </c>
      <c r="J20" s="23">
        <f t="shared" si="2"/>
        <v>4.8324143721822236E-3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3025.6751596526601</v>
      </c>
      <c r="C26" s="39">
        <f>IF(ISERROR(B26*3.6/1000000/'E Balans VL '!Z12*100),0,B26*3.6/1000000/'E Balans VL '!Z12*100)</f>
        <v>8.6806335598952164E-2</v>
      </c>
      <c r="D26" s="233" t="s">
        <v>835</v>
      </c>
      <c r="F26" s="6"/>
    </row>
    <row r="27" spans="1:18" ht="30">
      <c r="A27" s="228" t="s">
        <v>52</v>
      </c>
      <c r="B27" s="33">
        <f>IF(ISERROR(TER_horeca_ele_kWh/1000),0,TER_horeca_ele_kWh/1000)</f>
        <v>1440.8530423566899</v>
      </c>
      <c r="C27" s="39">
        <f>IF(ISERROR(B27*3.6/1000000/'E Balans VL '!Z9*100),0,B27*3.6/1000000/'E Balans VL '!Z9*100)</f>
        <v>0.1055574039962649</v>
      </c>
      <c r="D27" s="233" t="s">
        <v>835</v>
      </c>
      <c r="F27" s="6"/>
    </row>
    <row r="28" spans="1:18" ht="30">
      <c r="A28" s="168" t="s">
        <v>51</v>
      </c>
      <c r="B28" s="33">
        <f>IF(ISERROR(TER_handel_ele_kWh/1000),0,TER_handel_ele_kWh/1000)</f>
        <v>5919.1525261797005</v>
      </c>
      <c r="C28" s="39">
        <f>IF(ISERROR(B28*3.6/1000000/'E Balans VL '!Z13*100),0,B28*3.6/1000000/'E Balans VL '!Z13*100)</f>
        <v>0.18290680557606309</v>
      </c>
      <c r="D28" s="233" t="s">
        <v>835</v>
      </c>
      <c r="F28" s="6"/>
    </row>
    <row r="29" spans="1:18" ht="30">
      <c r="A29" s="228" t="s">
        <v>50</v>
      </c>
      <c r="B29" s="33">
        <f>IF(ISERROR(TER_gezond_ele_kWh/1000),0,TER_gezond_ele_kWh/1000)</f>
        <v>861.15960841368394</v>
      </c>
      <c r="C29" s="39">
        <f>IF(ISERROR(B29*3.6/1000000/'E Balans VL '!Z10*100),0,B29*3.6/1000000/'E Balans VL '!Z10*100)</f>
        <v>8.4398936856219894E-2</v>
      </c>
      <c r="D29" s="233" t="s">
        <v>835</v>
      </c>
      <c r="F29" s="6"/>
    </row>
    <row r="30" spans="1:18" ht="30">
      <c r="A30" s="228" t="s">
        <v>49</v>
      </c>
      <c r="B30" s="33">
        <f>IF(ISERROR(TER_ander_ele_kWh/1000),0,TER_ander_ele_kWh/1000)</f>
        <v>1349.67923209534</v>
      </c>
      <c r="C30" s="39">
        <f>IF(ISERROR(B30*3.6/1000000/'E Balans VL '!Z14*100),0,B30*3.6/1000000/'E Balans VL '!Z14*100)</f>
        <v>5.5908073953632474E-2</v>
      </c>
      <c r="D30" s="233" t="s">
        <v>835</v>
      </c>
      <c r="F30" s="6"/>
    </row>
    <row r="31" spans="1:18" ht="30">
      <c r="A31" s="228" t="s">
        <v>54</v>
      </c>
      <c r="B31" s="33">
        <f>IF(ISERROR(TER_onderwijs_ele_kWh/1000),0,TER_onderwijs_ele_kWh/1000)</f>
        <v>236.61099552313098</v>
      </c>
      <c r="C31" s="39">
        <f>IF(ISERROR(B31*3.6/1000000/'E Balans VL '!Z11*100),0,B31*3.6/1000000/'E Balans VL '!Z11*100)</f>
        <v>7.2703365330053241E-2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78020.632213672245</v>
      </c>
      <c r="C5" s="17">
        <f>IF(ISERROR('Eigen informatie GS &amp; warmtenet'!B61),0,'Eigen informatie GS &amp; warmtenet'!B61)</f>
        <v>0</v>
      </c>
      <c r="D5" s="30">
        <f>SUM(D6:D15)</f>
        <v>38495.41723018654</v>
      </c>
      <c r="E5" s="17">
        <f>SUM(E6:E15)</f>
        <v>184.08188849764662</v>
      </c>
      <c r="F5" s="17">
        <f>SUM(F6:F15)</f>
        <v>2413.7184562862349</v>
      </c>
      <c r="G5" s="18"/>
      <c r="H5" s="17"/>
      <c r="I5" s="17"/>
      <c r="J5" s="17">
        <f>SUM(J6:J15)</f>
        <v>44.691108425161175</v>
      </c>
      <c r="K5" s="17"/>
      <c r="L5" s="17"/>
      <c r="M5" s="17"/>
      <c r="N5" s="17">
        <f>SUM(N6:N15)</f>
        <v>3711.226723598405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552.36992920997398</v>
      </c>
      <c r="C8" s="33"/>
      <c r="D8" s="37">
        <f>IF( ISERROR(IND_metaal_Gas_kWH/1000),0,IND_metaal_Gas_kWH/1000)*0.903</f>
        <v>169.83191053307095</v>
      </c>
      <c r="E8" s="33">
        <f>C30*'E Balans VL '!I18/100/3.6*1000000</f>
        <v>3.0110546303413481</v>
      </c>
      <c r="F8" s="33">
        <f>C30*'E Balans VL '!L18/100/3.6*1000000+C30*'E Balans VL '!N18/100/3.6*1000000</f>
        <v>35.572665632629757</v>
      </c>
      <c r="G8" s="34"/>
      <c r="H8" s="33"/>
      <c r="I8" s="33"/>
      <c r="J8" s="40">
        <f>C30*'E Balans VL '!D18/100/3.6*1000000+C30*'E Balans VL '!E18/100/3.6*1000000</f>
        <v>0.45245834922756756</v>
      </c>
      <c r="K8" s="33"/>
      <c r="L8" s="33"/>
      <c r="M8" s="33"/>
      <c r="N8" s="33">
        <f>C30*'E Balans VL '!Y18/100/3.6*1000000</f>
        <v>11.933587316246006</v>
      </c>
      <c r="O8" s="33"/>
      <c r="P8" s="33"/>
      <c r="R8" s="32"/>
    </row>
    <row r="9" spans="1:18">
      <c r="A9" s="6" t="s">
        <v>32</v>
      </c>
      <c r="B9" s="37">
        <f t="shared" si="0"/>
        <v>1124.1814404554</v>
      </c>
      <c r="C9" s="33"/>
      <c r="D9" s="37">
        <f>IF( ISERROR(IND_andere_gas_kWh/1000),0,IND_andere_gas_kWh/1000)*0.903</f>
        <v>1230.4199187941349</v>
      </c>
      <c r="E9" s="33">
        <f>C31*'E Balans VL '!I19/100/3.6*1000000</f>
        <v>3.6290491385139778</v>
      </c>
      <c r="F9" s="33">
        <f>C31*'E Balans VL '!L19/100/3.6*1000000+C31*'E Balans VL '!N19/100/3.6*1000000</f>
        <v>726.90454429181489</v>
      </c>
      <c r="G9" s="34"/>
      <c r="H9" s="33"/>
      <c r="I9" s="33"/>
      <c r="J9" s="40">
        <f>C31*'E Balans VL '!D19/100/3.6*1000000+C31*'E Balans VL '!E19/100/3.6*1000000</f>
        <v>0</v>
      </c>
      <c r="K9" s="33"/>
      <c r="L9" s="33"/>
      <c r="M9" s="33"/>
      <c r="N9" s="33">
        <f>C31*'E Balans VL '!Y19/100/3.6*1000000</f>
        <v>45.426873465356834</v>
      </c>
      <c r="O9" s="33"/>
      <c r="P9" s="33"/>
      <c r="R9" s="32"/>
    </row>
    <row r="10" spans="1:18">
      <c r="A10" s="6" t="s">
        <v>40</v>
      </c>
      <c r="B10" s="37">
        <f t="shared" si="0"/>
        <v>74836.506210657506</v>
      </c>
      <c r="C10" s="33"/>
      <c r="D10" s="37">
        <f>IF( ISERROR(IND_voed_gas_kWh/1000),0,IND_voed_gas_kWh/1000)*0.903</f>
        <v>36771.277289734069</v>
      </c>
      <c r="E10" s="33">
        <f>C32*'E Balans VL '!I20/100/3.6*1000000</f>
        <v>156.8756574664842</v>
      </c>
      <c r="F10" s="33">
        <f>C32*'E Balans VL '!L20/100/3.6*1000000+C32*'E Balans VL '!N20/100/3.6*1000000</f>
        <v>1458.0737667558785</v>
      </c>
      <c r="G10" s="34"/>
      <c r="H10" s="33"/>
      <c r="I10" s="33"/>
      <c r="J10" s="40">
        <f>C32*'E Balans VL '!D20/100/3.6*1000000+C32*'E Balans VL '!E20/100/3.6*1000000</f>
        <v>0</v>
      </c>
      <c r="K10" s="33"/>
      <c r="L10" s="33"/>
      <c r="M10" s="33"/>
      <c r="N10" s="33">
        <f>C32*'E Balans VL '!Y20/100/3.6*1000000</f>
        <v>2976.7887398573066</v>
      </c>
      <c r="O10" s="33"/>
      <c r="P10" s="33"/>
      <c r="R10" s="32"/>
    </row>
    <row r="11" spans="1:18">
      <c r="A11" s="6" t="s">
        <v>39</v>
      </c>
      <c r="B11" s="37">
        <f t="shared" si="0"/>
        <v>197.37792167812501</v>
      </c>
      <c r="C11" s="33"/>
      <c r="D11" s="37">
        <f>IF( ISERROR(IND_textiel_gas_kWh/1000),0,IND_textiel_gas_kWh/1000)*0.903</f>
        <v>0</v>
      </c>
      <c r="E11" s="33">
        <f>C33*'E Balans VL '!I21/100/3.6*1000000</f>
        <v>0.16960091482398817</v>
      </c>
      <c r="F11" s="33">
        <f>C33*'E Balans VL '!L21/100/3.6*1000000+C33*'E Balans VL '!N21/100/3.6*1000000</f>
        <v>4.1382329830028608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1235.3183514221701</v>
      </c>
      <c r="C12" s="33"/>
      <c r="D12" s="37">
        <f>IF( ISERROR(IND_min_gas_kWh/1000),0,IND_min_gas_kWh/1000)*0.903</f>
        <v>234.48466212012841</v>
      </c>
      <c r="E12" s="33">
        <f>C34*'E Balans VL '!I22/100/3.6*1000000</f>
        <v>20.216057564225299</v>
      </c>
      <c r="F12" s="33">
        <f>C34*'E Balans VL '!L22/100/3.6*1000000+C34*'E Balans VL '!N22/100/3.6*1000000</f>
        <v>188.55198672342215</v>
      </c>
      <c r="G12" s="34"/>
      <c r="H12" s="33"/>
      <c r="I12" s="33"/>
      <c r="J12" s="40">
        <f>C34*'E Balans VL '!D22/100/3.6*1000000+C34*'E Balans VL '!E22/100/3.6*1000000</f>
        <v>44.207801282759611</v>
      </c>
      <c r="K12" s="33"/>
      <c r="L12" s="33"/>
      <c r="M12" s="33"/>
      <c r="N12" s="33">
        <f>C34*'E Balans VL '!Y22/100/3.6*1000000</f>
        <v>676.98067480739724</v>
      </c>
      <c r="O12" s="33"/>
      <c r="P12" s="33"/>
      <c r="R12" s="32"/>
    </row>
    <row r="13" spans="1:18">
      <c r="A13" s="6" t="s">
        <v>38</v>
      </c>
      <c r="B13" s="37">
        <f t="shared" si="0"/>
        <v>71.812942300002987</v>
      </c>
      <c r="C13" s="33"/>
      <c r="D13" s="37">
        <f>IF( ISERROR(IND_papier_gas_kWh/1000),0,IND_papier_gas_kWh/1000)*0.903</f>
        <v>71.588994711094088</v>
      </c>
      <c r="E13" s="33">
        <f>C35*'E Balans VL '!I23/100/3.6*1000000</f>
        <v>0</v>
      </c>
      <c r="F13" s="33">
        <f>C35*'E Balans VL '!L23/100/3.6*1000000+C35*'E Balans VL '!N23/100/3.6*1000000</f>
        <v>9.6195700232466E-3</v>
      </c>
      <c r="G13" s="34"/>
      <c r="H13" s="33"/>
      <c r="I13" s="33"/>
      <c r="J13" s="40">
        <f>C35*'E Balans VL '!D23/100/3.6*1000000+C35*'E Balans VL '!E23/100/3.6*1000000</f>
        <v>1.4205051831863619E-2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3.0654179490505005</v>
      </c>
      <c r="C15" s="33"/>
      <c r="D15" s="37">
        <f>IF( ISERROR(IND_rest_gas_kWh/1000),0,IND_rest_gas_kWh/1000)*0.903</f>
        <v>17.814454294039514</v>
      </c>
      <c r="E15" s="33">
        <f>C37*'E Balans VL '!I15/100/3.6*1000000</f>
        <v>0.18046878325777074</v>
      </c>
      <c r="F15" s="33">
        <f>C37*'E Balans VL '!L15/100/3.6*1000000+C37*'E Balans VL '!N15/100/3.6*1000000</f>
        <v>0.4676403294628303</v>
      </c>
      <c r="G15" s="34"/>
      <c r="H15" s="33"/>
      <c r="I15" s="33"/>
      <c r="J15" s="40">
        <f>C37*'E Balans VL '!D15/100/3.6*1000000+C37*'E Balans VL '!E15/100/3.6*1000000</f>
        <v>1.6643741342128426E-2</v>
      </c>
      <c r="K15" s="33"/>
      <c r="L15" s="33"/>
      <c r="M15" s="33"/>
      <c r="N15" s="33">
        <f>C37*'E Balans VL '!Y15/100/3.6*1000000</f>
        <v>9.6848152097951806E-2</v>
      </c>
      <c r="O15" s="33"/>
      <c r="P15" s="33"/>
      <c r="R15" s="32"/>
    </row>
    <row r="16" spans="1:18">
      <c r="A16" s="16" t="s">
        <v>467</v>
      </c>
      <c r="B16" s="243">
        <f>'lokale energieproductie'!N38+'lokale energieproductie'!N31</f>
        <v>2236.5</v>
      </c>
      <c r="C16" s="243">
        <f>'lokale energieproductie'!O38+'lokale energieproductie'!O31</f>
        <v>3195</v>
      </c>
      <c r="D16" s="304">
        <f>('lokale energieproductie'!P31+'lokale energieproductie'!P38)*(-1)</f>
        <v>-6390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80257.132213672245</v>
      </c>
      <c r="C18" s="21">
        <f>C5+C16</f>
        <v>3195</v>
      </c>
      <c r="D18" s="21">
        <f>MAX((D5+D16),0)</f>
        <v>32105.41723018654</v>
      </c>
      <c r="E18" s="21">
        <f>MAX((E5+E16),0)</f>
        <v>184.08188849764662</v>
      </c>
      <c r="F18" s="21">
        <f>MAX((F5+F16),0)</f>
        <v>2413.7184562862349</v>
      </c>
      <c r="G18" s="21"/>
      <c r="H18" s="21"/>
      <c r="I18" s="21"/>
      <c r="J18" s="21">
        <f>MAX((J5+J16),0)</f>
        <v>44.691108425161175</v>
      </c>
      <c r="K18" s="21"/>
      <c r="L18" s="21">
        <f>MAX((L5+L16),0)</f>
        <v>0</v>
      </c>
      <c r="M18" s="21"/>
      <c r="N18" s="21">
        <f>MAX((N5+N16),0)</f>
        <v>3711.226723598405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0.2089764299799696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16771.84897044364</v>
      </c>
      <c r="C22" s="23">
        <f ca="1">C18*C20</f>
        <v>759.28235294117667</v>
      </c>
      <c r="D22" s="23">
        <f>D18*D20</f>
        <v>6485.2942804976819</v>
      </c>
      <c r="E22" s="23">
        <f>E18*E20</f>
        <v>41.786588688965786</v>
      </c>
      <c r="F22" s="23">
        <f>F18*F20</f>
        <v>644.46282782842479</v>
      </c>
      <c r="G22" s="23"/>
      <c r="H22" s="23"/>
      <c r="I22" s="23"/>
      <c r="J22" s="23">
        <f>J18*J20</f>
        <v>15.820652382507054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552.36992920997398</v>
      </c>
      <c r="C30" s="39">
        <f>IF(ISERROR(B30*3.6/1000000/'E Balans VL '!Z18*100),0,B30*3.6/1000000/'E Balans VL '!Z18*100)</f>
        <v>3.3262202516219079E-2</v>
      </c>
      <c r="D30" s="233" t="s">
        <v>835</v>
      </c>
    </row>
    <row r="31" spans="1:18" ht="30">
      <c r="A31" s="6" t="s">
        <v>32</v>
      </c>
      <c r="B31" s="37">
        <f>IF( ISERROR(IND_ander_ele_kWh/1000),0,IND_ander_ele_kWh/1000)</f>
        <v>1124.1814404554</v>
      </c>
      <c r="C31" s="39">
        <f>IF(ISERROR(B31*3.6/1000000/'E Balans VL '!Z19*100),0,B31*3.6/1000000/'E Balans VL '!Z19*100)</f>
        <v>4.5801479207566081E-2</v>
      </c>
      <c r="D31" s="233" t="s">
        <v>835</v>
      </c>
    </row>
    <row r="32" spans="1:18" ht="30">
      <c r="A32" s="168" t="s">
        <v>40</v>
      </c>
      <c r="B32" s="37">
        <f>IF( ISERROR(IND_voed_ele_kWh/1000),0,IND_voed_ele_kWh/1000)</f>
        <v>74836.506210657506</v>
      </c>
      <c r="C32" s="39">
        <f>IF(ISERROR(B32*3.6/1000000/'E Balans VL '!Z20*100),0,B32*3.6/1000000/'E Balans VL '!Z20*100)</f>
        <v>2.1638245591549548</v>
      </c>
      <c r="D32" s="233" t="s">
        <v>835</v>
      </c>
    </row>
    <row r="33" spans="1:5" ht="30">
      <c r="A33" s="168" t="s">
        <v>39</v>
      </c>
      <c r="B33" s="37">
        <f>IF( ISERROR(IND_textiel_ele_kWh/1000),0,IND_textiel_ele_kWh/1000)</f>
        <v>197.37792167812501</v>
      </c>
      <c r="C33" s="39">
        <f>IF(ISERROR(B33*3.6/1000000/'E Balans VL '!Z21*100),0,B33*3.6/1000000/'E Balans VL '!Z21*100)</f>
        <v>3.2459505229471421E-2</v>
      </c>
      <c r="D33" s="233" t="s">
        <v>835</v>
      </c>
    </row>
    <row r="34" spans="1:5" ht="30">
      <c r="A34" s="168" t="s">
        <v>36</v>
      </c>
      <c r="B34" s="37">
        <f>IF( ISERROR(IND_min_ele_kWh/1000),0,IND_min_ele_kWh/1000)</f>
        <v>1235.3183514221701</v>
      </c>
      <c r="C34" s="39">
        <f>IF(ISERROR(B34*3.6/1000000/'E Balans VL '!Z22*100),0,B34*3.6/1000000/'E Balans VL '!Z22*100)</f>
        <v>0.52746945717199534</v>
      </c>
      <c r="D34" s="233" t="s">
        <v>835</v>
      </c>
    </row>
    <row r="35" spans="1:5" ht="30">
      <c r="A35" s="168" t="s">
        <v>38</v>
      </c>
      <c r="B35" s="37">
        <f>IF( ISERROR(IND_papier_ele_kWh/1000),0,IND_papier_ele_kWh/1000)</f>
        <v>71.812942300002987</v>
      </c>
      <c r="C35" s="39">
        <f>IF(ISERROR(B35*3.6/1000000/'E Balans VL '!Z22*100),0,B35*3.6/1000000/'E Balans VL '!Z22*100)</f>
        <v>3.0663459058385842E-2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3.0654179490505005</v>
      </c>
      <c r="C37" s="39">
        <f>IF(ISERROR(B37*3.6/1000000/'E Balans VL '!Z15*100),0,B37*3.6/1000000/'E Balans VL '!Z15*100)</f>
        <v>2.5169403175384018E-5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1002.9349604709099</v>
      </c>
      <c r="C5" s="17">
        <f>'Eigen informatie GS &amp; warmtenet'!B62</f>
        <v>0</v>
      </c>
      <c r="D5" s="30">
        <f>IF(ISERROR(SUM(LB_lb_gas_kWh,LB_rest_gas_kWh)/1000),0,SUM(LB_lb_gas_kWh,LB_rest_gas_kWh)/1000)*0.903</f>
        <v>568.66050387727466</v>
      </c>
      <c r="E5" s="17">
        <f>B17*'E Balans VL '!I25/3.6*1000000/100</f>
        <v>28.725754544576471</v>
      </c>
      <c r="F5" s="17">
        <f>B17*('E Balans VL '!L25/3.6*1000000+'E Balans VL '!N25/3.6*1000000)/100</f>
        <v>3174.7740059439193</v>
      </c>
      <c r="G5" s="18"/>
      <c r="H5" s="17"/>
      <c r="I5" s="17"/>
      <c r="J5" s="17">
        <f>('E Balans VL '!D25+'E Balans VL '!E25)/3.6*1000000*landbouw!B17/100</f>
        <v>255.0148658909763</v>
      </c>
      <c r="K5" s="17"/>
      <c r="L5" s="17">
        <f>L6*(-1)</f>
        <v>0</v>
      </c>
      <c r="M5" s="17"/>
      <c r="N5" s="17">
        <f>N6*(-1)</f>
        <v>0</v>
      </c>
      <c r="O5" s="17"/>
      <c r="P5" s="17"/>
      <c r="R5" s="32"/>
    </row>
    <row r="6" spans="1:18">
      <c r="A6" s="16" t="s">
        <v>467</v>
      </c>
      <c r="B6" s="17" t="s">
        <v>204</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1002.9349604709099</v>
      </c>
      <c r="C8" s="21">
        <f>C5+C6</f>
        <v>0</v>
      </c>
      <c r="D8" s="21">
        <f>MAX((D5+D6),0)</f>
        <v>568.66050387727466</v>
      </c>
      <c r="E8" s="21">
        <f>MAX((E5+E6),0)</f>
        <v>28.725754544576471</v>
      </c>
      <c r="F8" s="21">
        <f>MAX((F5+F6),0)</f>
        <v>3174.7740059439193</v>
      </c>
      <c r="G8" s="21"/>
      <c r="H8" s="21"/>
      <c r="I8" s="21"/>
      <c r="J8" s="21">
        <f>MAX((J5+J6),0)</f>
        <v>255.0148658909763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0.2089764299799696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209.58976754131268</v>
      </c>
      <c r="C12" s="23">
        <f ca="1">C8*C10</f>
        <v>0</v>
      </c>
      <c r="D12" s="23">
        <f>D8*D10</f>
        <v>114.86942178320949</v>
      </c>
      <c r="E12" s="23">
        <f>E8*E10</f>
        <v>6.5207462816188588</v>
      </c>
      <c r="F12" s="23">
        <f>F8*F10</f>
        <v>847.66465958702645</v>
      </c>
      <c r="G12" s="23"/>
      <c r="H12" s="23"/>
      <c r="I12" s="23"/>
      <c r="J12" s="23">
        <f>J8*J10</f>
        <v>90.275262525405608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0.13888373994442096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140.80370814706177</v>
      </c>
      <c r="C26" s="243">
        <f>B26*'GWP N2O_CH4'!B5</f>
        <v>2956.8778710882971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31.029289874113584</v>
      </c>
      <c r="C27" s="243">
        <f>B27*'GWP N2O_CH4'!B5</f>
        <v>651.61508735638529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1.9096131973840007</v>
      </c>
      <c r="C28" s="243">
        <f>B28*'GWP N2O_CH4'!B4</f>
        <v>591.98009118904019</v>
      </c>
      <c r="D28" s="50"/>
    </row>
    <row r="29" spans="1:4">
      <c r="A29" s="41" t="s">
        <v>266</v>
      </c>
      <c r="B29" s="243">
        <f>B34*'ha_N2O bodem landbouw'!B4</f>
        <v>8.8804718192917846</v>
      </c>
      <c r="C29" s="243">
        <f>B29*'GWP N2O_CH4'!B4</f>
        <v>2752.9462639804533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2.0174842610729059E-3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7.9671900902848931E-4</v>
      </c>
      <c r="C5" s="432" t="s">
        <v>204</v>
      </c>
      <c r="D5" s="417">
        <f>SUM(D6:D11)</f>
        <v>1.6659375139039534E-3</v>
      </c>
      <c r="E5" s="417">
        <f>SUM(E6:E11)</f>
        <v>6.3923640393207318E-4</v>
      </c>
      <c r="F5" s="430" t="s">
        <v>204</v>
      </c>
      <c r="G5" s="417">
        <f>SUM(G6:G11)</f>
        <v>0.24875763161041164</v>
      </c>
      <c r="H5" s="417">
        <f>SUM(H6:H11)</f>
        <v>8.1123904182428458E-2</v>
      </c>
      <c r="I5" s="432" t="s">
        <v>204</v>
      </c>
      <c r="J5" s="432" t="s">
        <v>204</v>
      </c>
      <c r="K5" s="432" t="s">
        <v>204</v>
      </c>
      <c r="L5" s="432" t="s">
        <v>204</v>
      </c>
      <c r="M5" s="417">
        <f>SUM(M6:M11)</f>
        <v>2.0034239468585423E-2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2.4333687902407567E-4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4.0571223685302322E-4</v>
      </c>
      <c r="E6" s="884">
        <f>vkm_GW_PW*SUMIFS(TableVerdeelsleutelVkm[LPG],TableVerdeelsleutelVkm[Voertuigtype],"Lichte voertuigen")*SUMIFS(TableECFTransport[EnergieConsumptieFactor (PJ per km)],TableECFTransport[Index],CONCATENATE($A6,"_LPG_LPG"))</f>
        <v>1.6084840071096425E-4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4.8338984996282509E-2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1.9896838191548919E-2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4.1860665190731746E-3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6.3225256167984615E-7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2.5062890060564235E-2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1.8492785133922266E-7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1.4390687623165321E-3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5.5189450162223055E-4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1.2602252770509302E-3</v>
      </c>
      <c r="E8" s="420">
        <f>vkm_NGW_PW*SUMIFS(TableVerdeelsleutelVkm[LPG],TableVerdeelsleutelVkm[Voertuigtype],"Lichte voertuigen")*SUMIFS(TableECFTransport[EnergieConsumptieFactor (PJ per km)],TableECFTransport[Index],CONCATENATE($A8,"_LPG_LPG"))</f>
        <v>4.7838800322110887E-4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0.13169068852525961</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6.122657907818789E-2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1.1901931256989174E-2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8.5537582050319809E-7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4.3665068028305262E-2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3.0198484031389251E-7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2.5071729302065431E-3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221.31083584124704</v>
      </c>
      <c r="C14" s="21"/>
      <c r="D14" s="21">
        <f t="shared" ref="D14:M14" si="0">((D5)*10^9/3600)+D12</f>
        <v>462.76042052887595</v>
      </c>
      <c r="E14" s="21">
        <f t="shared" si="0"/>
        <v>177.5656677589092</v>
      </c>
      <c r="F14" s="21"/>
      <c r="G14" s="21">
        <f t="shared" si="0"/>
        <v>69099.34211400323</v>
      </c>
      <c r="H14" s="21">
        <f t="shared" si="0"/>
        <v>22534.417828452351</v>
      </c>
      <c r="I14" s="21"/>
      <c r="J14" s="21"/>
      <c r="K14" s="21"/>
      <c r="L14" s="21"/>
      <c r="M14" s="21">
        <f t="shared" si="0"/>
        <v>5565.0665190515065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0.2089764299799696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46.248748389986908</v>
      </c>
      <c r="C18" s="23"/>
      <c r="D18" s="23">
        <f t="shared" ref="D18:M18" si="1">D14*D16</f>
        <v>93.477604946832955</v>
      </c>
      <c r="E18" s="23">
        <f t="shared" si="1"/>
        <v>40.307406581272389</v>
      </c>
      <c r="F18" s="23"/>
      <c r="G18" s="23">
        <f t="shared" si="1"/>
        <v>18449.524344438862</v>
      </c>
      <c r="H18" s="23">
        <f t="shared" si="1"/>
        <v>5611.0700392846356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3.655068130308702E-5</v>
      </c>
      <c r="C50" s="315">
        <f t="shared" ref="C50:P50" si="2">SUM(C51:C52)</f>
        <v>0</v>
      </c>
      <c r="D50" s="315">
        <f t="shared" si="2"/>
        <v>0</v>
      </c>
      <c r="E50" s="315">
        <f t="shared" si="2"/>
        <v>0</v>
      </c>
      <c r="F50" s="315">
        <f t="shared" si="2"/>
        <v>0</v>
      </c>
      <c r="G50" s="315">
        <f t="shared" si="2"/>
        <v>2.2881831500218722E-3</v>
      </c>
      <c r="H50" s="315">
        <f t="shared" si="2"/>
        <v>0</v>
      </c>
      <c r="I50" s="315">
        <f t="shared" si="2"/>
        <v>0</v>
      </c>
      <c r="J50" s="315">
        <f t="shared" si="2"/>
        <v>0</v>
      </c>
      <c r="K50" s="315">
        <f t="shared" si="2"/>
        <v>0</v>
      </c>
      <c r="L50" s="315">
        <f t="shared" si="2"/>
        <v>0</v>
      </c>
      <c r="M50" s="315">
        <f t="shared" si="2"/>
        <v>1.313824099039734E-4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3.655068130308702E-5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2.2881831500218722E-3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1.313824099039734E-4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10.152967028635283</v>
      </c>
      <c r="C54" s="21">
        <f t="shared" ref="C54:P54" si="3">(C50)*10^9/3600</f>
        <v>0</v>
      </c>
      <c r="D54" s="21">
        <f t="shared" si="3"/>
        <v>0</v>
      </c>
      <c r="E54" s="21">
        <f t="shared" si="3"/>
        <v>0</v>
      </c>
      <c r="F54" s="21">
        <f t="shared" si="3"/>
        <v>0</v>
      </c>
      <c r="G54" s="21">
        <f t="shared" si="3"/>
        <v>635.6064305616311</v>
      </c>
      <c r="H54" s="21">
        <f t="shared" si="3"/>
        <v>0</v>
      </c>
      <c r="I54" s="21">
        <f t="shared" si="3"/>
        <v>0</v>
      </c>
      <c r="J54" s="21">
        <f t="shared" si="3"/>
        <v>0</v>
      </c>
      <c r="K54" s="21">
        <f t="shared" si="3"/>
        <v>0</v>
      </c>
      <c r="L54" s="21">
        <f t="shared" si="3"/>
        <v>0</v>
      </c>
      <c r="M54" s="21">
        <f t="shared" si="3"/>
        <v>36.495113862214836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0.2089764299799696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2.1217308033485414</v>
      </c>
      <c r="C58" s="23">
        <f t="shared" ref="C58:P58" ca="1" si="4">C54*C56</f>
        <v>0</v>
      </c>
      <c r="D58" s="23">
        <f t="shared" si="4"/>
        <v>0</v>
      </c>
      <c r="E58" s="23">
        <f t="shared" si="4"/>
        <v>0</v>
      </c>
      <c r="F58" s="23">
        <f t="shared" si="4"/>
        <v>0</v>
      </c>
      <c r="G58" s="23">
        <f t="shared" si="4"/>
        <v>169.70691695995552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7178.7899828832578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2290.5</v>
      </c>
      <c r="C8" s="543">
        <f>B49</f>
        <v>2694.7058823529414</v>
      </c>
      <c r="D8" s="544"/>
      <c r="E8" s="544">
        <f>E49</f>
        <v>0</v>
      </c>
      <c r="F8" s="545"/>
      <c r="G8" s="546"/>
      <c r="H8" s="544">
        <f>I49</f>
        <v>0</v>
      </c>
      <c r="I8" s="544">
        <f>G49+F49</f>
        <v>0</v>
      </c>
      <c r="J8" s="544">
        <f>H49+D49+C49</f>
        <v>0</v>
      </c>
      <c r="K8" s="544"/>
      <c r="L8" s="544"/>
      <c r="M8" s="544"/>
      <c r="N8" s="547"/>
      <c r="O8" s="548">
        <f>C8*$C$12+D8*$D$12+E8*$E$12+F8*$F$12+G8*$G$12+H8*$H$12+I8*$I$12+J8*$J$12</f>
        <v>544.33058823529416</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9469.2899828832578</v>
      </c>
      <c r="C10" s="558">
        <f t="shared" ref="C10:L10" si="0">SUM(C8:C9)</f>
        <v>2694.7058823529414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544.33058823529416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3272.1428571428573</v>
      </c>
      <c r="C17" s="574">
        <f>B50</f>
        <v>3849.5798319327737</v>
      </c>
      <c r="D17" s="575"/>
      <c r="E17" s="575">
        <f>E50</f>
        <v>0</v>
      </c>
      <c r="F17" s="576"/>
      <c r="G17" s="577"/>
      <c r="H17" s="574">
        <f>I50</f>
        <v>0</v>
      </c>
      <c r="I17" s="575">
        <f>G50+F50</f>
        <v>0</v>
      </c>
      <c r="J17" s="575">
        <f>H50+D50+C50</f>
        <v>0</v>
      </c>
      <c r="K17" s="575"/>
      <c r="L17" s="575"/>
      <c r="M17" s="575"/>
      <c r="N17" s="960"/>
      <c r="O17" s="578">
        <f>C17*$C$22+E17*$E$22+H17*$H$22+I17*$I$22+J17*$J$22+D17*$D$22+F17*$F$22+G17*$G$22+K17*$K$22+L17*$L$22</f>
        <v>777.61512605042037</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3272.1428571428573</v>
      </c>
      <c r="C20" s="557">
        <f>SUM(C17:C19)</f>
        <v>3849.5798319327737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777.61512605042037</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51" hidden="1">
      <c r="A28" s="587"/>
      <c r="B28" s="785">
        <v>42011</v>
      </c>
      <c r="C28" s="785">
        <v>9280</v>
      </c>
      <c r="D28" s="635"/>
      <c r="E28" s="634"/>
      <c r="F28" s="634"/>
      <c r="G28" s="634" t="s">
        <v>868</v>
      </c>
      <c r="H28" s="634" t="s">
        <v>869</v>
      </c>
      <c r="I28" s="634"/>
      <c r="J28" s="784"/>
      <c r="K28" s="784"/>
      <c r="L28" s="634" t="s">
        <v>870</v>
      </c>
      <c r="M28" s="634">
        <v>12</v>
      </c>
      <c r="N28" s="634">
        <v>54</v>
      </c>
      <c r="O28" s="634">
        <v>77.142857142857139</v>
      </c>
      <c r="P28" s="634">
        <v>154.28571428571431</v>
      </c>
      <c r="Q28" s="634">
        <v>0</v>
      </c>
      <c r="R28" s="634">
        <v>0</v>
      </c>
      <c r="S28" s="634">
        <v>0</v>
      </c>
      <c r="T28" s="634">
        <v>0</v>
      </c>
      <c r="U28" s="634">
        <v>0</v>
      </c>
      <c r="V28" s="634">
        <v>0</v>
      </c>
      <c r="W28" s="634">
        <v>0</v>
      </c>
      <c r="X28" s="634">
        <v>1500</v>
      </c>
      <c r="Y28" s="634" t="s">
        <v>50</v>
      </c>
      <c r="Z28" s="636" t="s">
        <v>149</v>
      </c>
    </row>
    <row r="29" spans="1:26" s="588" customFormat="1" ht="25.5" hidden="1">
      <c r="A29" s="587"/>
      <c r="B29" s="785">
        <v>42011</v>
      </c>
      <c r="C29" s="785">
        <v>9280</v>
      </c>
      <c r="D29" s="635"/>
      <c r="E29" s="634"/>
      <c r="F29" s="634"/>
      <c r="G29" s="634" t="s">
        <v>868</v>
      </c>
      <c r="H29" s="634" t="s">
        <v>869</v>
      </c>
      <c r="I29" s="634"/>
      <c r="J29" s="784"/>
      <c r="K29" s="784"/>
      <c r="L29" s="634" t="s">
        <v>870</v>
      </c>
      <c r="M29" s="634">
        <v>497</v>
      </c>
      <c r="N29" s="634">
        <v>2236.5</v>
      </c>
      <c r="O29" s="634">
        <v>3195</v>
      </c>
      <c r="P29" s="634">
        <v>6390</v>
      </c>
      <c r="Q29" s="634">
        <v>0</v>
      </c>
      <c r="R29" s="634">
        <v>0</v>
      </c>
      <c r="S29" s="634">
        <v>0</v>
      </c>
      <c r="T29" s="634">
        <v>0</v>
      </c>
      <c r="U29" s="634">
        <v>0</v>
      </c>
      <c r="V29" s="634">
        <v>0</v>
      </c>
      <c r="W29" s="634">
        <v>0</v>
      </c>
      <c r="X29" s="634">
        <v>500</v>
      </c>
      <c r="Y29" s="634" t="s">
        <v>40</v>
      </c>
      <c r="Z29" s="636" t="s">
        <v>373</v>
      </c>
    </row>
    <row r="30" spans="1:26" s="568" customFormat="1" hidden="1">
      <c r="A30" s="590" t="s">
        <v>269</v>
      </c>
      <c r="B30" s="591"/>
      <c r="C30" s="591"/>
      <c r="D30" s="591"/>
      <c r="E30" s="591"/>
      <c r="F30" s="591"/>
      <c r="G30" s="591"/>
      <c r="H30" s="591"/>
      <c r="I30" s="591"/>
      <c r="J30" s="591"/>
      <c r="K30" s="591"/>
      <c r="L30" s="592"/>
      <c r="M30" s="592">
        <f>SUM(M28:M29)</f>
        <v>509</v>
      </c>
      <c r="N30" s="592">
        <f>SUM(N28:N29)</f>
        <v>2290.5</v>
      </c>
      <c r="O30" s="592">
        <f>SUM(O28:O29)</f>
        <v>3272.1428571428573</v>
      </c>
      <c r="P30" s="592">
        <f>SUM(P28:P29)</f>
        <v>6544.2857142857147</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497</v>
      </c>
      <c r="N31" s="592">
        <f>SUMIF($Z$28:$Z$29,"industrie",N28:N29)</f>
        <v>2236.5</v>
      </c>
      <c r="O31" s="592">
        <f>SUMIF($Z$28:$Z$29,"industrie",O28:O29)</f>
        <v>3195</v>
      </c>
      <c r="P31" s="592">
        <f>SUMIF($Z$28:$Z$29,"industrie",P28:P29)</f>
        <v>6390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12</v>
      </c>
      <c r="N32" s="592">
        <f ca="1">SUMIF($Z$28:AD29,"tertiair",N28:N29)</f>
        <v>54</v>
      </c>
      <c r="O32" s="592">
        <f ca="1">SUMIF($Z$28:AE29,"tertiair",O28:O29)</f>
        <v>77.142857142857139</v>
      </c>
      <c r="P32" s="592">
        <f ca="1">SUMIF($Z$28:AF29,"tertiair",P28:P29)</f>
        <v>154.28571428571431</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0.41176470588235298</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2694.7058823529414</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3849.5798319327737</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2021-11-11T12:19:08Z</dcterms:modified>
</cp:coreProperties>
</file>