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B63009E-106D-4B2D-9ED9-DE5E938584C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2" i="59"/>
  <c r="C18" i="15"/>
  <c r="C20" i="15" s="1"/>
  <c r="D40" i="14" s="1"/>
  <c r="C10" i="13"/>
  <c r="C12" i="13" s="1"/>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<sst xmlns="http://schemas.openxmlformats.org/spreadsheetml/2006/main" count="2422" uniqueCount="871">
  <si>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</si>
  <si>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</si>
  <si>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</si>
  <si>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</si>
  <si>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</si>
  <si>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</si>
  <si>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</si>
  <si>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</si>
  <si>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</si>
  <si>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</si>
  <si>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</si>
  <si>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</si>
  <si>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</si>
  <si>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</si>
  <si>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</si>
  <si>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</si>
  <si>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</si>
  <si>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</si>
  <si>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</si>
  <si>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</si>
  <si>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</si>
  <si>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</si>
  <si>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</si>
  <si>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</si>
  <si>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</si>
  <si>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</si>
  <si>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</si>
  <si>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</si>
  <si>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</si>
  <si>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</si>
  <si>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</si>
  <si>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</si>
  <si>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</si>
  <si>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</si>
  <si>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</si>
  <si>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</si>
  <si>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</si>
  <si>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</si>
  <si>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</si>
  <si>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</si>
  <si>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</si>
  <si>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</si>
  <si>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</si>
  <si>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</si>
  <si>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</si>
  <si>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</si>
  <si>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</si>
  <si>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</si>
  <si>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</si>
  <si>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</si>
  <si>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</si>
  <si>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</si>
  <si>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</si>
  <si>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</si>
  <si>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</si>
  <si>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</si>
  <si>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</si>
  <si>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</si>
  <si>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</si>
  <si>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</si>
  <si>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</si>
  <si>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</si>
  <si>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</si>
  <si>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</si>
  <si>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</si>
  <si>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</si>
  <si>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</si>
  <si>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</si>
  <si>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</si>
  <si>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</si>
  <si>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</si>
  <si>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</si>
  <si>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</si>
  <si>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</si>
  <si>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</si>
  <si>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</si>
  <si>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</si>
  <si>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</si>
  <si>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</si>
  <si>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</si>
  <si>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</si>
  <si>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</si>
  <si>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</si>
  <si>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</si>
  <si>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</si>
  <si>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</si>
  <si>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</si>
  <si>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</si>
  <si>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</si>
  <si>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</si>
  <si>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</si>
  <si>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</si>
  <si>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</si>
  <si>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</si>
  <si>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</si>
  <si>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</si>
  <si>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</si>
  <si>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</si>
  <si>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</si>
  <si>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</si>
  <si>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</si>
  <si>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</si>
  <si>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</si>
  <si>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</si>
  <si>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</si>
  <si>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</si>
  <si>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</si>
  <si>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</si>
  <si>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</si>
  <si>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</si>
  <si>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</si>
  <si>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</si>
  <si>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</si>
  <si>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</si>
  <si>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</si>
  <si>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</si>
  <si>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</si>
  <si>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</si>
  <si>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</si>
  <si>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</si>
  <si>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</si>
  <si>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</si>
  <si>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</si>
  <si>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</si>
  <si>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</si>
  <si>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</si>
  <si>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</si>
  <si>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</si>
  <si>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</si>
  <si>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</si>
  <si>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</si>
  <si>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</si>
  <si>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</si>
  <si>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</si>
  <si>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</si>
  <si>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</si>
  <si>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</si>
  <si>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</si>
  <si>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</si>
  <si>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</si>
  <si>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</si>
  <si>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</si>
  <si>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</si>
  <si>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</si>
  <si>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</si>
  <si>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</si>
  <si>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</si>
  <si>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</si>
  <si>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</si>
  <si>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</si>
  <si>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</si>
  <si>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</si>
  <si>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</si>
  <si>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</si>
  <si>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</si>
  <si>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</si>
  <si>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</si>
  <si>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</si>
  <si>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</si>
  <si>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</si>
  <si>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</si>
  <si>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</si>
  <si>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</si>
  <si>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</si>
  <si>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</si>
  <si>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</si>
  <si>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</si>
  <si>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</si>
  <si>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</si>
  <si>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</si>
  <si>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</si>
  <si>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</si>
  <si>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</si>
  <si>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</si>
  <si>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</si>
  <si>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</si>
  <si>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</si>
  <si>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</si>
  <si>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</si>
  <si>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</si>
  <si>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</si>
  <si>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</si>
  <si>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</si>
  <si>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</si>
  <si>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</si>
  <si>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</si>
  <si>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</si>
  <si>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</si>
  <si>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</si>
  <si>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</si>
  <si>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</si>
  <si>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</si>
  <si>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</si>
  <si>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</si>
  <si>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</si>
  <si>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</si>
  <si>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</si>
  <si>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</si>
  <si>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</si>
  <si>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</si>
  <si>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</si>
  <si>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</si>
  <si>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</si>
  <si>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</si>
  <si>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</si>
  <si>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</si>
  <si>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</si>
  <si>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</si>
  <si>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</si>
  <si>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</si>
  <si>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</si>
  <si>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</si>
  <si>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</si>
  <si>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</si>
  <si>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</si>
  <si>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</si>
  <si>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</si>
  <si>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</si>
  <si>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</si>
  <si>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</si>
  <si>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</si>
  <si>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</si>
  <si>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</si>
  <si>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</si>
  <si>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</si>
  <si>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</si>
  <si>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</si>
  <si>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</si>
  <si>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</si>
  <si>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</si>
  <si>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</si>
  <si>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</si>
  <si>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</si>
  <si>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</si>
  <si>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</si>
  <si>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</si>
  <si>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</si>
  <si>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</si>
  <si>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</si>
  <si>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</si>
  <si>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</si>
  <si>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</si>
  <si>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</si>
  <si>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</si>
  <si>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</si>
  <si>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</si>
  <si>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</si>
  <si>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</si>
  <si>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</si>
  <si>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</si>
  <si>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</si>
  <si>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</si>
  <si>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</si>
  <si>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</si>
  <si>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</si>
  <si>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</si>
  <si>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</si>
  <si>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</si>
  <si>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</si>
  <si>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</si>
  <si>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</si>
  <si>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</si>
  <si>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</si>
  <si>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</si>
  <si>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</si>
  <si>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</si>
  <si>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</si>
  <si>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</si>
  <si>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</si>
  <si>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</si>
  <si>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</si>
  <si>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</si>
  <si>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</si>
  <si>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</si>
  <si>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</si>
  <si>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</si>
  <si>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</si>
  <si>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</si>
  <si>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</si>
  <si>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</si>
  <si>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</si>
  <si>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</si>
  <si>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</si>
  <si>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</si>
  <si>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</si>
  <si>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</si>
  <si>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</si>
  <si>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</si>
  <si>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</si>
  <si>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</si>
  <si>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</si>
  <si>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</si>
  <si>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</si>
  <si>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</si>
  <si>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</si>
  <si>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</si>
  <si>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</si>
  <si>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</si>
  <si>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</si>
  <si>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</si>
  <si>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</si>
  <si>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</si>
  <si>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</si>
  <si>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</si>
  <si>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</si>
  <si>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</si>
  <si>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</si>
  <si>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</si>
  <si>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</si>
  <si>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</si>
  <si>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</si>
  <si>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</si>
  <si>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</si>
  <si>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</si>
  <si>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</si>
  <si>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</si>
  <si>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</si>
  <si>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</si>
  <si>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</si>
  <si>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</si>
  <si>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</si>
  <si>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</si>
  <si>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</si>
  <si>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</si>
  <si>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</si>
  <si>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</si>
  <si>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</si>
  <si>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</si>
  <si>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</si>
  <si>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</si>
  <si>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</si>
  <si>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</si>
  <si>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</si>
  <si>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</si>
  <si>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</si>
  <si>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</si>
  <si>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</si>
  <si>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</si>
  <si>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</si>
  <si>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</si>
  <si>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</si>
  <si>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</si>
  <si>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</si>
  <si>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</si>
  <si>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</si>
  <si>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</si>
  <si>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</si>
  <si>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</si>
  <si>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</si>
  <si>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</si>
  <si>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</si>
  <si>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</si>
  <si>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</si>
  <si>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</si>
  <si>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</si>
  <si>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</si>
  <si>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</si>
  <si>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</si>
  <si>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</si>
  <si>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</si>
  <si>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</si>
  <si>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</si>
  <si>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</si>
  <si>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</si>
  <si>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</si>
  <si>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</si>
  <si>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</si>
  <si>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</si>
  <si>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</si>
  <si>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</si>
  <si>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</si>
  <si>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</si>
  <si>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</si>
  <si>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</si>
  <si>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</si>
  <si>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</si>
  <si>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</si>
  <si>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</si>
  <si>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</si>
  <si>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</si>
  <si>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</si>
  <si>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</si>
  <si>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</si>
  <si>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</si>
  <si>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</si>
  <si>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</si>
  <si>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</si>
  <si>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</si>
  <si>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</si>
  <si>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</si>
  <si>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</si>
  <si>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</si>
  <si>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</si>
  <si>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</si>
  <si>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</si>
  <si>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</si>
  <si>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</si>
  <si>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</si>
  <si>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</si>
  <si>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</si>
  <si>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</si>
  <si>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</si>
  <si>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</si>
  <si>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</si>
  <si>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</si>
  <si>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</si>
  <si>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</si>
  <si>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</si>
  <si>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</si>
  <si>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</si>
  <si>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</si>
  <si>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</si>
  <si>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</si>
  <si>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</si>
  <si>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</si>
  <si>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</si>
  <si>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</si>
  <si>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</si>
  <si>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</si>
  <si>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</si>
  <si>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</si>
  <si>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</si>
  <si>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</si>
  <si>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</si>
  <si>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</si>
  <si>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</si>
  <si>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</si>
  <si>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</si>
  <si>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</si>
  <si>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</si>
  <si>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</si>
  <si>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</si>
  <si>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</si>
  <si>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</si>
  <si>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</si>
  <si>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</si>
  <si>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</si>
  <si>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</si>
  <si>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</si>
  <si>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</si>
  <si>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</si>
  <si>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</si>
  <si>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</si>
  <si>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</si>
  <si>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</si>
  <si>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</si>
  <si>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</si>
  <si>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</si>
  <si>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</si>
  <si>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</si>
  <si>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</si>
  <si>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</si>
  <si>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</si>
  <si>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</si>
  <si>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</si>
  <si>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</si>
  <si>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</si>
  <si>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</si>
  <si>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</si>
  <si>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</si>
  <si>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</si>
  <si>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</si>
  <si>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</si>
  <si>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</si>
  <si>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</si>
  <si>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</si>
  <si>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</si>
  <si>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</si>
  <si>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</si>
  <si>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</si>
  <si>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</si>
  <si>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</si>
  <si>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</si>
  <si>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</si>
  <si>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</si>
  <si>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</si>
  <si>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</si>
  <si>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</si>
  <si>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</si>
  <si>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</si>
  <si>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</si>
  <si>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</si>
  <si>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</si>
  <si>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</si>
  <si>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</si>
  <si>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</si>
  <si>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</si>
  <si>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</si>
  <si>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</si>
  <si>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</si>
  <si>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</si>
  <si>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</si>
  <si>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</si>
  <si>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</si>
  <si>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</si>
  <si>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</si>
  <si>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</si>
  <si>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</si>
  <si>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</si>
  <si>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</si>
  <si>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</si>
  <si>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</si>
  <si>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</si>
  <si>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</si>
  <si>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</si>
  <si>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</si>
  <si>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</si>
  <si>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</si>
  <si>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</si>
  <si>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</si>
  <si>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</si>
  <si>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</si>
  <si>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</si>
  <si>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</si>
  <si>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</si>
  <si>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</si>
  <si>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</si>
  <si>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</si>
  <si>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</si>
  <si>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</si>
  <si>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</si>
  <si>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</si>
  <si>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</si>
  <si>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</si>
  <si>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</si>
  <si>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</si>
  <si>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</si>
  <si>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</si>
  <si>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</si>
  <si>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</si>
  <si>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</si>
  <si>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</si>
  <si>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</si>
  <si>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</si>
  <si>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</si>
  <si>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</si>
  <si>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</si>
  <si>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</si>
  <si>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</si>
  <si>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</si>
  <si>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</si>
  <si>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</si>
  <si>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</si>
  <si>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</si>
  <si>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</si>
  <si>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</si>
  <si>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</si>
  <si>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</si>
  <si>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</si>
  <si>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</si>
  <si>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</si>
  <si>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</si>
  <si>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</si>
  <si>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</si>
  <si>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</si>
  <si>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</si>
  <si>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</si>
  <si>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</si>
  <si>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</si>
  <si>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</si>
  <si>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</si>
  <si>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</si>
  <si>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</si>
  <si>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</si>
  <si>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</si>
  <si>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</si>
  <si>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</si>
  <si>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</si>
  <si>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</si>
  <si>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</si>
  <si>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</si>
  <si>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</si>
  <si>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</si>
  <si>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</si>
  <si>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</si>
  <si>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</si>
  <si>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</si>
  <si>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</si>
  <si>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</si>
  <si>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</si>
  <si>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</si>
  <si>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</si>
  <si>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</si>
  <si>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</si>
  <si>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</si>
  <si>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</si>
  <si>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</si>
  <si>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</si>
  <si>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</si>
  <si>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</si>
  <si>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</si>
  <si>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</si>
  <si>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</si>
  <si>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</si>
  <si>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</si>
  <si>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</si>
  <si>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</si>
  <si>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</si>
  <si>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</si>
  <si>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</si>
  <si>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</si>
  <si>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</si>
  <si>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</si>
  <si>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</si>
  <si>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</si>
  <si>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</si>
  <si>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</si>
  <si>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</si>
  <si>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</si>
  <si>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</si>
  <si>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</si>
  <si>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</si>
  <si>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</si>
  <si>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</si>
  <si>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</si>
  <si>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</si>
  <si>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</si>
  <si>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</si>
  <si>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</si>
  <si>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</si>
  <si>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</si>
  <si>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</si>
  <si>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</si>
  <si>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</si>
  <si>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</si>
  <si>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</si>
  <si>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</si>
  <si>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</si>
  <si>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</si>
  <si>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</si>
  <si>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</si>
  <si>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</si>
  <si>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</si>
  <si>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</si>
  <si>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</si>
  <si>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</si>
  <si>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</si>
  <si>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</si>
  <si>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</si>
  <si>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</si>
  <si>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</si>
  <si>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</si>
  <si>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</si>
  <si>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</si>
  <si>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</si>
  <si>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</si>
  <si>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</si>
  <si>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</si>
  <si>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</si>
  <si>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</si>
  <si>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</si>
  <si>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</si>
  <si>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</si>
  <si>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</si>
  <si>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</si>
  <si>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</si>
  <si>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</si>
  <si>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</si>
  <si>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</si>
  <si>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</si>
  <si>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</si>
  <si>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</si>
  <si>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</si>
  <si>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</si>
  <si>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</si>
  <si>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</si>
  <si>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</si>
  <si>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</si>
  <si>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</si>
  <si>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</si>
  <si>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</si>
  <si>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</si>
  <si>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</si>
  <si>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</si>
  <si>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</si>
  <si>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</si>
  <si>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</si>
  <si>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</si>
  <si>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</si>
  <si>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</si>
  <si>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</si>
  <si>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</si>
  <si>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</si>
  <si>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</si>
  <si>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</si>
  <si>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</si>
  <si>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</si>
  <si>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</si>
  <si>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</si>
  <si>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</si>
  <si>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</si>
  <si>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</si>
  <si>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</si>
  <si>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</si>
  <si>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</si>
  <si>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</si>
  <si>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</si>
  <si>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</si>
  <si>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</si>
  <si>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</si>
  <si>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</si>
  <si>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</si>
  <si>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</si>
  <si>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</si>
  <si>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</si>
  <si>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</si>
  <si>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</si>
  <si>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</si>
  <si>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</si>
  <si>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</si>
  <si>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</si>
  <si>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</si>
  <si>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</si>
  <si>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</si>
  <si>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</si>
  <si>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</si>
  <si>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</si>
  <si>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</si>
  <si>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</si>
  <si>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</si>
  <si>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</si>
  <si>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</si>
  <si>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</si>
  <si>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</si>
  <si>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</si>
  <si>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</si>
  <si>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</si>
  <si>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</si>
  <si>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</si>
  <si>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</si>
  <si>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</si>
  <si>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</si>
  <si>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</si>
  <si>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</si>
  <si>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</si>
  <si>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</si>
  <si>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</si>
  <si>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</si>
  <si>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</si>
  <si>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</si>
  <si>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</si>
  <si>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</si>
  <si>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</si>
  <si>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</si>
  <si>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</si>
  <si>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</si>
  <si>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</si>
  <si>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</si>
  <si>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</si>
  <si>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</si>
  <si>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</si>
  <si>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</si>
  <si>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</si>
  <si>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</si>
  <si>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</si>
  <si>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</si>
  <si>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</si>
  <si>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</si>
  <si>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</si>
  <si>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</si>
  <si>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</si>
  <si>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</si>
  <si>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</si>
  <si>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</si>
  <si>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</si>
  <si>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</si>
  <si>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</si>
  <si>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</si>
  <si>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</si>
  <si>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</si>
  <si>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</si>
  <si>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</si>
  <si>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</si>
  <si>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</si>
  <si>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</si>
  <si>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</si>
  <si>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</si>
  <si>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</si>
  <si>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</si>
  <si>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</si>
  <si>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</si>
  <si>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</si>
  <si>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</si>
  <si>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</si>
  <si>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</si>
  <si>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</si>
  <si>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</si>
  <si>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</si>
  <si>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</si>
  <si>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</si>
  <si>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</si>
  <si>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</si>
  <si>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</si>
  <si>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</si>
  <si>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</si>
  <si>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</si>
  <si>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</si>
  <si>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</si>
  <si>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</si>
  <si>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</si>
  <si>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</si>
  <si>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</si>
  <si>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</si>
  <si>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</si>
  <si>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</si>
  <si>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</si>
  <si>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</si>
  <si>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</si>
  <si>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</si>
  <si>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</si>
  <si>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</si>
  <si>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</si>
  <si>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</si>
  <si>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</si>
  <si>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</si>
  <si>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</si>
  <si>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</si>
  <si>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</si>
  <si>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</si>
  <si>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</si>
  <si>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</si>
  <si>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</si>
  <si>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</si>
  <si>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</si>
  <si>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</si>
  <si>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</si>
  <si>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</si>
  <si>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</si>
  <si>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</si>
  <si>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</si>
  <si>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</si>
  <si>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</si>
  <si>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</si>
  <si>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</si>
  <si>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</si>
  <si>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</si>
  <si>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</si>
  <si>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</si>
  <si>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</si>
  <si>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</si>
  <si>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</si>
  <si>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</si>
  <si>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</si>
  <si>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</si>
  <si>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</si>
  <si>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</si>
  <si>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</si>
  <si>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</si>
  <si>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</si>
  <si>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</si>
  <si>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</si>
  <si>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</si>
  <si>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</si>
  <si>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</si>
  <si>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</si>
  <si>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</si>
  <si>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</si>
  <si>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</si>
  <si>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</si>
  <si>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</si>
  <si>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</si>
  <si>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</si>
  <si>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</si>
  <si>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</si>
  <si>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42010</t>
  </si>
  <si>
    <t>LAARNE</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</si>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</sst>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DD15401-1B4D-4BE4-AF5B-79CD27F9058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107289.64312757176</c:v>
                </c:pt>
                <c:pt idx="1">
                  <c:v>22362.407905553893</c:v>
                </c:pt>
                <c:pt idx="2">
                  <c:v>1001.587</c:v>
                </c:pt>
                <c:pt idx="3">
                  <c:v>14541.695507428569</c:v>
                </c:pt>
                <c:pt idx="4">
                  <c:v>5406.960580768925</c:v>
                </c:pt>
                <c:pt idx="5">
                  <c:v>169386.496526737</c:v>
                </c:pt>
                <c:pt idx="6">
                  <c:v>549.15099713596896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107289.64312757176</c:v>
                </c:pt>
                <c:pt idx="1">
                  <c:v>22362.407905553893</c:v>
                </c:pt>
                <c:pt idx="2">
                  <c:v>1001.587</c:v>
                </c:pt>
                <c:pt idx="3">
                  <c:v>14541.695507428569</c:v>
                </c:pt>
                <c:pt idx="4">
                  <c:v>5406.960580768925</c:v>
                </c:pt>
                <c:pt idx="5">
                  <c:v>169386.496526737</c:v>
                </c:pt>
                <c:pt idx="6">
                  <c:v>549.15099713596896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21393.900035881019</c:v>
                </c:pt>
                <c:pt idx="1">
                  <c:v>4232.1106958620085</c:v>
                </c:pt>
                <c:pt idx="2">
                  <c:v>169.93083831094242</c:v>
                </c:pt>
                <c:pt idx="3">
                  <c:v>3564.2985443129228</c:v>
                </c:pt>
                <c:pt idx="4">
                  <c:v>1056.908872195294</c:v>
                </c:pt>
                <c:pt idx="5">
                  <c:v>42141.785844753191</c:v>
                </c:pt>
                <c:pt idx="6">
                  <c:v>137.98468355851742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21393.900035881019</c:v>
                </c:pt>
                <c:pt idx="1">
                  <c:v>4232.1106958620085</c:v>
                </c:pt>
                <c:pt idx="2">
                  <c:v>169.93083831094242</c:v>
                </c:pt>
                <c:pt idx="3">
                  <c:v>3564.2985443129228</c:v>
                </c:pt>
                <c:pt idx="4">
                  <c:v>1056.908872195294</c:v>
                </c:pt>
                <c:pt idx="5">
                  <c:v>42141.785844753191</c:v>
                </c:pt>
                <c:pt idx="6">
                  <c:v>137.98468355851742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42010</v>
      </c>
      <c r="B6" s="384"/>
      <c r="C6" s="385"/>
    </row>
    <row r="7" spans="1:7" s="382" customFormat="1" ht="15.75" customHeight="1">
      <c r="A7" s="386" t="str">
        <f>txtMunicipality</f>
        <v>LAARNE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10556.532312135279</v>
      </c>
      <c r="D10" s="681">
        <f ca="1">tertiair!C16</f>
        <v>0</v>
      </c>
      <c r="E10" s="681">
        <f ca="1">tertiair!D16</f>
        <v>10884.698663117584</v>
      </c>
      <c r="F10" s="681">
        <f>tertiair!E16</f>
        <v>46.634168557075718</v>
      </c>
      <c r="G10" s="681">
        <f ca="1">tertiair!F16</f>
        <v>1504.5154920748903</v>
      </c>
      <c r="H10" s="681">
        <f>tertiair!G16</f>
        <v>0</v>
      </c>
      <c r="I10" s="681">
        <f>tertiair!H16</f>
        <v>0</v>
      </c>
      <c r="J10" s="681">
        <f>tertiair!I16</f>
        <v>0</v>
      </c>
      <c r="K10" s="681">
        <f>tertiair!J16</f>
        <v>7.9193162815739699E-3</v>
      </c>
      <c r="L10" s="681">
        <f>tertiair!K16</f>
        <v>0</v>
      </c>
      <c r="M10" s="681">
        <f ca="1">tertiair!L16</f>
        <v>0</v>
      </c>
      <c r="N10" s="681">
        <f>tertiair!M16</f>
        <v>0</v>
      </c>
      <c r="O10" s="681">
        <f ca="1">tertiair!N16</f>
        <v>309.27269051460007</v>
      </c>
      <c r="P10" s="681">
        <f>tertiair!O16</f>
        <v>9.7945215316823084</v>
      </c>
      <c r="Q10" s="682">
        <f>tertiair!P16</f>
        <v>52.539138306495019</v>
      </c>
      <c r="R10" s="684">
        <f ca="1">SUM(C10:Q10)</f>
        <v>23363.994905553893</v>
      </c>
      <c r="S10" s="67"/>
    </row>
    <row r="11" spans="1:19" s="443" customFormat="1">
      <c r="A11" s="802" t="s">
        <v>214</v>
      </c>
      <c r="B11" s="807"/>
      <c r="C11" s="681">
        <f>huishoudens!B8</f>
        <v>24550.764245662434</v>
      </c>
      <c r="D11" s="681">
        <f>huishoudens!C8</f>
        <v>0</v>
      </c>
      <c r="E11" s="681">
        <f>huishoudens!D8</f>
        <v>39723.462728414757</v>
      </c>
      <c r="F11" s="681">
        <f>huishoudens!E8</f>
        <v>1503.9294419426799</v>
      </c>
      <c r="G11" s="681">
        <f>huishoudens!F8</f>
        <v>32945.988646853213</v>
      </c>
      <c r="H11" s="681">
        <f>huishoudens!G8</f>
        <v>0</v>
      </c>
      <c r="I11" s="681">
        <f>huishoudens!H8</f>
        <v>0</v>
      </c>
      <c r="J11" s="681">
        <f>huishoudens!I8</f>
        <v>0</v>
      </c>
      <c r="K11" s="681">
        <f>huishoudens!J8</f>
        <v>187.76279272501392</v>
      </c>
      <c r="L11" s="681">
        <f>huishoudens!K8</f>
        <v>0</v>
      </c>
      <c r="M11" s="681">
        <f>huishoudens!L8</f>
        <v>0</v>
      </c>
      <c r="N11" s="681">
        <f>huishoudens!M8</f>
        <v>0</v>
      </c>
      <c r="O11" s="681">
        <f>huishoudens!N8</f>
        <v>7158.2562731246799</v>
      </c>
      <c r="P11" s="681">
        <f>huishoudens!O8</f>
        <v>482.10184731104874</v>
      </c>
      <c r="Q11" s="682">
        <f>huishoudens!P8</f>
        <v>737.37715153795159</v>
      </c>
      <c r="R11" s="684">
        <f>SUM(C11:Q11)</f>
        <v>107289.64312757176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2258.4272083615174</v>
      </c>
      <c r="D13" s="681">
        <f>industrie!C18</f>
        <v>0</v>
      </c>
      <c r="E13" s="681">
        <f>industrie!D18</f>
        <v>2210.8984835858887</v>
      </c>
      <c r="F13" s="681">
        <f>industrie!E18</f>
        <v>9.2325172115257015</v>
      </c>
      <c r="G13" s="681">
        <f>industrie!F18</f>
        <v>840.90094018257309</v>
      </c>
      <c r="H13" s="681">
        <f>industrie!G18</f>
        <v>0</v>
      </c>
      <c r="I13" s="681">
        <f>industrie!H18</f>
        <v>0</v>
      </c>
      <c r="J13" s="681">
        <f>industrie!I18</f>
        <v>0</v>
      </c>
      <c r="K13" s="681">
        <f>industrie!J18</f>
        <v>1.4765690695994227</v>
      </c>
      <c r="L13" s="681">
        <f>industrie!K18</f>
        <v>0</v>
      </c>
      <c r="M13" s="681">
        <f>industrie!L18</f>
        <v>0</v>
      </c>
      <c r="N13" s="681">
        <f>industrie!M18</f>
        <v>0</v>
      </c>
      <c r="O13" s="681">
        <f>industrie!N18</f>
        <v>86.024862357819842</v>
      </c>
      <c r="P13" s="681">
        <f>industrie!O18</f>
        <v>0</v>
      </c>
      <c r="Q13" s="682">
        <f>industrie!P18</f>
        <v>0</v>
      </c>
      <c r="R13" s="684">
        <f>SUM(C13:Q13)</f>
        <v>5406.960580768925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37365.72376615923</v>
      </c>
      <c r="D16" s="717">
        <f t="shared" ref="D16:R16" ca="1" si="0">SUM(D9:D15)</f>
        <v>0</v>
      </c>
      <c r="E16" s="717">
        <f t="shared" ca="1" si="0"/>
        <v>52819.059875118226</v>
      </c>
      <c r="F16" s="717">
        <f t="shared" si="0"/>
        <v>1559.7961277112813</v>
      </c>
      <c r="G16" s="717">
        <f t="shared" ca="1" si="0"/>
        <v>35291.405079110678</v>
      </c>
      <c r="H16" s="717">
        <f t="shared" si="0"/>
        <v>0</v>
      </c>
      <c r="I16" s="717">
        <f t="shared" si="0"/>
        <v>0</v>
      </c>
      <c r="J16" s="717">
        <f t="shared" si="0"/>
        <v>0</v>
      </c>
      <c r="K16" s="717">
        <f t="shared" si="0"/>
        <v>189.24728111089493</v>
      </c>
      <c r="L16" s="717">
        <f t="shared" si="0"/>
        <v>0</v>
      </c>
      <c r="M16" s="717">
        <f t="shared" ca="1" si="0"/>
        <v>0</v>
      </c>
      <c r="N16" s="717">
        <f t="shared" si="0"/>
        <v>0</v>
      </c>
      <c r="O16" s="717">
        <f t="shared" ca="1" si="0"/>
        <v>7553.5538259970999</v>
      </c>
      <c r="P16" s="717">
        <f t="shared" si="0"/>
        <v>491.89636884273108</v>
      </c>
      <c r="Q16" s="717">
        <f t="shared" si="0"/>
        <v>789.91628984444662</v>
      </c>
      <c r="R16" s="717">
        <f t="shared" ca="1" si="0"/>
        <v>136060.59861389457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8.1721877599515356</v>
      </c>
      <c r="D19" s="681">
        <f>transport!C54</f>
        <v>0</v>
      </c>
      <c r="E19" s="681">
        <f>transport!D54</f>
        <v>0</v>
      </c>
      <c r="F19" s="681">
        <f>transport!E54</f>
        <v>0</v>
      </c>
      <c r="G19" s="681">
        <f>transport!F54</f>
        <v>0</v>
      </c>
      <c r="H19" s="681">
        <f>transport!G54</f>
        <v>511.60366002689977</v>
      </c>
      <c r="I19" s="681">
        <f>transport!H54</f>
        <v>0</v>
      </c>
      <c r="J19" s="681">
        <f>transport!I54</f>
        <v>0</v>
      </c>
      <c r="K19" s="681">
        <f>transport!J54</f>
        <v>0</v>
      </c>
      <c r="L19" s="681">
        <f>transport!K54</f>
        <v>0</v>
      </c>
      <c r="M19" s="681">
        <f>transport!L54</f>
        <v>0</v>
      </c>
      <c r="N19" s="681">
        <f>transport!M54</f>
        <v>29.375149349117748</v>
      </c>
      <c r="O19" s="681">
        <f>transport!N54</f>
        <v>0</v>
      </c>
      <c r="P19" s="681">
        <f>transport!O54</f>
        <v>0</v>
      </c>
      <c r="Q19" s="682">
        <f>transport!P54</f>
        <v>0</v>
      </c>
      <c r="R19" s="684">
        <f>SUM(C19:Q19)</f>
        <v>549.15099713596896</v>
      </c>
      <c r="S19" s="67"/>
    </row>
    <row r="20" spans="1:19" s="443" customFormat="1">
      <c r="A20" s="802" t="s">
        <v>296</v>
      </c>
      <c r="B20" s="807"/>
      <c r="C20" s="681">
        <f>transport!B14</f>
        <v>322.35192567339732</v>
      </c>
      <c r="D20" s="681">
        <f>transport!C14</f>
        <v>0</v>
      </c>
      <c r="E20" s="681">
        <f>transport!D14</f>
        <v>530.79240942560125</v>
      </c>
      <c r="F20" s="681">
        <f>transport!E14</f>
        <v>230.4621702414386</v>
      </c>
      <c r="G20" s="681">
        <f>transport!F14</f>
        <v>0</v>
      </c>
      <c r="H20" s="681">
        <f>transport!G14</f>
        <v>132228.29998918841</v>
      </c>
      <c r="I20" s="681">
        <f>transport!H14</f>
        <v>26596.803331456544</v>
      </c>
      <c r="J20" s="681">
        <f>transport!I14</f>
        <v>0</v>
      </c>
      <c r="K20" s="681">
        <f>transport!J14</f>
        <v>0</v>
      </c>
      <c r="L20" s="681">
        <f>transport!K14</f>
        <v>0</v>
      </c>
      <c r="M20" s="681">
        <f>transport!L14</f>
        <v>0</v>
      </c>
      <c r="N20" s="681">
        <f>transport!M14</f>
        <v>9477.7867007516088</v>
      </c>
      <c r="O20" s="681">
        <f>transport!N14</f>
        <v>0</v>
      </c>
      <c r="P20" s="681">
        <f>transport!O14</f>
        <v>0</v>
      </c>
      <c r="Q20" s="682">
        <f>transport!P14</f>
        <v>0</v>
      </c>
      <c r="R20" s="684">
        <f>SUM(C20:Q20)</f>
        <v>169386.496526737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330.52411343334887</v>
      </c>
      <c r="D22" s="805">
        <f t="shared" ref="D22:R22" si="1">SUM(D18:D21)</f>
        <v>0</v>
      </c>
      <c r="E22" s="805">
        <f t="shared" si="1"/>
        <v>530.79240942560125</v>
      </c>
      <c r="F22" s="805">
        <f t="shared" si="1"/>
        <v>230.4621702414386</v>
      </c>
      <c r="G22" s="805">
        <f t="shared" si="1"/>
        <v>0</v>
      </c>
      <c r="H22" s="805">
        <f t="shared" si="1"/>
        <v>132739.9036492153</v>
      </c>
      <c r="I22" s="805">
        <f t="shared" si="1"/>
        <v>26596.803331456544</v>
      </c>
      <c r="J22" s="805">
        <f t="shared" si="1"/>
        <v>0</v>
      </c>
      <c r="K22" s="805">
        <f t="shared" si="1"/>
        <v>0</v>
      </c>
      <c r="L22" s="805">
        <f t="shared" si="1"/>
        <v>0</v>
      </c>
      <c r="M22" s="805">
        <f t="shared" si="1"/>
        <v>0</v>
      </c>
      <c r="N22" s="805">
        <f t="shared" si="1"/>
        <v>9507.161850100727</v>
      </c>
      <c r="O22" s="805">
        <f t="shared" si="1"/>
        <v>0</v>
      </c>
      <c r="P22" s="805">
        <f t="shared" si="1"/>
        <v>0</v>
      </c>
      <c r="Q22" s="805">
        <f t="shared" si="1"/>
        <v>0</v>
      </c>
      <c r="R22" s="805">
        <f t="shared" si="1"/>
        <v>169935.64752387296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2001.5850463784</v>
      </c>
      <c r="D24" s="681">
        <f>+landbouw!C8</f>
        <v>5637.8571428571431</v>
      </c>
      <c r="E24" s="681">
        <f>+landbouw!D8</f>
        <v>0</v>
      </c>
      <c r="F24" s="681">
        <f>+landbouw!E8</f>
        <v>57.328783030321262</v>
      </c>
      <c r="G24" s="681">
        <f>+landbouw!F8</f>
        <v>6335.9843124269191</v>
      </c>
      <c r="H24" s="681">
        <f>+landbouw!G8</f>
        <v>0</v>
      </c>
      <c r="I24" s="681">
        <f>+landbouw!H8</f>
        <v>0</v>
      </c>
      <c r="J24" s="681">
        <f>+landbouw!I8</f>
        <v>0</v>
      </c>
      <c r="K24" s="681">
        <f>+landbouw!J8</f>
        <v>508.9402227357856</v>
      </c>
      <c r="L24" s="681">
        <f>+landbouw!K8</f>
        <v>0</v>
      </c>
      <c r="M24" s="681">
        <f>+landbouw!L8</f>
        <v>0</v>
      </c>
      <c r="N24" s="681">
        <f>+landbouw!M8</f>
        <v>0</v>
      </c>
      <c r="O24" s="681">
        <f>+landbouw!N8</f>
        <v>0</v>
      </c>
      <c r="P24" s="681">
        <f>+landbouw!O8</f>
        <v>0</v>
      </c>
      <c r="Q24" s="682">
        <f>+landbouw!P8</f>
        <v>0</v>
      </c>
      <c r="R24" s="684">
        <f>SUM(C24:Q24)</f>
        <v>14541.695507428569</v>
      </c>
      <c r="S24" s="67"/>
    </row>
    <row r="25" spans="1:19" s="443" customFormat="1" ht="15" thickBot="1">
      <c r="A25" s="824" t="s">
        <v>690</v>
      </c>
      <c r="B25" s="937"/>
      <c r="C25" s="938">
        <f>IF(Onbekend_ele_kWh="---",0,Onbekend_ele_kWh)/1000+IF(REST_rest_ele_kWh="---",0,REST_rest_ele_kWh)/1000</f>
        <v>603.934341740592</v>
      </c>
      <c r="D25" s="938"/>
      <c r="E25" s="938">
        <f>IF(onbekend_gas_kWh="---",0,onbekend_gas_kWh)/1000+IF(REST_rest_gas_kWh="---",0,REST_rest_gas_kWh)/1000</f>
        <v>788.99079920107408</v>
      </c>
      <c r="F25" s="938"/>
      <c r="G25" s="938"/>
      <c r="H25" s="938"/>
      <c r="I25" s="938"/>
      <c r="J25" s="938"/>
      <c r="K25" s="938"/>
      <c r="L25" s="938"/>
      <c r="M25" s="938"/>
      <c r="N25" s="938"/>
      <c r="O25" s="938"/>
      <c r="P25" s="938"/>
      <c r="Q25" s="939"/>
      <c r="R25" s="684">
        <f>SUM(C25:Q25)</f>
        <v>1392.9251409416661</v>
      </c>
      <c r="S25" s="67"/>
    </row>
    <row r="26" spans="1:19" s="443" customFormat="1" ht="15.75" thickBot="1">
      <c r="A26" s="689" t="s">
        <v>691</v>
      </c>
      <c r="B26" s="810"/>
      <c r="C26" s="805">
        <f>SUM(C24:C25)</f>
        <v>2605.5193881189921</v>
      </c>
      <c r="D26" s="805">
        <f t="shared" ref="D26:R26" si="2">SUM(D24:D25)</f>
        <v>5637.8571428571431</v>
      </c>
      <c r="E26" s="805">
        <f t="shared" si="2"/>
        <v>788.99079920107408</v>
      </c>
      <c r="F26" s="805">
        <f t="shared" si="2"/>
        <v>57.328783030321262</v>
      </c>
      <c r="G26" s="805">
        <f t="shared" si="2"/>
        <v>6335.9843124269191</v>
      </c>
      <c r="H26" s="805">
        <f t="shared" si="2"/>
        <v>0</v>
      </c>
      <c r="I26" s="805">
        <f t="shared" si="2"/>
        <v>0</v>
      </c>
      <c r="J26" s="805">
        <f t="shared" si="2"/>
        <v>0</v>
      </c>
      <c r="K26" s="805">
        <f t="shared" si="2"/>
        <v>508.9402227357856</v>
      </c>
      <c r="L26" s="805">
        <f t="shared" si="2"/>
        <v>0</v>
      </c>
      <c r="M26" s="805">
        <f t="shared" si="2"/>
        <v>0</v>
      </c>
      <c r="N26" s="805">
        <f t="shared" si="2"/>
        <v>0</v>
      </c>
      <c r="O26" s="805">
        <f t="shared" si="2"/>
        <v>0</v>
      </c>
      <c r="P26" s="805">
        <f t="shared" si="2"/>
        <v>0</v>
      </c>
      <c r="Q26" s="805">
        <f t="shared" si="2"/>
        <v>0</v>
      </c>
      <c r="R26" s="805">
        <f t="shared" si="2"/>
        <v>15934.620648370235</v>
      </c>
      <c r="S26" s="67"/>
    </row>
    <row r="27" spans="1:19" s="443" customFormat="1" ht="17.25" thickTop="1" thickBot="1">
      <c r="A27" s="690" t="s">
        <v>109</v>
      </c>
      <c r="B27" s="797"/>
      <c r="C27" s="691">
        <f ca="1">C22+C16+C26</f>
        <v>40301.76726771157</v>
      </c>
      <c r="D27" s="691">
        <f t="shared" ref="D27:R27" ca="1" si="3">D22+D16+D26</f>
        <v>5637.8571428571431</v>
      </c>
      <c r="E27" s="691">
        <f t="shared" ca="1" si="3"/>
        <v>54138.843083744905</v>
      </c>
      <c r="F27" s="691">
        <f t="shared" si="3"/>
        <v>1847.5870809830412</v>
      </c>
      <c r="G27" s="691">
        <f t="shared" ca="1" si="3"/>
        <v>41627.389391537596</v>
      </c>
      <c r="H27" s="691">
        <f t="shared" si="3"/>
        <v>132739.9036492153</v>
      </c>
      <c r="I27" s="691">
        <f t="shared" si="3"/>
        <v>26596.803331456544</v>
      </c>
      <c r="J27" s="691">
        <f t="shared" si="3"/>
        <v>0</v>
      </c>
      <c r="K27" s="691">
        <f t="shared" si="3"/>
        <v>698.18750384668056</v>
      </c>
      <c r="L27" s="691">
        <f t="shared" si="3"/>
        <v>0</v>
      </c>
      <c r="M27" s="691">
        <f t="shared" ca="1" si="3"/>
        <v>0</v>
      </c>
      <c r="N27" s="691">
        <f t="shared" si="3"/>
        <v>9507.161850100727</v>
      </c>
      <c r="O27" s="691">
        <f t="shared" ca="1" si="3"/>
        <v>7553.5538259970999</v>
      </c>
      <c r="P27" s="691">
        <f t="shared" si="3"/>
        <v>491.89636884273108</v>
      </c>
      <c r="Q27" s="691">
        <f t="shared" si="3"/>
        <v>789.91628984444662</v>
      </c>
      <c r="R27" s="691">
        <f t="shared" ca="1" si="3"/>
        <v>321930.86678613781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1791.0380081387832</v>
      </c>
      <c r="D40" s="681">
        <f ca="1">tertiair!C20</f>
        <v>0</v>
      </c>
      <c r="E40" s="681">
        <f ca="1">tertiair!D20</f>
        <v>2198.709129949752</v>
      </c>
      <c r="F40" s="681">
        <f>tertiair!E20</f>
        <v>10.585956262456188</v>
      </c>
      <c r="G40" s="681">
        <f ca="1">tertiair!F20</f>
        <v>401.70563638399574</v>
      </c>
      <c r="H40" s="681">
        <f>tertiair!G20</f>
        <v>0</v>
      </c>
      <c r="I40" s="681">
        <f>tertiair!H20</f>
        <v>0</v>
      </c>
      <c r="J40" s="681">
        <f>tertiair!I20</f>
        <v>0</v>
      </c>
      <c r="K40" s="681">
        <f>tertiair!J20</f>
        <v>2.8034379636771851E-3</v>
      </c>
      <c r="L40" s="681">
        <f>tertiair!K20</f>
        <v>0</v>
      </c>
      <c r="M40" s="681">
        <f ca="1">tertiair!L20</f>
        <v>0</v>
      </c>
      <c r="N40" s="681">
        <f>tertiair!M20</f>
        <v>0</v>
      </c>
      <c r="O40" s="681">
        <f ca="1">tertiair!N20</f>
        <v>0</v>
      </c>
      <c r="P40" s="681">
        <f>tertiair!O20</f>
        <v>0</v>
      </c>
      <c r="Q40" s="764">
        <f>tertiair!P20</f>
        <v>0</v>
      </c>
      <c r="R40" s="843">
        <f t="shared" ca="1" si="4"/>
        <v>4402.0415341729513</v>
      </c>
    </row>
    <row r="41" spans="1:18">
      <c r="A41" s="815" t="s">
        <v>214</v>
      </c>
      <c r="B41" s="822"/>
      <c r="C41" s="681">
        <f ca="1">huishoudens!B12</f>
        <v>4165.3215840857856</v>
      </c>
      <c r="D41" s="681">
        <f ca="1">huishoudens!C12</f>
        <v>0</v>
      </c>
      <c r="E41" s="681">
        <f>huishoudens!D12</f>
        <v>8024.1394711397816</v>
      </c>
      <c r="F41" s="681">
        <f>huishoudens!E12</f>
        <v>341.39198332098834</v>
      </c>
      <c r="G41" s="681">
        <f>huishoudens!F12</f>
        <v>8796.5789687098077</v>
      </c>
      <c r="H41" s="681">
        <f>huishoudens!G12</f>
        <v>0</v>
      </c>
      <c r="I41" s="681">
        <f>huishoudens!H12</f>
        <v>0</v>
      </c>
      <c r="J41" s="681">
        <f>huishoudens!I12</f>
        <v>0</v>
      </c>
      <c r="K41" s="681">
        <f>huishoudens!J12</f>
        <v>66.46802862465492</v>
      </c>
      <c r="L41" s="681">
        <f>huishoudens!K12</f>
        <v>0</v>
      </c>
      <c r="M41" s="681">
        <f>huishoudens!L12</f>
        <v>0</v>
      </c>
      <c r="N41" s="681">
        <f>huishoudens!M12</f>
        <v>0</v>
      </c>
      <c r="O41" s="681">
        <f>huishoudens!N12</f>
        <v>0</v>
      </c>
      <c r="P41" s="681">
        <f>huishoudens!O12</f>
        <v>0</v>
      </c>
      <c r="Q41" s="764">
        <f>huishoudens!P12</f>
        <v>0</v>
      </c>
      <c r="R41" s="843">
        <f t="shared" ca="1" si="4"/>
        <v>21393.900035881019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383.16834062454296</v>
      </c>
      <c r="D43" s="681">
        <f ca="1">industrie!C22</f>
        <v>0</v>
      </c>
      <c r="E43" s="681">
        <f>industrie!D22</f>
        <v>446.60149368434952</v>
      </c>
      <c r="F43" s="681">
        <f>industrie!E22</f>
        <v>2.0957814070163341</v>
      </c>
      <c r="G43" s="681">
        <f>industrie!F22</f>
        <v>224.52055102874704</v>
      </c>
      <c r="H43" s="681">
        <f>industrie!G22</f>
        <v>0</v>
      </c>
      <c r="I43" s="681">
        <f>industrie!H22</f>
        <v>0</v>
      </c>
      <c r="J43" s="681">
        <f>industrie!I22</f>
        <v>0</v>
      </c>
      <c r="K43" s="681">
        <f>industrie!J22</f>
        <v>0.52270545063819562</v>
      </c>
      <c r="L43" s="681">
        <f>industrie!K22</f>
        <v>0</v>
      </c>
      <c r="M43" s="681">
        <f>industrie!L22</f>
        <v>0</v>
      </c>
      <c r="N43" s="681">
        <f>industrie!M22</f>
        <v>0</v>
      </c>
      <c r="O43" s="681">
        <f>industrie!N22</f>
        <v>0</v>
      </c>
      <c r="P43" s="681">
        <f>industrie!O22</f>
        <v>0</v>
      </c>
      <c r="Q43" s="764">
        <f>industrie!P22</f>
        <v>0</v>
      </c>
      <c r="R43" s="842">
        <f t="shared" ca="1" si="4"/>
        <v>1056.908872195294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6339.5279328491115</v>
      </c>
      <c r="D46" s="717">
        <f t="shared" ref="D46:Q46" ca="1" si="5">SUM(D39:D45)</f>
        <v>0</v>
      </c>
      <c r="E46" s="717">
        <f t="shared" ca="1" si="5"/>
        <v>10669.450094773883</v>
      </c>
      <c r="F46" s="717">
        <f t="shared" si="5"/>
        <v>354.07372099046086</v>
      </c>
      <c r="G46" s="717">
        <f t="shared" ca="1" si="5"/>
        <v>9422.8051561225511</v>
      </c>
      <c r="H46" s="717">
        <f t="shared" si="5"/>
        <v>0</v>
      </c>
      <c r="I46" s="717">
        <f t="shared" si="5"/>
        <v>0</v>
      </c>
      <c r="J46" s="717">
        <f t="shared" si="5"/>
        <v>0</v>
      </c>
      <c r="K46" s="717">
        <f t="shared" si="5"/>
        <v>66.993537513256797</v>
      </c>
      <c r="L46" s="717">
        <f t="shared" si="5"/>
        <v>0</v>
      </c>
      <c r="M46" s="717">
        <f t="shared" ca="1" si="5"/>
        <v>0</v>
      </c>
      <c r="N46" s="717">
        <f t="shared" si="5"/>
        <v>0</v>
      </c>
      <c r="O46" s="717">
        <f t="shared" ca="1" si="5"/>
        <v>0</v>
      </c>
      <c r="P46" s="717">
        <f t="shared" si="5"/>
        <v>0</v>
      </c>
      <c r="Q46" s="717">
        <f t="shared" si="5"/>
        <v>0</v>
      </c>
      <c r="R46" s="717">
        <f ca="1">SUM(R39:R45)</f>
        <v>26852.850442249262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1.3865063313351582</v>
      </c>
      <c r="D49" s="681">
        <f ca="1">transport!C58</f>
        <v>0</v>
      </c>
      <c r="E49" s="681">
        <f>transport!D58</f>
        <v>0</v>
      </c>
      <c r="F49" s="681">
        <f>transport!E58</f>
        <v>0</v>
      </c>
      <c r="G49" s="681">
        <f>transport!F58</f>
        <v>0</v>
      </c>
      <c r="H49" s="681">
        <f>transport!G58</f>
        <v>136.59817722718225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137.98468355851742</v>
      </c>
    </row>
    <row r="50" spans="1:18">
      <c r="A50" s="818" t="s">
        <v>296</v>
      </c>
      <c r="B50" s="828"/>
      <c r="C50" s="687">
        <f ca="1">transport!B18</f>
        <v>54.690738758417403</v>
      </c>
      <c r="D50" s="687">
        <f>transport!C18</f>
        <v>0</v>
      </c>
      <c r="E50" s="687">
        <f>transport!D18</f>
        <v>107.22006670397145</v>
      </c>
      <c r="F50" s="687">
        <f>transport!E18</f>
        <v>52.314912644806562</v>
      </c>
      <c r="G50" s="687">
        <f>transport!F18</f>
        <v>0</v>
      </c>
      <c r="H50" s="687">
        <f>transport!G18</f>
        <v>35304.956097113311</v>
      </c>
      <c r="I50" s="687">
        <f>transport!H18</f>
        <v>6622.6040295326793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42141.785844753191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56.077245089752559</v>
      </c>
      <c r="D52" s="717">
        <f t="shared" ref="D52:Q52" ca="1" si="6">SUM(D48:D51)</f>
        <v>0</v>
      </c>
      <c r="E52" s="717">
        <f t="shared" si="6"/>
        <v>107.22006670397145</v>
      </c>
      <c r="F52" s="717">
        <f t="shared" si="6"/>
        <v>52.314912644806562</v>
      </c>
      <c r="G52" s="717">
        <f t="shared" si="6"/>
        <v>0</v>
      </c>
      <c r="H52" s="717">
        <f t="shared" si="6"/>
        <v>35441.554274340495</v>
      </c>
      <c r="I52" s="717">
        <f t="shared" si="6"/>
        <v>6622.6040295326793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42279.77052831171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339.5920922313569</v>
      </c>
      <c r="D54" s="687">
        <f ca="1">+landbouw!C12</f>
        <v>1339.8201680672271</v>
      </c>
      <c r="E54" s="687">
        <f>+landbouw!D12</f>
        <v>0</v>
      </c>
      <c r="F54" s="687">
        <f>+landbouw!E12</f>
        <v>13.013633747882928</v>
      </c>
      <c r="G54" s="687">
        <f>+landbouw!F12</f>
        <v>1691.7078114179876</v>
      </c>
      <c r="H54" s="687">
        <f>+landbouw!G12</f>
        <v>0</v>
      </c>
      <c r="I54" s="687">
        <f>+landbouw!H12</f>
        <v>0</v>
      </c>
      <c r="J54" s="687">
        <f>+landbouw!I12</f>
        <v>0</v>
      </c>
      <c r="K54" s="687">
        <f>+landbouw!J12</f>
        <v>180.16483884846809</v>
      </c>
      <c r="L54" s="687">
        <f>+landbouw!K12</f>
        <v>0</v>
      </c>
      <c r="M54" s="687">
        <f>+landbouw!L12</f>
        <v>0</v>
      </c>
      <c r="N54" s="687">
        <f>+landbouw!M12</f>
        <v>0</v>
      </c>
      <c r="O54" s="687">
        <f>+landbouw!N12</f>
        <v>0</v>
      </c>
      <c r="P54" s="687">
        <f>+landbouw!O12</f>
        <v>0</v>
      </c>
      <c r="Q54" s="688">
        <f>+landbouw!P12</f>
        <v>0</v>
      </c>
      <c r="R54" s="716">
        <f ca="1">SUM(C54:Q54)</f>
        <v>3564.2985443129228</v>
      </c>
    </row>
    <row r="55" spans="1:18" ht="15" thickBot="1">
      <c r="A55" s="818" t="s">
        <v>690</v>
      </c>
      <c r="B55" s="828"/>
      <c r="C55" s="687">
        <f ca="1">C25*'EF ele_warmte'!B12</f>
        <v>102.46445788208712</v>
      </c>
      <c r="D55" s="687"/>
      <c r="E55" s="687">
        <f>E25*EF_CO2_aardgas</f>
        <v>159.37614143861697</v>
      </c>
      <c r="F55" s="687"/>
      <c r="G55" s="687"/>
      <c r="H55" s="687"/>
      <c r="I55" s="687"/>
      <c r="J55" s="687"/>
      <c r="K55" s="687"/>
      <c r="L55" s="687"/>
      <c r="M55" s="687"/>
      <c r="N55" s="687"/>
      <c r="O55" s="687"/>
      <c r="P55" s="687"/>
      <c r="Q55" s="688"/>
      <c r="R55" s="716">
        <f ca="1">SUM(C55:Q55)</f>
        <v>261.84059932070409</v>
      </c>
    </row>
    <row r="56" spans="1:18" ht="15.75" thickBot="1">
      <c r="A56" s="816" t="s">
        <v>691</v>
      </c>
      <c r="B56" s="829"/>
      <c r="C56" s="717">
        <f ca="1">SUM(C54:C55)</f>
        <v>442.05655011344402</v>
      </c>
      <c r="D56" s="717">
        <f t="shared" ref="D56:Q56" ca="1" si="7">SUM(D54:D55)</f>
        <v>1339.8201680672271</v>
      </c>
      <c r="E56" s="717">
        <f t="shared" si="7"/>
        <v>159.37614143861697</v>
      </c>
      <c r="F56" s="717">
        <f t="shared" si="7"/>
        <v>13.013633747882928</v>
      </c>
      <c r="G56" s="717">
        <f t="shared" si="7"/>
        <v>1691.7078114179876</v>
      </c>
      <c r="H56" s="717">
        <f t="shared" si="7"/>
        <v>0</v>
      </c>
      <c r="I56" s="717">
        <f t="shared" si="7"/>
        <v>0</v>
      </c>
      <c r="J56" s="717">
        <f t="shared" si="7"/>
        <v>0</v>
      </c>
      <c r="K56" s="717">
        <f t="shared" si="7"/>
        <v>180.16483884846809</v>
      </c>
      <c r="L56" s="717">
        <f t="shared" si="7"/>
        <v>0</v>
      </c>
      <c r="M56" s="717">
        <f t="shared" si="7"/>
        <v>0</v>
      </c>
      <c r="N56" s="717">
        <f t="shared" si="7"/>
        <v>0</v>
      </c>
      <c r="O56" s="717">
        <f t="shared" si="7"/>
        <v>0</v>
      </c>
      <c r="P56" s="717">
        <f t="shared" si="7"/>
        <v>0</v>
      </c>
      <c r="Q56" s="718">
        <f t="shared" si="7"/>
        <v>0</v>
      </c>
      <c r="R56" s="719">
        <f ca="1">SUM(R54:R55)</f>
        <v>3826.1391436336271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6837.6617280523087</v>
      </c>
      <c r="D61" s="725">
        <f t="shared" ref="D61:Q61" ca="1" si="8">D46+D52+D56</f>
        <v>1339.8201680672271</v>
      </c>
      <c r="E61" s="725">
        <f t="shared" ca="1" si="8"/>
        <v>10936.046302916471</v>
      </c>
      <c r="F61" s="725">
        <f t="shared" si="8"/>
        <v>419.40226738315033</v>
      </c>
      <c r="G61" s="725">
        <f t="shared" ca="1" si="8"/>
        <v>11114.512967540539</v>
      </c>
      <c r="H61" s="725">
        <f t="shared" si="8"/>
        <v>35441.554274340495</v>
      </c>
      <c r="I61" s="725">
        <f t="shared" si="8"/>
        <v>6622.6040295326793</v>
      </c>
      <c r="J61" s="725">
        <f t="shared" si="8"/>
        <v>0</v>
      </c>
      <c r="K61" s="725">
        <f t="shared" si="8"/>
        <v>247.15837636172489</v>
      </c>
      <c r="L61" s="725">
        <f t="shared" si="8"/>
        <v>0</v>
      </c>
      <c r="M61" s="725">
        <f t="shared" ca="1" si="8"/>
        <v>0</v>
      </c>
      <c r="N61" s="725">
        <f t="shared" si="8"/>
        <v>0</v>
      </c>
      <c r="O61" s="725">
        <f t="shared" ca="1" si="8"/>
        <v>0</v>
      </c>
      <c r="P61" s="725">
        <f t="shared" si="8"/>
        <v>0</v>
      </c>
      <c r="Q61" s="725">
        <f t="shared" si="8"/>
        <v>0</v>
      </c>
      <c r="R61" s="725">
        <f ca="1">R46+R52+R56</f>
        <v>72958.760114194592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0.16966158537495241</v>
      </c>
      <c r="D63" s="771">
        <f t="shared" ca="1" si="9"/>
        <v>0.23764705882352943</v>
      </c>
      <c r="E63" s="963">
        <f t="shared" ca="1" si="9"/>
        <v>0.20200000000000001</v>
      </c>
      <c r="F63" s="771">
        <f t="shared" si="9"/>
        <v>0.22699999999999998</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4870.1276170123519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4789.2681104039711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3946.5</v>
      </c>
      <c r="D76" s="946">
        <f>'lokale energieproductie'!C8</f>
        <v>4642.9411764705883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937.87411764705894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9659.3957274163222</v>
      </c>
      <c r="C78" s="743">
        <f>SUM(C72:C77)</f>
        <v>3946.5</v>
      </c>
      <c r="D78" s="744">
        <f t="shared" ref="D78:H78" si="10">SUM(D76:D77)</f>
        <v>4642.9411764705883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937.87411764705894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5637.8571428571431</v>
      </c>
      <c r="D87" s="767">
        <f>'lokale energieproductie'!C17</f>
        <v>6632.7731092436979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1339.8201680672271</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5637.8571428571431</v>
      </c>
      <c r="D90" s="743">
        <f t="shared" ref="D90:H90" si="12">SUM(D87:D89)</f>
        <v>6632.7731092436979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1339.8201680672271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24550.764245662434</v>
      </c>
      <c r="C4" s="447">
        <f>huishoudens!C8</f>
        <v>0</v>
      </c>
      <c r="D4" s="447">
        <f>huishoudens!D8</f>
        <v>39723.462728414757</v>
      </c>
      <c r="E4" s="447">
        <f>huishoudens!E8</f>
        <v>1503.9294419426799</v>
      </c>
      <c r="F4" s="447">
        <f>huishoudens!F8</f>
        <v>32945.988646853213</v>
      </c>
      <c r="G4" s="447">
        <f>huishoudens!G8</f>
        <v>0</v>
      </c>
      <c r="H4" s="447">
        <f>huishoudens!H8</f>
        <v>0</v>
      </c>
      <c r="I4" s="447">
        <f>huishoudens!I8</f>
        <v>0</v>
      </c>
      <c r="J4" s="447">
        <f>huishoudens!J8</f>
        <v>187.76279272501392</v>
      </c>
      <c r="K4" s="447">
        <f>huishoudens!K8</f>
        <v>0</v>
      </c>
      <c r="L4" s="447">
        <f>huishoudens!L8</f>
        <v>0</v>
      </c>
      <c r="M4" s="447">
        <f>huishoudens!M8</f>
        <v>0</v>
      </c>
      <c r="N4" s="447">
        <f>huishoudens!N8</f>
        <v>7158.2562731246799</v>
      </c>
      <c r="O4" s="447">
        <f>huishoudens!O8</f>
        <v>482.10184731104874</v>
      </c>
      <c r="P4" s="448">
        <f>huishoudens!P8</f>
        <v>737.37715153795159</v>
      </c>
      <c r="Q4" s="449">
        <f>SUM(B4:P4)</f>
        <v>107289.64312757176</v>
      </c>
    </row>
    <row r="5" spans="1:17">
      <c r="A5" s="446" t="s">
        <v>149</v>
      </c>
      <c r="B5" s="447">
        <f ca="1">tertiair!B16</f>
        <v>9554.9453121352799</v>
      </c>
      <c r="C5" s="447">
        <f ca="1">tertiair!C16</f>
        <v>0</v>
      </c>
      <c r="D5" s="447">
        <f ca="1">tertiair!D16</f>
        <v>10884.698663117584</v>
      </c>
      <c r="E5" s="447">
        <f>tertiair!E16</f>
        <v>46.634168557075718</v>
      </c>
      <c r="F5" s="447">
        <f ca="1">tertiair!F16</f>
        <v>1504.5154920748903</v>
      </c>
      <c r="G5" s="447">
        <f>tertiair!G16</f>
        <v>0</v>
      </c>
      <c r="H5" s="447">
        <f>tertiair!H16</f>
        <v>0</v>
      </c>
      <c r="I5" s="447">
        <f>tertiair!I16</f>
        <v>0</v>
      </c>
      <c r="J5" s="447">
        <f>tertiair!J16</f>
        <v>7.9193162815739699E-3</v>
      </c>
      <c r="K5" s="447">
        <f>tertiair!K16</f>
        <v>0</v>
      </c>
      <c r="L5" s="447">
        <f ca="1">tertiair!L16</f>
        <v>0</v>
      </c>
      <c r="M5" s="447">
        <f>tertiair!M16</f>
        <v>0</v>
      </c>
      <c r="N5" s="447">
        <f ca="1">tertiair!N16</f>
        <v>309.27269051460007</v>
      </c>
      <c r="O5" s="447">
        <f>tertiair!O16</f>
        <v>9.7945215316823084</v>
      </c>
      <c r="P5" s="448">
        <f>tertiair!P16</f>
        <v>52.539138306495019</v>
      </c>
      <c r="Q5" s="446">
        <f t="shared" ref="Q5:Q14" ca="1" si="0">SUM(B5:P5)</f>
        <v>22362.407905553893</v>
      </c>
    </row>
    <row r="6" spans="1:17">
      <c r="A6" s="446" t="s">
        <v>187</v>
      </c>
      <c r="B6" s="447">
        <f>'openbare verlichting'!B8</f>
        <v>1001.587</v>
      </c>
      <c r="C6" s="447"/>
      <c r="D6" s="447"/>
      <c r="E6" s="447"/>
      <c r="F6" s="447"/>
      <c r="G6" s="447"/>
      <c r="H6" s="447"/>
      <c r="I6" s="447"/>
      <c r="J6" s="447"/>
      <c r="K6" s="447"/>
      <c r="L6" s="447"/>
      <c r="M6" s="447"/>
      <c r="N6" s="447"/>
      <c r="O6" s="447"/>
      <c r="P6" s="448"/>
      <c r="Q6" s="446">
        <f t="shared" si="0"/>
        <v>1001.587</v>
      </c>
    </row>
    <row r="7" spans="1:17">
      <c r="A7" s="446" t="s">
        <v>105</v>
      </c>
      <c r="B7" s="447">
        <f>landbouw!B8</f>
        <v>2001.5850463784</v>
      </c>
      <c r="C7" s="447">
        <f>landbouw!C8</f>
        <v>5637.8571428571431</v>
      </c>
      <c r="D7" s="447">
        <f>landbouw!D8</f>
        <v>0</v>
      </c>
      <c r="E7" s="447">
        <f>landbouw!E8</f>
        <v>57.328783030321262</v>
      </c>
      <c r="F7" s="447">
        <f>landbouw!F8</f>
        <v>6335.9843124269191</v>
      </c>
      <c r="G7" s="447">
        <f>landbouw!G8</f>
        <v>0</v>
      </c>
      <c r="H7" s="447">
        <f>landbouw!H8</f>
        <v>0</v>
      </c>
      <c r="I7" s="447">
        <f>landbouw!I8</f>
        <v>0</v>
      </c>
      <c r="J7" s="447">
        <f>landbouw!J8</f>
        <v>508.9402227357856</v>
      </c>
      <c r="K7" s="447">
        <f>landbouw!K8</f>
        <v>0</v>
      </c>
      <c r="L7" s="447">
        <f>landbouw!L8</f>
        <v>0</v>
      </c>
      <c r="M7" s="447">
        <f>landbouw!M8</f>
        <v>0</v>
      </c>
      <c r="N7" s="447">
        <f>landbouw!N8</f>
        <v>0</v>
      </c>
      <c r="O7" s="447">
        <f>landbouw!O8</f>
        <v>0</v>
      </c>
      <c r="P7" s="448">
        <f>landbouw!P8</f>
        <v>0</v>
      </c>
      <c r="Q7" s="446">
        <f t="shared" si="0"/>
        <v>14541.695507428569</v>
      </c>
    </row>
    <row r="8" spans="1:17">
      <c r="A8" s="446" t="s">
        <v>611</v>
      </c>
      <c r="B8" s="447">
        <f>industrie!B18</f>
        <v>2258.4272083615174</v>
      </c>
      <c r="C8" s="447">
        <f>industrie!C18</f>
        <v>0</v>
      </c>
      <c r="D8" s="447">
        <f>industrie!D18</f>
        <v>2210.8984835858887</v>
      </c>
      <c r="E8" s="447">
        <f>industrie!E18</f>
        <v>9.2325172115257015</v>
      </c>
      <c r="F8" s="447">
        <f>industrie!F18</f>
        <v>840.90094018257309</v>
      </c>
      <c r="G8" s="447">
        <f>industrie!G18</f>
        <v>0</v>
      </c>
      <c r="H8" s="447">
        <f>industrie!H18</f>
        <v>0</v>
      </c>
      <c r="I8" s="447">
        <f>industrie!I18</f>
        <v>0</v>
      </c>
      <c r="J8" s="447">
        <f>industrie!J18</f>
        <v>1.4765690695994227</v>
      </c>
      <c r="K8" s="447">
        <f>industrie!K18</f>
        <v>0</v>
      </c>
      <c r="L8" s="447">
        <f>industrie!L18</f>
        <v>0</v>
      </c>
      <c r="M8" s="447">
        <f>industrie!M18</f>
        <v>0</v>
      </c>
      <c r="N8" s="447">
        <f>industrie!N18</f>
        <v>86.024862357819842</v>
      </c>
      <c r="O8" s="447">
        <f>industrie!O18</f>
        <v>0</v>
      </c>
      <c r="P8" s="448">
        <f>industrie!P18</f>
        <v>0</v>
      </c>
      <c r="Q8" s="446">
        <f t="shared" si="0"/>
        <v>5406.960580768925</v>
      </c>
    </row>
    <row r="9" spans="1:17" s="452" customFormat="1">
      <c r="A9" s="450" t="s">
        <v>537</v>
      </c>
      <c r="B9" s="451">
        <f>transport!B14</f>
        <v>322.35192567339732</v>
      </c>
      <c r="C9" s="451">
        <f>transport!C14</f>
        <v>0</v>
      </c>
      <c r="D9" s="451">
        <f>transport!D14</f>
        <v>530.79240942560125</v>
      </c>
      <c r="E9" s="451">
        <f>transport!E14</f>
        <v>230.4621702414386</v>
      </c>
      <c r="F9" s="451">
        <f>transport!F14</f>
        <v>0</v>
      </c>
      <c r="G9" s="451">
        <f>transport!G14</f>
        <v>132228.29998918841</v>
      </c>
      <c r="H9" s="451">
        <f>transport!H14</f>
        <v>26596.803331456544</v>
      </c>
      <c r="I9" s="451">
        <f>transport!I14</f>
        <v>0</v>
      </c>
      <c r="J9" s="451">
        <f>transport!J14</f>
        <v>0</v>
      </c>
      <c r="K9" s="451">
        <f>transport!K14</f>
        <v>0</v>
      </c>
      <c r="L9" s="451">
        <f>transport!L14</f>
        <v>0</v>
      </c>
      <c r="M9" s="451">
        <f>transport!M14</f>
        <v>9477.7867007516088</v>
      </c>
      <c r="N9" s="451">
        <f>transport!N14</f>
        <v>0</v>
      </c>
      <c r="O9" s="451">
        <f>transport!O14</f>
        <v>0</v>
      </c>
      <c r="P9" s="451">
        <f>transport!P14</f>
        <v>0</v>
      </c>
      <c r="Q9" s="450">
        <f>SUM(B9:P9)</f>
        <v>169386.496526737</v>
      </c>
    </row>
    <row r="10" spans="1:17">
      <c r="A10" s="446" t="s">
        <v>527</v>
      </c>
      <c r="B10" s="447">
        <f>transport!B54</f>
        <v>8.1721877599515356</v>
      </c>
      <c r="C10" s="447">
        <f>transport!C54</f>
        <v>0</v>
      </c>
      <c r="D10" s="447">
        <f>transport!D54</f>
        <v>0</v>
      </c>
      <c r="E10" s="447">
        <f>transport!E54</f>
        <v>0</v>
      </c>
      <c r="F10" s="447">
        <f>transport!F54</f>
        <v>0</v>
      </c>
      <c r="G10" s="447">
        <f>transport!G54</f>
        <v>511.60366002689977</v>
      </c>
      <c r="H10" s="447">
        <f>transport!H54</f>
        <v>0</v>
      </c>
      <c r="I10" s="447">
        <f>transport!I54</f>
        <v>0</v>
      </c>
      <c r="J10" s="447">
        <f>transport!J54</f>
        <v>0</v>
      </c>
      <c r="K10" s="447">
        <f>transport!K54</f>
        <v>0</v>
      </c>
      <c r="L10" s="447">
        <f>transport!L54</f>
        <v>0</v>
      </c>
      <c r="M10" s="447">
        <f>transport!M54</f>
        <v>29.375149349117748</v>
      </c>
      <c r="N10" s="447">
        <f>transport!N54</f>
        <v>0</v>
      </c>
      <c r="O10" s="447">
        <f>transport!O54</f>
        <v>0</v>
      </c>
      <c r="P10" s="448">
        <f>transport!P54</f>
        <v>0</v>
      </c>
      <c r="Q10" s="446">
        <f t="shared" si="0"/>
        <v>549.15099713596896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603.934341740592</v>
      </c>
      <c r="C14" s="454"/>
      <c r="D14" s="454">
        <f>'SEAP template'!E25</f>
        <v>788.99079920107408</v>
      </c>
      <c r="E14" s="454"/>
      <c r="F14" s="454"/>
      <c r="G14" s="454"/>
      <c r="H14" s="454"/>
      <c r="I14" s="454"/>
      <c r="J14" s="454"/>
      <c r="K14" s="454"/>
      <c r="L14" s="454"/>
      <c r="M14" s="454"/>
      <c r="N14" s="454"/>
      <c r="O14" s="454"/>
      <c r="P14" s="455"/>
      <c r="Q14" s="446">
        <f t="shared" si="0"/>
        <v>1392.9251409416661</v>
      </c>
    </row>
    <row r="15" spans="1:17" s="458" customFormat="1">
      <c r="A15" s="456" t="s">
        <v>531</v>
      </c>
      <c r="B15" s="457">
        <f ca="1">SUM(B4:B14)</f>
        <v>40301.76726771157</v>
      </c>
      <c r="C15" s="457">
        <f t="shared" ref="C15:Q15" ca="1" si="1">SUM(C4:C14)</f>
        <v>5637.8571428571431</v>
      </c>
      <c r="D15" s="457">
        <f t="shared" ca="1" si="1"/>
        <v>54138.843083744905</v>
      </c>
      <c r="E15" s="457">
        <f t="shared" si="1"/>
        <v>1847.5870809830412</v>
      </c>
      <c r="F15" s="457">
        <f t="shared" ca="1" si="1"/>
        <v>41627.389391537596</v>
      </c>
      <c r="G15" s="457">
        <f t="shared" si="1"/>
        <v>132739.9036492153</v>
      </c>
      <c r="H15" s="457">
        <f t="shared" si="1"/>
        <v>26596.803331456544</v>
      </c>
      <c r="I15" s="457">
        <f t="shared" si="1"/>
        <v>0</v>
      </c>
      <c r="J15" s="457">
        <f t="shared" si="1"/>
        <v>698.18750384668056</v>
      </c>
      <c r="K15" s="457">
        <f t="shared" si="1"/>
        <v>0</v>
      </c>
      <c r="L15" s="457">
        <f t="shared" ca="1" si="1"/>
        <v>0</v>
      </c>
      <c r="M15" s="457">
        <f t="shared" si="1"/>
        <v>9507.161850100727</v>
      </c>
      <c r="N15" s="457">
        <f t="shared" ca="1" si="1"/>
        <v>7553.5538259970999</v>
      </c>
      <c r="O15" s="457">
        <f t="shared" si="1"/>
        <v>491.89636884273108</v>
      </c>
      <c r="P15" s="457">
        <f t="shared" si="1"/>
        <v>789.91628984444662</v>
      </c>
      <c r="Q15" s="457">
        <f t="shared" ca="1" si="1"/>
        <v>321930.86678613781</v>
      </c>
    </row>
    <row r="17" spans="1:17">
      <c r="A17" s="459" t="s">
        <v>532</v>
      </c>
      <c r="B17" s="776">
        <f ca="1">huishoudens!B10</f>
        <v>0.16966158537495238</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4165.3215840857856</v>
      </c>
      <c r="C22" s="447">
        <f t="shared" ref="C22:C32" ca="1" si="3">C4*$C$17</f>
        <v>0</v>
      </c>
      <c r="D22" s="447">
        <f t="shared" ref="D22:D32" si="4">D4*$D$17</f>
        <v>8024.1394711397816</v>
      </c>
      <c r="E22" s="447">
        <f t="shared" ref="E22:E32" si="5">E4*$E$17</f>
        <v>341.39198332098834</v>
      </c>
      <c r="F22" s="447">
        <f t="shared" ref="F22:F32" si="6">F4*$F$17</f>
        <v>8796.5789687098077</v>
      </c>
      <c r="G22" s="447">
        <f t="shared" ref="G22:G32" si="7">G4*$G$17</f>
        <v>0</v>
      </c>
      <c r="H22" s="447">
        <f t="shared" ref="H22:H32" si="8">H4*$H$17</f>
        <v>0</v>
      </c>
      <c r="I22" s="447">
        <f t="shared" ref="I22:I32" si="9">I4*$I$17</f>
        <v>0</v>
      </c>
      <c r="J22" s="447">
        <f t="shared" ref="J22:J32" si="10">J4*$J$17</f>
        <v>66.46802862465492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21393.900035881019</v>
      </c>
    </row>
    <row r="23" spans="1:17">
      <c r="A23" s="446" t="s">
        <v>149</v>
      </c>
      <c r="B23" s="447">
        <f t="shared" ca="1" si="2"/>
        <v>1621.1071698278408</v>
      </c>
      <c r="C23" s="447">
        <f t="shared" ca="1" si="3"/>
        <v>0</v>
      </c>
      <c r="D23" s="447">
        <f t="shared" ca="1" si="4"/>
        <v>2198.709129949752</v>
      </c>
      <c r="E23" s="447">
        <f t="shared" si="5"/>
        <v>10.585956262456188</v>
      </c>
      <c r="F23" s="447">
        <f t="shared" ca="1" si="6"/>
        <v>401.70563638399574</v>
      </c>
      <c r="G23" s="447">
        <f t="shared" si="7"/>
        <v>0</v>
      </c>
      <c r="H23" s="447">
        <f t="shared" si="8"/>
        <v>0</v>
      </c>
      <c r="I23" s="447">
        <f t="shared" si="9"/>
        <v>0</v>
      </c>
      <c r="J23" s="447">
        <f t="shared" si="10"/>
        <v>2.8034379636771851E-3</v>
      </c>
      <c r="K23" s="447">
        <f t="shared" si="11"/>
        <v>0</v>
      </c>
      <c r="L23" s="447">
        <f t="shared" ca="1" si="12"/>
        <v>0</v>
      </c>
      <c r="M23" s="447">
        <f t="shared" si="13"/>
        <v>0</v>
      </c>
      <c r="N23" s="447">
        <f t="shared" ca="1" si="14"/>
        <v>0</v>
      </c>
      <c r="O23" s="447">
        <f t="shared" si="15"/>
        <v>0</v>
      </c>
      <c r="P23" s="448">
        <f t="shared" si="16"/>
        <v>0</v>
      </c>
      <c r="Q23" s="446">
        <f t="shared" ref="Q23:Q31" ca="1" si="17">SUM(B23:P23)</f>
        <v>4232.1106958620085</v>
      </c>
    </row>
    <row r="24" spans="1:17">
      <c r="A24" s="446" t="s">
        <v>187</v>
      </c>
      <c r="B24" s="447">
        <f t="shared" ca="1" si="2"/>
        <v>169.93083831094242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169.93083831094242</v>
      </c>
    </row>
    <row r="25" spans="1:17">
      <c r="A25" s="446" t="s">
        <v>105</v>
      </c>
      <c r="B25" s="447">
        <f t="shared" ca="1" si="2"/>
        <v>339.5920922313569</v>
      </c>
      <c r="C25" s="447">
        <f t="shared" ca="1" si="3"/>
        <v>1339.8201680672271</v>
      </c>
      <c r="D25" s="447">
        <f t="shared" si="4"/>
        <v>0</v>
      </c>
      <c r="E25" s="447">
        <f t="shared" si="5"/>
        <v>13.013633747882928</v>
      </c>
      <c r="F25" s="447">
        <f t="shared" si="6"/>
        <v>1691.7078114179876</v>
      </c>
      <c r="G25" s="447">
        <f t="shared" si="7"/>
        <v>0</v>
      </c>
      <c r="H25" s="447">
        <f t="shared" si="8"/>
        <v>0</v>
      </c>
      <c r="I25" s="447">
        <f t="shared" si="9"/>
        <v>0</v>
      </c>
      <c r="J25" s="447">
        <f t="shared" si="10"/>
        <v>180.16483884846809</v>
      </c>
      <c r="K25" s="447">
        <f t="shared" si="11"/>
        <v>0</v>
      </c>
      <c r="L25" s="447">
        <f t="shared" si="12"/>
        <v>0</v>
      </c>
      <c r="M25" s="447">
        <f t="shared" si="13"/>
        <v>0</v>
      </c>
      <c r="N25" s="447">
        <f t="shared" si="14"/>
        <v>0</v>
      </c>
      <c r="O25" s="447">
        <f t="shared" si="15"/>
        <v>0</v>
      </c>
      <c r="P25" s="448">
        <f t="shared" si="16"/>
        <v>0</v>
      </c>
      <c r="Q25" s="446">
        <f t="shared" ca="1" si="17"/>
        <v>3564.2985443129228</v>
      </c>
    </row>
    <row r="26" spans="1:17">
      <c r="A26" s="446" t="s">
        <v>611</v>
      </c>
      <c r="B26" s="447">
        <f t="shared" ca="1" si="2"/>
        <v>383.16834062454296</v>
      </c>
      <c r="C26" s="447">
        <f t="shared" ca="1" si="3"/>
        <v>0</v>
      </c>
      <c r="D26" s="447">
        <f t="shared" si="4"/>
        <v>446.60149368434952</v>
      </c>
      <c r="E26" s="447">
        <f t="shared" si="5"/>
        <v>2.0957814070163341</v>
      </c>
      <c r="F26" s="447">
        <f t="shared" si="6"/>
        <v>224.52055102874704</v>
      </c>
      <c r="G26" s="447">
        <f t="shared" si="7"/>
        <v>0</v>
      </c>
      <c r="H26" s="447">
        <f t="shared" si="8"/>
        <v>0</v>
      </c>
      <c r="I26" s="447">
        <f t="shared" si="9"/>
        <v>0</v>
      </c>
      <c r="J26" s="447">
        <f t="shared" si="10"/>
        <v>0.52270545063819562</v>
      </c>
      <c r="K26" s="447">
        <f t="shared" si="11"/>
        <v>0</v>
      </c>
      <c r="L26" s="447">
        <f t="shared" si="12"/>
        <v>0</v>
      </c>
      <c r="M26" s="447">
        <f t="shared" si="13"/>
        <v>0</v>
      </c>
      <c r="N26" s="447">
        <f t="shared" si="14"/>
        <v>0</v>
      </c>
      <c r="O26" s="447">
        <f t="shared" si="15"/>
        <v>0</v>
      </c>
      <c r="P26" s="448">
        <f t="shared" si="16"/>
        <v>0</v>
      </c>
      <c r="Q26" s="446">
        <f t="shared" ca="1" si="17"/>
        <v>1056.908872195294</v>
      </c>
    </row>
    <row r="27" spans="1:17" s="452" customFormat="1">
      <c r="A27" s="450" t="s">
        <v>537</v>
      </c>
      <c r="B27" s="770">
        <f t="shared" ca="1" si="2"/>
        <v>54.690738758417403</v>
      </c>
      <c r="C27" s="451">
        <f t="shared" ca="1" si="3"/>
        <v>0</v>
      </c>
      <c r="D27" s="451">
        <f t="shared" si="4"/>
        <v>107.22006670397145</v>
      </c>
      <c r="E27" s="451">
        <f t="shared" si="5"/>
        <v>52.314912644806562</v>
      </c>
      <c r="F27" s="451">
        <f t="shared" si="6"/>
        <v>0</v>
      </c>
      <c r="G27" s="451">
        <f t="shared" si="7"/>
        <v>35304.956097113311</v>
      </c>
      <c r="H27" s="451">
        <f t="shared" si="8"/>
        <v>6622.6040295326793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42141.785844753191</v>
      </c>
    </row>
    <row r="28" spans="1:17" ht="16.5" customHeight="1">
      <c r="A28" s="446" t="s">
        <v>527</v>
      </c>
      <c r="B28" s="447">
        <f t="shared" ca="1" si="2"/>
        <v>1.3865063313351582</v>
      </c>
      <c r="C28" s="447">
        <f t="shared" ca="1" si="3"/>
        <v>0</v>
      </c>
      <c r="D28" s="447">
        <f t="shared" si="4"/>
        <v>0</v>
      </c>
      <c r="E28" s="447">
        <f t="shared" si="5"/>
        <v>0</v>
      </c>
      <c r="F28" s="447">
        <f t="shared" si="6"/>
        <v>0</v>
      </c>
      <c r="G28" s="447">
        <f t="shared" si="7"/>
        <v>136.59817722718225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137.98468355851742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102.46445788208712</v>
      </c>
      <c r="C32" s="447">
        <f t="shared" ca="1" si="3"/>
        <v>0</v>
      </c>
      <c r="D32" s="447">
        <f t="shared" si="4"/>
        <v>159.37614143861697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261.84059932070409</v>
      </c>
    </row>
    <row r="33" spans="1:17" s="458" customFormat="1">
      <c r="A33" s="456" t="s">
        <v>531</v>
      </c>
      <c r="B33" s="457">
        <f ca="1">SUM(B22:B32)</f>
        <v>6837.6617280523087</v>
      </c>
      <c r="C33" s="457">
        <f t="shared" ref="C33:Q33" ca="1" si="19">SUM(C22:C32)</f>
        <v>1339.8201680672271</v>
      </c>
      <c r="D33" s="457">
        <f t="shared" ca="1" si="19"/>
        <v>10936.046302916471</v>
      </c>
      <c r="E33" s="457">
        <f t="shared" si="19"/>
        <v>419.40226738315033</v>
      </c>
      <c r="F33" s="457">
        <f t="shared" ca="1" si="19"/>
        <v>11114.512967540539</v>
      </c>
      <c r="G33" s="457">
        <f t="shared" si="19"/>
        <v>35441.554274340495</v>
      </c>
      <c r="H33" s="457">
        <f t="shared" si="19"/>
        <v>6622.6040295326793</v>
      </c>
      <c r="I33" s="457">
        <f t="shared" si="19"/>
        <v>0</v>
      </c>
      <c r="J33" s="457">
        <f t="shared" si="19"/>
        <v>247.15837636172489</v>
      </c>
      <c r="K33" s="457">
        <f t="shared" si="19"/>
        <v>0</v>
      </c>
      <c r="L33" s="457">
        <f t="shared" ca="1" si="19"/>
        <v>0</v>
      </c>
      <c r="M33" s="457">
        <f t="shared" si="19"/>
        <v>0</v>
      </c>
      <c r="N33" s="457">
        <f t="shared" ca="1" si="19"/>
        <v>0</v>
      </c>
      <c r="O33" s="457">
        <f t="shared" si="19"/>
        <v>0</v>
      </c>
      <c r="P33" s="457">
        <f t="shared" si="19"/>
        <v>0</v>
      </c>
      <c r="Q33" s="457">
        <f t="shared" ca="1" si="19"/>
        <v>72958.760114194592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4870.1276170123519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4789.2681104039711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3946.5</v>
      </c>
      <c r="D8" s="1014">
        <f>'SEAP template'!D76</f>
        <v>4642.9411764705883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937.87411764705894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9659.3957274163222</v>
      </c>
      <c r="C10" s="1016">
        <f>SUM(C4:C9)</f>
        <v>3946.5</v>
      </c>
      <c r="D10" s="1016">
        <f t="shared" ref="D10:H10" si="0">SUM(D8:D9)</f>
        <v>4642.9411764705883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937.87411764705894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0.16966158537495238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5637.8571428571431</v>
      </c>
      <c r="D17" s="1015">
        <f>'SEAP template'!D87</f>
        <v>6632.7731092436979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1339.8201680672271</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5637.8571428571431</v>
      </c>
      <c r="D20" s="1016">
        <f t="shared" ref="D20:H20" si="2">SUM(D17:D19)</f>
        <v>6632.7731092436979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1339.8201680672271</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0.16966158537495238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0.16966158537495238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0.16966158537495238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5275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1873.68</v>
      </c>
      <c r="C14" s="326"/>
      <c r="D14" s="326"/>
      <c r="E14" s="326"/>
      <c r="F14" s="326"/>
    </row>
    <row r="15" spans="1:6">
      <c r="A15" s="1310" t="s">
        <v>177</v>
      </c>
      <c r="B15" s="1311">
        <v>15</v>
      </c>
      <c r="C15" s="326"/>
      <c r="D15" s="326"/>
      <c r="E15" s="326"/>
      <c r="F15" s="326"/>
    </row>
    <row r="16" spans="1:6">
      <c r="A16" s="1310" t="s">
        <v>6</v>
      </c>
      <c r="B16" s="1311">
        <v>452</v>
      </c>
      <c r="C16" s="326"/>
      <c r="D16" s="326"/>
      <c r="E16" s="326"/>
      <c r="F16" s="326"/>
    </row>
    <row r="17" spans="1:6">
      <c r="A17" s="1310" t="s">
        <v>7</v>
      </c>
      <c r="B17" s="1311">
        <v>171</v>
      </c>
      <c r="C17" s="326"/>
      <c r="D17" s="326"/>
      <c r="E17" s="326"/>
      <c r="F17" s="326"/>
    </row>
    <row r="18" spans="1:6">
      <c r="A18" s="1310" t="s">
        <v>8</v>
      </c>
      <c r="B18" s="1311">
        <v>259</v>
      </c>
      <c r="C18" s="326"/>
      <c r="D18" s="326"/>
      <c r="E18" s="326"/>
      <c r="F18" s="326"/>
    </row>
    <row r="19" spans="1:6">
      <c r="A19" s="1310" t="s">
        <v>9</v>
      </c>
      <c r="B19" s="1311">
        <v>386</v>
      </c>
      <c r="C19" s="326"/>
      <c r="D19" s="326"/>
      <c r="E19" s="326"/>
      <c r="F19" s="326"/>
    </row>
    <row r="20" spans="1:6">
      <c r="A20" s="1310" t="s">
        <v>10</v>
      </c>
      <c r="B20" s="1311">
        <v>215</v>
      </c>
      <c r="C20" s="326"/>
      <c r="D20" s="326"/>
      <c r="E20" s="326"/>
      <c r="F20" s="326"/>
    </row>
    <row r="21" spans="1:6">
      <c r="A21" s="1310" t="s">
        <v>11</v>
      </c>
      <c r="B21" s="1311">
        <v>25</v>
      </c>
      <c r="C21" s="326"/>
      <c r="D21" s="326"/>
      <c r="E21" s="326"/>
      <c r="F21" s="326"/>
    </row>
    <row r="22" spans="1:6">
      <c r="A22" s="1310" t="s">
        <v>12</v>
      </c>
      <c r="B22" s="1311">
        <v>792</v>
      </c>
      <c r="C22" s="326"/>
      <c r="D22" s="326"/>
      <c r="E22" s="326"/>
      <c r="F22" s="326"/>
    </row>
    <row r="23" spans="1:6">
      <c r="A23" s="1310" t="s">
        <v>13</v>
      </c>
      <c r="B23" s="1311">
        <v>0</v>
      </c>
      <c r="C23" s="326"/>
      <c r="D23" s="326"/>
      <c r="E23" s="326"/>
      <c r="F23" s="326"/>
    </row>
    <row r="24" spans="1:6">
      <c r="A24" s="1310" t="s">
        <v>14</v>
      </c>
      <c r="B24" s="1311">
        <v>1</v>
      </c>
      <c r="C24" s="326"/>
      <c r="D24" s="326"/>
      <c r="E24" s="326"/>
      <c r="F24" s="326"/>
    </row>
    <row r="25" spans="1:6">
      <c r="A25" s="1310" t="s">
        <v>15</v>
      </c>
      <c r="B25" s="1311">
        <v>14</v>
      </c>
      <c r="C25" s="326"/>
      <c r="D25" s="326"/>
      <c r="E25" s="326"/>
      <c r="F25" s="326"/>
    </row>
    <row r="26" spans="1:6">
      <c r="A26" s="1310" t="s">
        <v>16</v>
      </c>
      <c r="B26" s="1311">
        <v>65</v>
      </c>
      <c r="C26" s="326"/>
      <c r="D26" s="326"/>
      <c r="E26" s="326"/>
      <c r="F26" s="326"/>
    </row>
    <row r="27" spans="1:6">
      <c r="A27" s="1310" t="s">
        <v>17</v>
      </c>
      <c r="B27" s="1311">
        <v>0</v>
      </c>
      <c r="C27" s="326"/>
      <c r="D27" s="326"/>
      <c r="E27" s="326"/>
      <c r="F27" s="326"/>
    </row>
    <row r="28" spans="1:6">
      <c r="A28" s="1310" t="s">
        <v>18</v>
      </c>
      <c r="B28" s="1312">
        <v>18397</v>
      </c>
      <c r="C28" s="326"/>
      <c r="D28" s="326"/>
      <c r="E28" s="326"/>
      <c r="F28" s="326"/>
    </row>
    <row r="29" spans="1:6">
      <c r="A29" s="1310" t="s">
        <v>678</v>
      </c>
      <c r="B29" s="1312">
        <v>352</v>
      </c>
      <c r="C29" s="326"/>
      <c r="D29" s="326"/>
      <c r="E29" s="326"/>
      <c r="F29" s="326"/>
    </row>
    <row r="30" spans="1:6">
      <c r="A30" s="1305" t="s">
        <v>679</v>
      </c>
      <c r="B30" s="1313">
        <v>77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20536.474007616402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2985</v>
      </c>
      <c r="D39" s="1311">
        <v>43990545.657159202</v>
      </c>
      <c r="E39" s="1311">
        <v>5015</v>
      </c>
      <c r="F39" s="1311">
        <v>20529511.0449077</v>
      </c>
    </row>
    <row r="40" spans="1:6">
      <c r="A40" s="1310" t="s">
        <v>29</v>
      </c>
      <c r="B40" s="1310" t="s">
        <v>28</v>
      </c>
      <c r="C40" s="1311">
        <v>0</v>
      </c>
      <c r="D40" s="1311">
        <v>0</v>
      </c>
      <c r="E40" s="1311">
        <v>0</v>
      </c>
      <c r="F40" s="1311">
        <v>0</v>
      </c>
    </row>
    <row r="41" spans="1:6">
      <c r="A41" s="1310" t="s">
        <v>31</v>
      </c>
      <c r="B41" s="1310" t="s">
        <v>32</v>
      </c>
      <c r="C41" s="1311">
        <v>63</v>
      </c>
      <c r="D41" s="1311">
        <v>1267015.72614804</v>
      </c>
      <c r="E41" s="1311">
        <v>145</v>
      </c>
      <c r="F41" s="1311">
        <v>1207025.1739934599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785499.36109747202</v>
      </c>
      <c r="E44" s="1311">
        <v>13</v>
      </c>
      <c r="F44" s="1311">
        <v>816864.79403280304</v>
      </c>
    </row>
    <row r="45" spans="1:6">
      <c r="A45" s="1310" t="s">
        <v>31</v>
      </c>
      <c r="B45" s="1310" t="s">
        <v>36</v>
      </c>
      <c r="C45" s="1311">
        <v>0</v>
      </c>
      <c r="D45" s="1311">
        <v>0</v>
      </c>
      <c r="E45" s="1311">
        <v>3</v>
      </c>
      <c r="F45" s="1311">
        <v>22280.385571791099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34774.608458727897</v>
      </c>
      <c r="E48" s="1311">
        <v>1</v>
      </c>
      <c r="F48" s="1311">
        <v>1863.6429216729</v>
      </c>
    </row>
    <row r="49" spans="1:6">
      <c r="A49" s="1310" t="s">
        <v>31</v>
      </c>
      <c r="B49" s="1310" t="s">
        <v>39</v>
      </c>
      <c r="C49" s="1311">
        <v>3</v>
      </c>
      <c r="D49" s="1311">
        <v>92548.812676151094</v>
      </c>
      <c r="E49" s="1311">
        <v>4</v>
      </c>
      <c r="F49" s="1311">
        <v>26027.886188613</v>
      </c>
    </row>
    <row r="50" spans="1:6">
      <c r="A50" s="1310" t="s">
        <v>31</v>
      </c>
      <c r="B50" s="1310" t="s">
        <v>40</v>
      </c>
      <c r="C50" s="1311">
        <v>3</v>
      </c>
      <c r="D50" s="1311">
        <v>268554.05373022699</v>
      </c>
      <c r="E50" s="1311">
        <v>6</v>
      </c>
      <c r="F50" s="1311">
        <v>184365.32565317699</v>
      </c>
    </row>
    <row r="51" spans="1:6">
      <c r="A51" s="1310" t="s">
        <v>41</v>
      </c>
      <c r="B51" s="1310" t="s">
        <v>42</v>
      </c>
      <c r="C51" s="1311">
        <v>13</v>
      </c>
      <c r="D51" s="1311">
        <v>12460234.459242299</v>
      </c>
      <c r="E51" s="1311">
        <v>95</v>
      </c>
      <c r="F51" s="1311">
        <v>2001585.0463783999</v>
      </c>
    </row>
    <row r="52" spans="1:6">
      <c r="A52" s="1310" t="s">
        <v>41</v>
      </c>
      <c r="B52" s="1310" t="s">
        <v>28</v>
      </c>
      <c r="C52" s="1311">
        <v>0</v>
      </c>
      <c r="D52" s="1311">
        <v>0</v>
      </c>
      <c r="E52" s="1311">
        <v>0</v>
      </c>
      <c r="F52" s="1311">
        <v>0</v>
      </c>
    </row>
    <row r="53" spans="1:6">
      <c r="A53" s="1310" t="s">
        <v>43</v>
      </c>
      <c r="B53" s="1310" t="s">
        <v>44</v>
      </c>
      <c r="C53" s="1311">
        <v>57</v>
      </c>
      <c r="D53" s="1311">
        <v>788990.79920107406</v>
      </c>
      <c r="E53" s="1311">
        <v>169</v>
      </c>
      <c r="F53" s="1311">
        <v>603934.34174059203</v>
      </c>
    </row>
    <row r="54" spans="1:6">
      <c r="A54" s="1310" t="s">
        <v>45</v>
      </c>
      <c r="B54" s="1310" t="s">
        <v>46</v>
      </c>
      <c r="C54" s="1311">
        <v>0</v>
      </c>
      <c r="D54" s="1311">
        <v>0</v>
      </c>
      <c r="E54" s="1311">
        <v>1</v>
      </c>
      <c r="F54" s="1311">
        <v>1001587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1184246.2543464201</v>
      </c>
      <c r="E57" s="1311">
        <v>59</v>
      </c>
      <c r="F57" s="1311">
        <v>782992.04220230901</v>
      </c>
    </row>
    <row r="58" spans="1:6">
      <c r="A58" s="1310" t="s">
        <v>48</v>
      </c>
      <c r="B58" s="1310" t="s">
        <v>50</v>
      </c>
      <c r="C58" s="1311">
        <v>19</v>
      </c>
      <c r="D58" s="1311">
        <v>1269555.0168457101</v>
      </c>
      <c r="E58" s="1311">
        <v>29</v>
      </c>
      <c r="F58" s="1311">
        <v>387625.72698928003</v>
      </c>
    </row>
    <row r="59" spans="1:6">
      <c r="A59" s="1310" t="s">
        <v>48</v>
      </c>
      <c r="B59" s="1310" t="s">
        <v>51</v>
      </c>
      <c r="C59" s="1311">
        <v>78</v>
      </c>
      <c r="D59" s="1311">
        <v>2612741.3963880399</v>
      </c>
      <c r="E59" s="1311">
        <v>155</v>
      </c>
      <c r="F59" s="1311">
        <v>4493048.0484329602</v>
      </c>
    </row>
    <row r="60" spans="1:6">
      <c r="A60" s="1310" t="s">
        <v>48</v>
      </c>
      <c r="B60" s="1310" t="s">
        <v>52</v>
      </c>
      <c r="C60" s="1311">
        <v>43</v>
      </c>
      <c r="D60" s="1311">
        <v>1332463.41208443</v>
      </c>
      <c r="E60" s="1311">
        <v>59</v>
      </c>
      <c r="F60" s="1311">
        <v>915089.24348161905</v>
      </c>
    </row>
    <row r="61" spans="1:6">
      <c r="A61" s="1310" t="s">
        <v>48</v>
      </c>
      <c r="B61" s="1310" t="s">
        <v>53</v>
      </c>
      <c r="C61" s="1311">
        <v>99</v>
      </c>
      <c r="D61" s="1311">
        <v>3721105.7234001802</v>
      </c>
      <c r="E61" s="1311">
        <v>215</v>
      </c>
      <c r="F61" s="1311">
        <v>2381199.9084816701</v>
      </c>
    </row>
    <row r="62" spans="1:6">
      <c r="A62" s="1310" t="s">
        <v>48</v>
      </c>
      <c r="B62" s="1310" t="s">
        <v>54</v>
      </c>
      <c r="C62" s="1311">
        <v>26</v>
      </c>
      <c r="D62" s="1311">
        <v>1933818.05642313</v>
      </c>
      <c r="E62" s="1311">
        <v>61</v>
      </c>
      <c r="F62" s="1311">
        <v>594990.34254743997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37838.361399347697</v>
      </c>
      <c r="E65" s="1311">
        <v>3</v>
      </c>
      <c r="F65" s="1311">
        <v>61666.026497832805</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5</v>
      </c>
      <c r="D68" s="1313">
        <v>147677.91495649799</v>
      </c>
      <c r="E68" s="1313">
        <v>12</v>
      </c>
      <c r="F68" s="1313">
        <v>263679.52957076801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35196961</v>
      </c>
      <c r="E73" s="445"/>
      <c r="F73" s="326"/>
    </row>
    <row r="74" spans="1:6">
      <c r="A74" s="1310" t="s">
        <v>63</v>
      </c>
      <c r="B74" s="1310" t="s">
        <v>632</v>
      </c>
      <c r="C74" s="1323" t="s">
        <v>634</v>
      </c>
      <c r="D74" s="1311">
        <v>4481830.4493348859</v>
      </c>
      <c r="E74" s="445"/>
      <c r="F74" s="326"/>
    </row>
    <row r="75" spans="1:6">
      <c r="A75" s="1310" t="s">
        <v>64</v>
      </c>
      <c r="B75" s="1310" t="s">
        <v>631</v>
      </c>
      <c r="C75" s="1323" t="s">
        <v>635</v>
      </c>
      <c r="D75" s="1311">
        <v>28123780</v>
      </c>
      <c r="E75" s="445"/>
      <c r="F75" s="326"/>
    </row>
    <row r="76" spans="1:6">
      <c r="A76" s="1310" t="s">
        <v>64</v>
      </c>
      <c r="B76" s="1310" t="s">
        <v>632</v>
      </c>
      <c r="C76" s="1323" t="s">
        <v>636</v>
      </c>
      <c r="D76" s="1311">
        <v>2102240.4493348855</v>
      </c>
      <c r="E76" s="445"/>
      <c r="F76" s="326"/>
    </row>
    <row r="77" spans="1:6">
      <c r="A77" s="1310" t="s">
        <v>65</v>
      </c>
      <c r="B77" s="1310" t="s">
        <v>631</v>
      </c>
      <c r="C77" s="1323" t="s">
        <v>637</v>
      </c>
      <c r="D77" s="1311">
        <v>79801311</v>
      </c>
      <c r="E77" s="445"/>
      <c r="F77" s="326"/>
    </row>
    <row r="78" spans="1:6">
      <c r="A78" s="1305" t="s">
        <v>65</v>
      </c>
      <c r="B78" s="1305" t="s">
        <v>632</v>
      </c>
      <c r="C78" s="1305" t="s">
        <v>638</v>
      </c>
      <c r="D78" s="1313">
        <v>19322216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152429.10133022899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4870.1276170123519</v>
      </c>
      <c r="C90" s="326"/>
      <c r="D90" s="326"/>
      <c r="E90" s="326"/>
      <c r="F90" s="326"/>
    </row>
    <row r="91" spans="1:6">
      <c r="A91" s="1310" t="s">
        <v>67</v>
      </c>
      <c r="B91" s="1311">
        <v>4021.2532007547334</v>
      </c>
      <c r="C91" s="326"/>
      <c r="D91" s="326"/>
      <c r="E91" s="326"/>
      <c r="F91" s="326"/>
    </row>
    <row r="92" spans="1:6">
      <c r="A92" s="1305" t="s">
        <v>68</v>
      </c>
      <c r="B92" s="1306">
        <v>768.01490964923801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1184</v>
      </c>
      <c r="C97" s="326"/>
      <c r="D97" s="326"/>
      <c r="E97" s="326"/>
      <c r="F97" s="326"/>
    </row>
    <row r="98" spans="1:6">
      <c r="A98" s="1310" t="s">
        <v>71</v>
      </c>
      <c r="B98" s="1311">
        <v>0</v>
      </c>
      <c r="C98" s="326"/>
      <c r="D98" s="326"/>
      <c r="E98" s="326"/>
      <c r="F98" s="326"/>
    </row>
    <row r="99" spans="1:6">
      <c r="A99" s="1310" t="s">
        <v>72</v>
      </c>
      <c r="B99" s="1311">
        <v>71</v>
      </c>
      <c r="C99" s="326"/>
      <c r="D99" s="326"/>
      <c r="E99" s="326"/>
      <c r="F99" s="326"/>
    </row>
    <row r="100" spans="1:6">
      <c r="A100" s="1310" t="s">
        <v>73</v>
      </c>
      <c r="B100" s="1311">
        <v>746</v>
      </c>
      <c r="C100" s="326"/>
      <c r="D100" s="326"/>
      <c r="E100" s="326"/>
      <c r="F100" s="326"/>
    </row>
    <row r="101" spans="1:6">
      <c r="A101" s="1310" t="s">
        <v>74</v>
      </c>
      <c r="B101" s="1311">
        <v>80</v>
      </c>
      <c r="C101" s="326"/>
      <c r="D101" s="326"/>
      <c r="E101" s="326"/>
      <c r="F101" s="326"/>
    </row>
    <row r="102" spans="1:6">
      <c r="A102" s="1310" t="s">
        <v>75</v>
      </c>
      <c r="B102" s="1311">
        <v>62</v>
      </c>
      <c r="C102" s="326"/>
      <c r="D102" s="326"/>
      <c r="E102" s="326"/>
      <c r="F102" s="326"/>
    </row>
    <row r="103" spans="1:6">
      <c r="A103" s="1310" t="s">
        <v>76</v>
      </c>
      <c r="B103" s="1311">
        <v>348</v>
      </c>
      <c r="C103" s="326"/>
      <c r="D103" s="326"/>
      <c r="E103" s="326"/>
      <c r="F103" s="326"/>
    </row>
    <row r="104" spans="1:6">
      <c r="A104" s="1310" t="s">
        <v>77</v>
      </c>
      <c r="B104" s="1311">
        <v>2007</v>
      </c>
      <c r="C104" s="326"/>
      <c r="D104" s="326"/>
      <c r="E104" s="326"/>
      <c r="F104" s="326"/>
    </row>
    <row r="105" spans="1:6">
      <c r="A105" s="1305" t="s">
        <v>78</v>
      </c>
      <c r="B105" s="131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43</v>
      </c>
      <c r="C123" s="1311">
        <v>42</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200</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40301.76726771157</v>
      </c>
      <c r="C3" s="43" t="s">
        <v>163</v>
      </c>
      <c r="D3" s="43"/>
      <c r="E3" s="154"/>
      <c r="F3" s="43"/>
      <c r="G3" s="43"/>
      <c r="H3" s="43"/>
      <c r="I3" s="43"/>
      <c r="J3" s="43"/>
      <c r="K3" s="96"/>
    </row>
    <row r="4" spans="1:11">
      <c r="A4" s="352" t="s">
        <v>164</v>
      </c>
      <c r="B4" s="49">
        <f>IF(ISERROR('SEAP template'!B78+'SEAP template'!C78),0,'SEAP template'!B78+'SEAP template'!C78)</f>
        <v>13605.895727416322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937.87411764705894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0.16966158537495238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1339.8201680672271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5637.8571428571431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1001.587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1001.587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0.16966158537495238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169.93083831094242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20529.5110449077</v>
      </c>
      <c r="C5" s="17">
        <f>IF(ISERROR('Eigen informatie GS &amp; warmtenet'!B59),0,'Eigen informatie GS &amp; warmtenet'!B59)</f>
        <v>0</v>
      </c>
      <c r="D5" s="30">
        <f>(SUM(HH_hh_gas_kWh,HH_rest_gas_kWh)/1000)*0.903</f>
        <v>39723.462728414757</v>
      </c>
      <c r="E5" s="17">
        <f>B32*B41</f>
        <v>1503.9294419426799</v>
      </c>
      <c r="F5" s="17">
        <f>B36*B45</f>
        <v>32945.988646853213</v>
      </c>
      <c r="G5" s="18"/>
      <c r="H5" s="17"/>
      <c r="I5" s="17"/>
      <c r="J5" s="17">
        <f>B35*B44+C35*C44</f>
        <v>187.76279272501392</v>
      </c>
      <c r="K5" s="17"/>
      <c r="L5" s="17"/>
      <c r="M5" s="17"/>
      <c r="N5" s="17">
        <f>B34*B43+C34*C43</f>
        <v>7158.2562731246799</v>
      </c>
      <c r="O5" s="17">
        <f>B52*B53*B54</f>
        <v>482.10184731104874</v>
      </c>
      <c r="P5" s="17">
        <f>B60*B61*B62/1000-B60*B61*B62/1000/B63</f>
        <v>737.37715153795159</v>
      </c>
    </row>
    <row r="6" spans="1:16">
      <c r="A6" s="16" t="s">
        <v>597</v>
      </c>
      <c r="B6" s="778">
        <f>kWh_PV_kleiner_dan_10kW</f>
        <v>4021.2532007547334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24550.764245662434</v>
      </c>
      <c r="C8" s="21">
        <f>C5</f>
        <v>0</v>
      </c>
      <c r="D8" s="21">
        <f>D5</f>
        <v>39723.462728414757</v>
      </c>
      <c r="E8" s="21">
        <f>E5</f>
        <v>1503.9294419426799</v>
      </c>
      <c r="F8" s="21">
        <f>F5</f>
        <v>32945.988646853213</v>
      </c>
      <c r="G8" s="21"/>
      <c r="H8" s="21"/>
      <c r="I8" s="21"/>
      <c r="J8" s="21">
        <f>J5</f>
        <v>187.76279272501392</v>
      </c>
      <c r="K8" s="21"/>
      <c r="L8" s="21">
        <f>L5</f>
        <v>0</v>
      </c>
      <c r="M8" s="21">
        <f>M5</f>
        <v>0</v>
      </c>
      <c r="N8" s="21">
        <f>N5</f>
        <v>7158.2562731246799</v>
      </c>
      <c r="O8" s="21">
        <f>O5</f>
        <v>482.10184731104874</v>
      </c>
      <c r="P8" s="21">
        <f>P5</f>
        <v>737.37715153795159</v>
      </c>
    </row>
    <row r="9" spans="1:16">
      <c r="B9" s="19"/>
      <c r="C9" s="19"/>
      <c r="D9" s="254"/>
      <c r="E9" s="19"/>
      <c r="F9" s="19"/>
      <c r="G9" s="19"/>
      <c r="H9" s="19"/>
      <c r="I9" s="19"/>
      <c r="J9" s="19"/>
      <c r="K9" s="19"/>
      <c r="L9" s="19"/>
      <c r="M9" s="19"/>
      <c r="N9" s="19"/>
      <c r="O9" s="19"/>
      <c r="P9" s="19"/>
    </row>
    <row r="10" spans="1:16">
      <c r="A10" s="24" t="s">
        <v>207</v>
      </c>
      <c r="B10" s="25">
        <f ca="1">'EF ele_warmte'!B12</f>
        <v>0.16966158537495238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4165.3215840857856</v>
      </c>
      <c r="C12" s="23">
        <f ca="1">C10*C8</f>
        <v>0</v>
      </c>
      <c r="D12" s="23">
        <f>D8*D10</f>
        <v>8024.1394711397816</v>
      </c>
      <c r="E12" s="23">
        <f>E10*E8</f>
        <v>341.39198332098834</v>
      </c>
      <c r="F12" s="23">
        <f>F10*F8</f>
        <v>8796.5789687098077</v>
      </c>
      <c r="G12" s="23"/>
      <c r="H12" s="23"/>
      <c r="I12" s="23"/>
      <c r="J12" s="23">
        <f>J10*J8</f>
        <v>66.46802862465492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5275</v>
      </c>
      <c r="C26" s="36"/>
      <c r="D26" s="225"/>
    </row>
    <row r="27" spans="1:5" s="15" customFormat="1">
      <c r="A27" s="227" t="s">
        <v>860</v>
      </c>
      <c r="B27" s="37">
        <f>SUM(HH_hh_gas_aantal,HH_rest_gas_aantal)</f>
        <v>2985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2835.75</v>
      </c>
      <c r="C31" s="34" t="s">
        <v>104</v>
      </c>
      <c r="D31" s="171"/>
    </row>
    <row r="32" spans="1:5">
      <c r="A32" s="168" t="s">
        <v>72</v>
      </c>
      <c r="B32" s="33">
        <f>IF((B21*($B$26-($B$27-0.05*$B$27)-$B$60))&lt;0,0,(B21*($B$26-($B$27-0.05*$B$27)-$B$60)))</f>
        <v>37.612314505604786</v>
      </c>
      <c r="C32" s="34" t="s">
        <v>104</v>
      </c>
      <c r="D32" s="171"/>
    </row>
    <row r="33" spans="1:6">
      <c r="A33" s="168" t="s">
        <v>73</v>
      </c>
      <c r="B33" s="33">
        <f>IF((B22*($B$26-($B$27-0.05*$B$27)-$B$60))&lt;0,0,B22*($B$26-($B$27-0.05*$B$27)-$B$60))</f>
        <v>610.74949556452736</v>
      </c>
      <c r="C33" s="34" t="s">
        <v>104</v>
      </c>
      <c r="D33" s="171"/>
    </row>
    <row r="34" spans="1:6">
      <c r="A34" s="168" t="s">
        <v>74</v>
      </c>
      <c r="B34" s="33">
        <f>IF((B24*($B$26-($B$27-0.05*$B$27)-$B$60))&lt;0,0,B24*($B$26-($B$27-0.05*$B$27)-$B$60))</f>
        <v>117.08885163291589</v>
      </c>
      <c r="C34" s="33">
        <f>B26*C24</f>
        <v>1080.8788324795205</v>
      </c>
      <c r="D34" s="230"/>
    </row>
    <row r="35" spans="1:6">
      <c r="A35" s="168" t="s">
        <v>76</v>
      </c>
      <c r="B35" s="33">
        <f>IF((B19*($B$26-($B$27-0.05*$B$27)-$B$60))&lt;0,0,B19*($B$26-($B$27-0.05*$B$27)-$B$60))</f>
        <v>16.349983445374217</v>
      </c>
      <c r="C35" s="33">
        <f>B35/2</f>
        <v>8.1749917226871087</v>
      </c>
      <c r="D35" s="230"/>
    </row>
    <row r="36" spans="1:6">
      <c r="A36" s="168" t="s">
        <v>77</v>
      </c>
      <c r="B36" s="33">
        <f>IF((B18*($B$26-($B$27-0.05*$B$27)-$B$60))&lt;0,0,B18*($B$26-($B$27-0.05*$B$27)-$B$60))</f>
        <v>1587.4493548515773</v>
      </c>
      <c r="C36" s="34" t="s">
        <v>104</v>
      </c>
      <c r="D36" s="171"/>
    </row>
    <row r="37" spans="1:6">
      <c r="A37" s="168" t="s">
        <v>78</v>
      </c>
      <c r="B37" s="33">
        <f>B60</f>
        <v>70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9554.9453121352799</v>
      </c>
      <c r="C5" s="17">
        <f>IF(ISERROR('Eigen informatie GS &amp; warmtenet'!B60),0,'Eigen informatie GS &amp; warmtenet'!B60)</f>
        <v>0</v>
      </c>
      <c r="D5" s="30">
        <f>SUM(D6:D12)</f>
        <v>10884.698663117584</v>
      </c>
      <c r="E5" s="17">
        <f>SUM(E6:E12)</f>
        <v>46.634168557075718</v>
      </c>
      <c r="F5" s="17">
        <f>SUM(F6:F12)</f>
        <v>1504.5154920748903</v>
      </c>
      <c r="G5" s="18"/>
      <c r="H5" s="17"/>
      <c r="I5" s="17"/>
      <c r="J5" s="17">
        <f>SUM(J6:J12)</f>
        <v>7.9193162815739699E-3</v>
      </c>
      <c r="K5" s="17"/>
      <c r="L5" s="17"/>
      <c r="M5" s="17"/>
      <c r="N5" s="17">
        <f>SUM(N6:N12)</f>
        <v>309.27269051460007</v>
      </c>
      <c r="O5" s="17">
        <f>B38*B39*B40</f>
        <v>9.7945215316823084</v>
      </c>
      <c r="P5" s="17">
        <f>B46*B47*B48/1000-B46*B47*B48/1000/B49</f>
        <v>52.539138306495019</v>
      </c>
      <c r="R5" s="32"/>
    </row>
    <row r="6" spans="1:18">
      <c r="A6" s="32" t="s">
        <v>53</v>
      </c>
      <c r="B6" s="37">
        <f>B26</f>
        <v>2381.1999084816703</v>
      </c>
      <c r="C6" s="33"/>
      <c r="D6" s="37">
        <f>IF(ISERROR(TER_kantoor_gas_kWh/1000),0,TER_kantoor_gas_kWh/1000)*0.903</f>
        <v>3360.1584682303628</v>
      </c>
      <c r="E6" s="33">
        <f>$C$26*'E Balans VL '!I12/100/3.6*1000000</f>
        <v>0.56736975309130233</v>
      </c>
      <c r="F6" s="33">
        <f>$C$26*('E Balans VL '!L12+'E Balans VL '!N12)/100/3.6*1000000</f>
        <v>206.8305386406152</v>
      </c>
      <c r="G6" s="34"/>
      <c r="H6" s="33"/>
      <c r="I6" s="33"/>
      <c r="J6" s="33">
        <f>$C$26*('E Balans VL '!D12+'E Balans VL '!E12)/100/3.6*1000000</f>
        <v>0</v>
      </c>
      <c r="K6" s="33"/>
      <c r="L6" s="33"/>
      <c r="M6" s="33"/>
      <c r="N6" s="33">
        <f>$C$26*'E Balans VL '!Y12/100/3.6*1000000</f>
        <v>3.1828068080269292</v>
      </c>
      <c r="O6" s="33"/>
      <c r="P6" s="33"/>
      <c r="R6" s="32"/>
    </row>
    <row r="7" spans="1:18">
      <c r="A7" s="32" t="s">
        <v>52</v>
      </c>
      <c r="B7" s="37">
        <f t="shared" ref="B7:B12" si="0">B27</f>
        <v>915.08924348161906</v>
      </c>
      <c r="C7" s="33"/>
      <c r="D7" s="37">
        <f>IF(ISERROR(TER_horeca_gas_kWh/1000),0,TER_horeca_gas_kWh/1000)*0.903</f>
        <v>1203.2144611122403</v>
      </c>
      <c r="E7" s="33">
        <f>$C$27*'E Balans VL '!I9/100/3.6*1000000</f>
        <v>0</v>
      </c>
      <c r="F7" s="33">
        <f>$C$27*('E Balans VL '!L9+'E Balans VL '!N9)/100/3.6*1000000</f>
        <v>74.563212594094324</v>
      </c>
      <c r="G7" s="34"/>
      <c r="H7" s="33"/>
      <c r="I7" s="33"/>
      <c r="J7" s="33">
        <f>$C$27*('E Balans VL '!D9+'E Balans VL '!E9)/100/3.6*1000000</f>
        <v>0</v>
      </c>
      <c r="K7" s="33"/>
      <c r="L7" s="33"/>
      <c r="M7" s="33"/>
      <c r="N7" s="33">
        <f>$C$27*'E Balans VL '!Y9/100/3.6*1000000</f>
        <v>0.2534626839069743</v>
      </c>
      <c r="O7" s="33"/>
      <c r="P7" s="33"/>
      <c r="R7" s="32"/>
    </row>
    <row r="8" spans="1:18">
      <c r="A8" s="6" t="s">
        <v>51</v>
      </c>
      <c r="B8" s="37">
        <f t="shared" si="0"/>
        <v>4493.0480484329601</v>
      </c>
      <c r="C8" s="33"/>
      <c r="D8" s="37">
        <f>IF(ISERROR(TER_handel_gas_kWh/1000),0,TER_handel_gas_kWh/1000)*0.903</f>
        <v>2359.3054809384003</v>
      </c>
      <c r="E8" s="33">
        <f>$C$28*'E Balans VL '!I13/100/3.6*1000000</f>
        <v>35.915694472252632</v>
      </c>
      <c r="F8" s="33">
        <f>$C$28*('E Balans VL '!L13+'E Balans VL '!N13)/100/3.6*1000000</f>
        <v>446.35639319555048</v>
      </c>
      <c r="G8" s="34"/>
      <c r="H8" s="33"/>
      <c r="I8" s="33"/>
      <c r="J8" s="33">
        <f>$C$28*('E Balans VL '!D13+'E Balans VL '!E13)/100/3.6*1000000</f>
        <v>0</v>
      </c>
      <c r="K8" s="33"/>
      <c r="L8" s="33"/>
      <c r="M8" s="33"/>
      <c r="N8" s="33">
        <f>$C$28*'E Balans VL '!Y13/100/3.6*1000000</f>
        <v>1.6784208901115625</v>
      </c>
      <c r="O8" s="33"/>
      <c r="P8" s="33"/>
      <c r="R8" s="32"/>
    </row>
    <row r="9" spans="1:18">
      <c r="A9" s="32" t="s">
        <v>50</v>
      </c>
      <c r="B9" s="37">
        <f t="shared" si="0"/>
        <v>387.62572698928</v>
      </c>
      <c r="C9" s="33"/>
      <c r="D9" s="37">
        <f>IF(ISERROR(TER_gezond_gas_kWh/1000),0,TER_gezond_gas_kWh/1000)*0.903</f>
        <v>1146.4081802116762</v>
      </c>
      <c r="E9" s="33">
        <f>$C$29*'E Balans VL '!I10/100/3.6*1000000</f>
        <v>0</v>
      </c>
      <c r="F9" s="33">
        <f>$C$29*('E Balans VL '!L10+'E Balans VL '!N10)/100/3.6*1000000</f>
        <v>35.338401646335036</v>
      </c>
      <c r="G9" s="34"/>
      <c r="H9" s="33"/>
      <c r="I9" s="33"/>
      <c r="J9" s="33">
        <f>$C$29*('E Balans VL '!D10+'E Balans VL '!E10)/100/3.6*1000000</f>
        <v>0</v>
      </c>
      <c r="K9" s="33"/>
      <c r="L9" s="33"/>
      <c r="M9" s="33"/>
      <c r="N9" s="33">
        <f>$C$29*'E Balans VL '!Y10/100/3.6*1000000</f>
        <v>2.8331966896031826</v>
      </c>
      <c r="O9" s="33"/>
      <c r="P9" s="33"/>
      <c r="R9" s="32"/>
    </row>
    <row r="10" spans="1:18">
      <c r="A10" s="32" t="s">
        <v>49</v>
      </c>
      <c r="B10" s="37">
        <f t="shared" si="0"/>
        <v>782.99204220230899</v>
      </c>
      <c r="C10" s="33"/>
      <c r="D10" s="37">
        <f>IF(ISERROR(TER_ander_gas_kWh/1000),0,TER_ander_gas_kWh/1000)*0.903</f>
        <v>1069.3743676748174</v>
      </c>
      <c r="E10" s="33">
        <f>$C$30*'E Balans VL '!I14/100/3.6*1000000</f>
        <v>10.151104331731787</v>
      </c>
      <c r="F10" s="33">
        <f>$C$30*('E Balans VL '!L14+'E Balans VL '!N14)/100/3.6*1000000</f>
        <v>718.11363686958532</v>
      </c>
      <c r="G10" s="34"/>
      <c r="H10" s="33"/>
      <c r="I10" s="33"/>
      <c r="J10" s="33">
        <f>$C$30*('E Balans VL '!D14+'E Balans VL '!E14)/100/3.6*1000000</f>
        <v>7.9193162815739699E-3</v>
      </c>
      <c r="K10" s="33"/>
      <c r="L10" s="33"/>
      <c r="M10" s="33"/>
      <c r="N10" s="33">
        <f>$C$30*'E Balans VL '!Y14/100/3.6*1000000</f>
        <v>299.45103184832391</v>
      </c>
      <c r="O10" s="33"/>
      <c r="P10" s="33"/>
      <c r="R10" s="32"/>
    </row>
    <row r="11" spans="1:18">
      <c r="A11" s="32" t="s">
        <v>54</v>
      </c>
      <c r="B11" s="37">
        <f t="shared" si="0"/>
        <v>594.99034254743992</v>
      </c>
      <c r="C11" s="33"/>
      <c r="D11" s="37">
        <f>IF(ISERROR(TER_onderwijs_gas_kWh/1000),0,TER_onderwijs_gas_kWh/1000)*0.903</f>
        <v>1746.2377049500865</v>
      </c>
      <c r="E11" s="33">
        <f>$C$31*'E Balans VL '!I11/100/3.6*1000000</f>
        <v>0</v>
      </c>
      <c r="F11" s="33">
        <f>$C$31*('E Balans VL '!L11+'E Balans VL '!N11)/100/3.6*1000000</f>
        <v>23.313309128709964</v>
      </c>
      <c r="G11" s="34"/>
      <c r="H11" s="33"/>
      <c r="I11" s="33"/>
      <c r="J11" s="33">
        <f>$C$31*('E Balans VL '!D11+'E Balans VL '!E11)/100/3.6*1000000</f>
        <v>0</v>
      </c>
      <c r="K11" s="33"/>
      <c r="L11" s="33"/>
      <c r="M11" s="33"/>
      <c r="N11" s="33">
        <f>$C$31*'E Balans VL '!Y11/100/3.6*1000000</f>
        <v>1.8737715946274995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9554.9453121352799</v>
      </c>
      <c r="C16" s="21">
        <f t="shared" ca="1" si="1"/>
        <v>0</v>
      </c>
      <c r="D16" s="21">
        <f t="shared" ca="1" si="1"/>
        <v>10884.698663117584</v>
      </c>
      <c r="E16" s="21">
        <f t="shared" si="1"/>
        <v>46.634168557075718</v>
      </c>
      <c r="F16" s="21">
        <f t="shared" ca="1" si="1"/>
        <v>1504.5154920748903</v>
      </c>
      <c r="G16" s="21">
        <f t="shared" si="1"/>
        <v>0</v>
      </c>
      <c r="H16" s="21">
        <f t="shared" si="1"/>
        <v>0</v>
      </c>
      <c r="I16" s="21">
        <f t="shared" si="1"/>
        <v>0</v>
      </c>
      <c r="J16" s="21">
        <f t="shared" si="1"/>
        <v>7.9193162815739699E-3</v>
      </c>
      <c r="K16" s="21">
        <f t="shared" si="1"/>
        <v>0</v>
      </c>
      <c r="L16" s="21">
        <f t="shared" ca="1" si="1"/>
        <v>0</v>
      </c>
      <c r="M16" s="21">
        <f t="shared" si="1"/>
        <v>0</v>
      </c>
      <c r="N16" s="21">
        <f t="shared" ca="1" si="1"/>
        <v>309.27269051460007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0.16966158537495238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1621.1071698278408</v>
      </c>
      <c r="C20" s="23">
        <f t="shared" ref="C20:P20" ca="1" si="2">C16*C18</f>
        <v>0</v>
      </c>
      <c r="D20" s="23">
        <f t="shared" ca="1" si="2"/>
        <v>2198.709129949752</v>
      </c>
      <c r="E20" s="23">
        <f t="shared" si="2"/>
        <v>10.585956262456188</v>
      </c>
      <c r="F20" s="23">
        <f t="shared" ca="1" si="2"/>
        <v>401.70563638399574</v>
      </c>
      <c r="G20" s="23">
        <f t="shared" si="2"/>
        <v>0</v>
      </c>
      <c r="H20" s="23">
        <f t="shared" si="2"/>
        <v>0</v>
      </c>
      <c r="I20" s="23">
        <f t="shared" si="2"/>
        <v>0</v>
      </c>
      <c r="J20" s="23">
        <f t="shared" si="2"/>
        <v>2.8034379636771851E-3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2381.1999084816703</v>
      </c>
      <c r="C26" s="39">
        <f>IF(ISERROR(B26*3.6/1000000/'E Balans VL '!Z12*100),0,B26*3.6/1000000/'E Balans VL '!Z12*100)</f>
        <v>6.8316401291268508E-2</v>
      </c>
      <c r="D26" s="233" t="s">
        <v>835</v>
      </c>
      <c r="F26" s="6"/>
    </row>
    <row r="27" spans="1:18" ht="30">
      <c r="A27" s="228" t="s">
        <v>52</v>
      </c>
      <c r="B27" s="33">
        <f>IF(ISERROR(TER_horeca_ele_kWh/1000),0,TER_horeca_ele_kWh/1000)</f>
        <v>915.08924348161906</v>
      </c>
      <c r="C27" s="39">
        <f>IF(ISERROR(B27*3.6/1000000/'E Balans VL '!Z9*100),0,B27*3.6/1000000/'E Balans VL '!Z9*100)</f>
        <v>6.7039761951596222E-2</v>
      </c>
      <c r="D27" s="233" t="s">
        <v>835</v>
      </c>
      <c r="F27" s="6"/>
    </row>
    <row r="28" spans="1:18" ht="30">
      <c r="A28" s="168" t="s">
        <v>51</v>
      </c>
      <c r="B28" s="33">
        <f>IF(ISERROR(TER_handel_ele_kWh/1000),0,TER_handel_ele_kWh/1000)</f>
        <v>4493.0480484329601</v>
      </c>
      <c r="C28" s="39">
        <f>IF(ISERROR(B28*3.6/1000000/'E Balans VL '!Z13*100),0,B28*3.6/1000000/'E Balans VL '!Z13*100)</f>
        <v>0.13883897436396075</v>
      </c>
      <c r="D28" s="233" t="s">
        <v>835</v>
      </c>
      <c r="F28" s="6"/>
    </row>
    <row r="29" spans="1:18" ht="30">
      <c r="A29" s="228" t="s">
        <v>50</v>
      </c>
      <c r="B29" s="33">
        <f>IF(ISERROR(TER_gezond_ele_kWh/1000),0,TER_gezond_ele_kWh/1000)</f>
        <v>387.62572698928</v>
      </c>
      <c r="C29" s="39">
        <f>IF(ISERROR(B29*3.6/1000000/'E Balans VL '!Z10*100),0,B29*3.6/1000000/'E Balans VL '!Z10*100)</f>
        <v>3.7989704738101052E-2</v>
      </c>
      <c r="D29" s="233" t="s">
        <v>835</v>
      </c>
      <c r="F29" s="6"/>
    </row>
    <row r="30" spans="1:18" ht="30">
      <c r="A30" s="228" t="s">
        <v>49</v>
      </c>
      <c r="B30" s="33">
        <f>IF(ISERROR(TER_ander_ele_kWh/1000),0,TER_ander_ele_kWh/1000)</f>
        <v>782.99204220230899</v>
      </c>
      <c r="C30" s="39">
        <f>IF(ISERROR(B30*3.6/1000000/'E Balans VL '!Z14*100),0,B30*3.6/1000000/'E Balans VL '!Z14*100)</f>
        <v>3.2434059856275642E-2</v>
      </c>
      <c r="D30" s="233" t="s">
        <v>835</v>
      </c>
      <c r="F30" s="6"/>
    </row>
    <row r="31" spans="1:18" ht="30">
      <c r="A31" s="228" t="s">
        <v>54</v>
      </c>
      <c r="B31" s="33">
        <f>IF(ISERROR(TER_onderwijs_ele_kWh/1000),0,TER_onderwijs_ele_kWh/1000)</f>
        <v>594.99034254743992</v>
      </c>
      <c r="C31" s="39">
        <f>IF(ISERROR(B31*3.6/1000000/'E Balans VL '!Z11*100),0,B31*3.6/1000000/'E Balans VL '!Z11*100)</f>
        <v>0.18282244299948935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2258.4272083615174</v>
      </c>
      <c r="C5" s="17">
        <f>IF(ISERROR('Eigen informatie GS &amp; warmtenet'!B61),0,'Eigen informatie GS &amp; warmtenet'!B61)</f>
        <v>0</v>
      </c>
      <c r="D5" s="30">
        <f>SUM(D6:D15)</f>
        <v>2210.8984835858887</v>
      </c>
      <c r="E5" s="17">
        <f>SUM(E6:E15)</f>
        <v>9.2325172115257015</v>
      </c>
      <c r="F5" s="17">
        <f>SUM(F6:F15)</f>
        <v>840.90094018257309</v>
      </c>
      <c r="G5" s="18"/>
      <c r="H5" s="17"/>
      <c r="I5" s="17"/>
      <c r="J5" s="17">
        <f>SUM(J6:J15)</f>
        <v>1.4765690695994227</v>
      </c>
      <c r="K5" s="17"/>
      <c r="L5" s="17"/>
      <c r="M5" s="17"/>
      <c r="N5" s="17">
        <f>SUM(N6:N15)</f>
        <v>86.024862357819842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816.86479403280305</v>
      </c>
      <c r="C8" s="33"/>
      <c r="D8" s="37">
        <f>IF( ISERROR(IND_metaal_Gas_kWH/1000),0,IND_metaal_Gas_kWH/1000)*0.903</f>
        <v>709.30592307101733</v>
      </c>
      <c r="E8" s="33">
        <f>C30*'E Balans VL '!I18/100/3.6*1000000</f>
        <v>4.4528573884410694</v>
      </c>
      <c r="F8" s="33">
        <f>C30*'E Balans VL '!L18/100/3.6*1000000+C30*'E Balans VL '!N18/100/3.6*1000000</f>
        <v>52.606155130052258</v>
      </c>
      <c r="G8" s="34"/>
      <c r="H8" s="33"/>
      <c r="I8" s="33"/>
      <c r="J8" s="40">
        <f>C30*'E Balans VL '!D18/100/3.6*1000000+C30*'E Balans VL '!E18/100/3.6*1000000</f>
        <v>0.66911190618000305</v>
      </c>
      <c r="K8" s="33"/>
      <c r="L8" s="33"/>
      <c r="M8" s="33"/>
      <c r="N8" s="33">
        <f>C30*'E Balans VL '!Y18/100/3.6*1000000</f>
        <v>17.647824093357151</v>
      </c>
      <c r="O8" s="33"/>
      <c r="P8" s="33"/>
      <c r="R8" s="32"/>
    </row>
    <row r="9" spans="1:18">
      <c r="A9" s="6" t="s">
        <v>32</v>
      </c>
      <c r="B9" s="37">
        <f t="shared" si="0"/>
        <v>1207.0251739934599</v>
      </c>
      <c r="C9" s="33"/>
      <c r="D9" s="37">
        <f>IF( ISERROR(IND_andere_gas_kWh/1000),0,IND_andere_gas_kWh/1000)*0.903</f>
        <v>1144.1152007116802</v>
      </c>
      <c r="E9" s="33">
        <f>C31*'E Balans VL '!I19/100/3.6*1000000</f>
        <v>3.8964828187086886</v>
      </c>
      <c r="F9" s="33">
        <f>C31*'E Balans VL '!L19/100/3.6*1000000+C31*'E Balans VL '!N19/100/3.6*1000000</f>
        <v>780.47195272592091</v>
      </c>
      <c r="G9" s="34"/>
      <c r="H9" s="33"/>
      <c r="I9" s="33"/>
      <c r="J9" s="40">
        <f>C31*'E Balans VL '!D19/100/3.6*1000000+C31*'E Balans VL '!E19/100/3.6*1000000</f>
        <v>0</v>
      </c>
      <c r="K9" s="33"/>
      <c r="L9" s="33"/>
      <c r="M9" s="33"/>
      <c r="N9" s="33">
        <f>C31*'E Balans VL '!Y19/100/3.6*1000000</f>
        <v>48.774493044725354</v>
      </c>
      <c r="O9" s="33"/>
      <c r="P9" s="33"/>
      <c r="R9" s="32"/>
    </row>
    <row r="10" spans="1:18">
      <c r="A10" s="6" t="s">
        <v>40</v>
      </c>
      <c r="B10" s="37">
        <f t="shared" si="0"/>
        <v>184.365325653177</v>
      </c>
      <c r="C10" s="33"/>
      <c r="D10" s="37">
        <f>IF( ISERROR(IND_voed_gas_kWh/1000),0,IND_voed_gas_kWh/1000)*0.903</f>
        <v>242.50431051839499</v>
      </c>
      <c r="E10" s="33">
        <f>C32*'E Balans VL '!I20/100/3.6*1000000</f>
        <v>0.3864749056356368</v>
      </c>
      <c r="F10" s="33">
        <f>C32*'E Balans VL '!L20/100/3.6*1000000+C32*'E Balans VL '!N20/100/3.6*1000000</f>
        <v>3.5920736876412254</v>
      </c>
      <c r="G10" s="34"/>
      <c r="H10" s="33"/>
      <c r="I10" s="33"/>
      <c r="J10" s="40">
        <f>C32*'E Balans VL '!D20/100/3.6*1000000+C32*'E Balans VL '!E20/100/3.6*1000000</f>
        <v>0</v>
      </c>
      <c r="K10" s="33"/>
      <c r="L10" s="33"/>
      <c r="M10" s="33"/>
      <c r="N10" s="33">
        <f>C32*'E Balans VL '!Y20/100/3.6*1000000</f>
        <v>7.3335415188896871</v>
      </c>
      <c r="O10" s="33"/>
      <c r="P10" s="33"/>
      <c r="R10" s="32"/>
    </row>
    <row r="11" spans="1:18">
      <c r="A11" s="6" t="s">
        <v>39</v>
      </c>
      <c r="B11" s="37">
        <f t="shared" si="0"/>
        <v>26.027886188613</v>
      </c>
      <c r="C11" s="33"/>
      <c r="D11" s="37">
        <f>IF( ISERROR(IND_textiel_gas_kWh/1000),0,IND_textiel_gas_kWh/1000)*0.903</f>
        <v>83.571577846564438</v>
      </c>
      <c r="E11" s="33">
        <f>C33*'E Balans VL '!I21/100/3.6*1000000</f>
        <v>2.2364980191260389E-2</v>
      </c>
      <c r="F11" s="33">
        <f>C33*'E Balans VL '!L21/100/3.6*1000000+C33*'E Balans VL '!N21/100/3.6*1000000</f>
        <v>0.54570164782265074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22.280385571791101</v>
      </c>
      <c r="C12" s="33"/>
      <c r="D12" s="37">
        <f>IF( ISERROR(IND_min_gas_kWh/1000),0,IND_min_gas_kWh/1000)*0.903</f>
        <v>0</v>
      </c>
      <c r="E12" s="33">
        <f>C34*'E Balans VL '!I22/100/3.6*1000000</f>
        <v>0.36461982188956582</v>
      </c>
      <c r="F12" s="33">
        <f>C34*'E Balans VL '!L22/100/3.6*1000000+C34*'E Balans VL '!N22/100/3.6*1000000</f>
        <v>3.4007516845262074</v>
      </c>
      <c r="G12" s="34"/>
      <c r="H12" s="33"/>
      <c r="I12" s="33"/>
      <c r="J12" s="40">
        <f>C34*'E Balans VL '!D22/100/3.6*1000000+C34*'E Balans VL '!E22/100/3.6*1000000</f>
        <v>0.79733848098917537</v>
      </c>
      <c r="K12" s="33"/>
      <c r="L12" s="33"/>
      <c r="M12" s="33"/>
      <c r="N12" s="33">
        <f>C34*'E Balans VL '!Y22/100/3.6*1000000</f>
        <v>12.210124169203239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1.8636429216729</v>
      </c>
      <c r="C15" s="33"/>
      <c r="D15" s="37">
        <f>IF( ISERROR(IND_rest_gas_kWh/1000),0,IND_rest_gas_kWh/1000)*0.903</f>
        <v>31.40147143823129</v>
      </c>
      <c r="E15" s="33">
        <f>C37*'E Balans VL '!I15/100/3.6*1000000</f>
        <v>0.10971729665947892</v>
      </c>
      <c r="F15" s="33">
        <f>C37*'E Balans VL '!L15/100/3.6*1000000+C37*'E Balans VL '!N15/100/3.6*1000000</f>
        <v>0.28430530660986519</v>
      </c>
      <c r="G15" s="34"/>
      <c r="H15" s="33"/>
      <c r="I15" s="33"/>
      <c r="J15" s="40">
        <f>C37*'E Balans VL '!D15/100/3.6*1000000+C37*'E Balans VL '!E15/100/3.6*1000000</f>
        <v>1.0118682430244117E-2</v>
      </c>
      <c r="K15" s="33"/>
      <c r="L15" s="33"/>
      <c r="M15" s="33"/>
      <c r="N15" s="33">
        <f>C37*'E Balans VL '!Y15/100/3.6*1000000</f>
        <v>5.8879531644405757E-2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2258.4272083615174</v>
      </c>
      <c r="C18" s="21">
        <f>C5+C16</f>
        <v>0</v>
      </c>
      <c r="D18" s="21">
        <f>MAX((D5+D16),0)</f>
        <v>2210.8984835858887</v>
      </c>
      <c r="E18" s="21">
        <f>MAX((E5+E16),0)</f>
        <v>9.2325172115257015</v>
      </c>
      <c r="F18" s="21">
        <f>MAX((F5+F16),0)</f>
        <v>840.90094018257309</v>
      </c>
      <c r="G18" s="21"/>
      <c r="H18" s="21"/>
      <c r="I18" s="21"/>
      <c r="J18" s="21">
        <f>MAX((J5+J16),0)</f>
        <v>1.4765690695994227</v>
      </c>
      <c r="K18" s="21"/>
      <c r="L18" s="21">
        <f>MAX((L5+L16),0)</f>
        <v>0</v>
      </c>
      <c r="M18" s="21"/>
      <c r="N18" s="21">
        <f>MAX((N5+N16),0)</f>
        <v>86.024862357819842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0.16966158537495238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383.16834062454296</v>
      </c>
      <c r="C22" s="23">
        <f ca="1">C18*C20</f>
        <v>0</v>
      </c>
      <c r="D22" s="23">
        <f>D18*D20</f>
        <v>446.60149368434952</v>
      </c>
      <c r="E22" s="23">
        <f>E18*E20</f>
        <v>2.0957814070163341</v>
      </c>
      <c r="F22" s="23">
        <f>F18*F20</f>
        <v>224.52055102874704</v>
      </c>
      <c r="G22" s="23"/>
      <c r="H22" s="23"/>
      <c r="I22" s="23"/>
      <c r="J22" s="23">
        <f>J18*J20</f>
        <v>0.52270545063819562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816.86479403280305</v>
      </c>
      <c r="C30" s="39">
        <f>IF(ISERROR(B30*3.6/1000000/'E Balans VL '!Z18*100),0,B30*3.6/1000000/'E Balans VL '!Z18*100)</f>
        <v>4.9189358020175995E-2</v>
      </c>
      <c r="D30" s="233" t="s">
        <v>835</v>
      </c>
    </row>
    <row r="31" spans="1:18" ht="30">
      <c r="A31" s="6" t="s">
        <v>32</v>
      </c>
      <c r="B31" s="37">
        <f>IF( ISERROR(IND_ander_ele_kWh/1000),0,IND_ander_ele_kWh/1000)</f>
        <v>1207.0251739934599</v>
      </c>
      <c r="C31" s="39">
        <f>IF(ISERROR(B31*3.6/1000000/'E Balans VL '!Z19*100),0,B31*3.6/1000000/'E Balans VL '!Z19*100)</f>
        <v>4.9176704418172235E-2</v>
      </c>
      <c r="D31" s="233" t="s">
        <v>835</v>
      </c>
    </row>
    <row r="32" spans="1:18" ht="30">
      <c r="A32" s="168" t="s">
        <v>40</v>
      </c>
      <c r="B32" s="37">
        <f>IF( ISERROR(IND_voed_ele_kWh/1000),0,IND_voed_ele_kWh/1000)</f>
        <v>184.365325653177</v>
      </c>
      <c r="C32" s="39">
        <f>IF(ISERROR(B32*3.6/1000000/'E Balans VL '!Z20*100),0,B32*3.6/1000000/'E Balans VL '!Z20*100)</f>
        <v>5.3307435061437031E-3</v>
      </c>
      <c r="D32" s="233" t="s">
        <v>835</v>
      </c>
    </row>
    <row r="33" spans="1:5" ht="30">
      <c r="A33" s="168" t="s">
        <v>39</v>
      </c>
      <c r="B33" s="37">
        <f>IF( ISERROR(IND_textiel_ele_kWh/1000),0,IND_textiel_ele_kWh/1000)</f>
        <v>26.027886188613</v>
      </c>
      <c r="C33" s="39">
        <f>IF(ISERROR(B33*3.6/1000000/'E Balans VL '!Z21*100),0,B33*3.6/1000000/'E Balans VL '!Z21*100)</f>
        <v>4.2803789839732809E-3</v>
      </c>
      <c r="D33" s="233" t="s">
        <v>835</v>
      </c>
    </row>
    <row r="34" spans="1:5" ht="30">
      <c r="A34" s="168" t="s">
        <v>36</v>
      </c>
      <c r="B34" s="37">
        <f>IF( ISERROR(IND_min_ele_kWh/1000),0,IND_min_ele_kWh/1000)</f>
        <v>22.280385571791101</v>
      </c>
      <c r="C34" s="39">
        <f>IF(ISERROR(B34*3.6/1000000/'E Balans VL '!Z22*100),0,B34*3.6/1000000/'E Balans VL '!Z22*100)</f>
        <v>9.5135176042722668E-3</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1.8636429216729</v>
      </c>
      <c r="C37" s="39">
        <f>IF(ISERROR(B37*3.6/1000000/'E Balans VL '!Z15*100),0,B37*3.6/1000000/'E Balans VL '!Z15*100)</f>
        <v>1.5301919950284433E-5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2001.5850463784</v>
      </c>
      <c r="C5" s="17">
        <f>'Eigen informatie GS &amp; warmtenet'!B62</f>
        <v>0</v>
      </c>
      <c r="D5" s="30">
        <f>IF(ISERROR(SUM(LB_lb_gas_kWh,LB_rest_gas_kWh)/1000),0,SUM(LB_lb_gas_kWh,LB_rest_gas_kWh)/1000)*0.903</f>
        <v>11251.591716695797</v>
      </c>
      <c r="E5" s="17">
        <f>B17*'E Balans VL '!I25/3.6*1000000/100</f>
        <v>57.328783030321262</v>
      </c>
      <c r="F5" s="17">
        <f>B17*('E Balans VL '!L25/3.6*1000000+'E Balans VL '!N25/3.6*1000000)/100</f>
        <v>6335.9843124269191</v>
      </c>
      <c r="G5" s="18"/>
      <c r="H5" s="17"/>
      <c r="I5" s="17"/>
      <c r="J5" s="17">
        <f>('E Balans VL '!D25+'E Balans VL '!E25)/3.6*1000000*landbouw!B17/100</f>
        <v>508.9402227357856</v>
      </c>
      <c r="K5" s="17"/>
      <c r="L5" s="17">
        <f>L6*(-1)</f>
        <v>0</v>
      </c>
      <c r="M5" s="17"/>
      <c r="N5" s="17">
        <f>N6*(-1)</f>
        <v>0</v>
      </c>
      <c r="O5" s="17"/>
      <c r="P5" s="17"/>
      <c r="R5" s="32"/>
    </row>
    <row r="6" spans="1:18">
      <c r="A6" s="16" t="s">
        <v>467</v>
      </c>
      <c r="B6" s="17" t="s">
        <v>204</v>
      </c>
      <c r="C6" s="17">
        <f>'lokale energieproductie'!O39+'lokale energieproductie'!O32</f>
        <v>5637.8571428571431</v>
      </c>
      <c r="D6" s="304">
        <f>('lokale energieproductie'!P32+'lokale energieproductie'!P39)*(-1)</f>
        <v>-11275.714285714286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2001.5850463784</v>
      </c>
      <c r="C8" s="21">
        <f>C5+C6</f>
        <v>5637.8571428571431</v>
      </c>
      <c r="D8" s="21">
        <f>MAX((D5+D6),0)</f>
        <v>0</v>
      </c>
      <c r="E8" s="21">
        <f>MAX((E5+E6),0)</f>
        <v>57.328783030321262</v>
      </c>
      <c r="F8" s="21">
        <f>MAX((F5+F6),0)</f>
        <v>6335.9843124269191</v>
      </c>
      <c r="G8" s="21"/>
      <c r="H8" s="21"/>
      <c r="I8" s="21"/>
      <c r="J8" s="21">
        <f>MAX((J5+J6),0)</f>
        <v>508.9402227357856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0.16966158537495238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339.5920922313569</v>
      </c>
      <c r="C12" s="23">
        <f ca="1">C8*C10</f>
        <v>1339.8201680672271</v>
      </c>
      <c r="D12" s="23">
        <f>D8*D10</f>
        <v>0</v>
      </c>
      <c r="E12" s="23">
        <f>E8*E10</f>
        <v>13.013633747882928</v>
      </c>
      <c r="F12" s="23">
        <f>F8*F10</f>
        <v>1691.7078114179876</v>
      </c>
      <c r="G12" s="23"/>
      <c r="H12" s="23"/>
      <c r="I12" s="23"/>
      <c r="J12" s="23">
        <f>J8*J10</f>
        <v>180.16483884846809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0.27717412196632912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117.28780224851589</v>
      </c>
      <c r="C26" s="243">
        <f>B26*'GWP N2O_CH4'!B5</f>
        <v>2463.0438472188334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23.592710499646792</v>
      </c>
      <c r="C27" s="243">
        <f>B27*'GWP N2O_CH4'!B5</f>
        <v>495.44692049258265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1.4363356229086599</v>
      </c>
      <c r="C28" s="243">
        <f>B28*'GWP N2O_CH4'!B4</f>
        <v>445.26404310168459</v>
      </c>
      <c r="D28" s="50"/>
    </row>
    <row r="29" spans="1:4">
      <c r="A29" s="41" t="s">
        <v>266</v>
      </c>
      <c r="B29" s="243">
        <f>B34*'ha_N2O bodem landbouw'!B4</f>
        <v>12.219583483910043</v>
      </c>
      <c r="C29" s="243">
        <f>B29*'GWP N2O_CH4'!B4</f>
        <v>3788.0708800121133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2.7760706702654675E-3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1.1604669324242302E-3</v>
      </c>
      <c r="C5" s="432" t="s">
        <v>204</v>
      </c>
      <c r="D5" s="417">
        <f>SUM(D6:D11)</f>
        <v>1.9108526739321646E-3</v>
      </c>
      <c r="E5" s="417">
        <f>SUM(E6:E11)</f>
        <v>8.2966381286917899E-4</v>
      </c>
      <c r="F5" s="430" t="s">
        <v>204</v>
      </c>
      <c r="G5" s="417">
        <f>SUM(G6:G11)</f>
        <v>0.47602187996107825</v>
      </c>
      <c r="H5" s="417">
        <f>SUM(H6:H11)</f>
        <v>9.5748491993243562E-2</v>
      </c>
      <c r="I5" s="432" t="s">
        <v>204</v>
      </c>
      <c r="J5" s="432" t="s">
        <v>204</v>
      </c>
      <c r="K5" s="432" t="s">
        <v>204</v>
      </c>
      <c r="L5" s="432" t="s">
        <v>204</v>
      </c>
      <c r="M5" s="417">
        <f>SUM(M6:M11)</f>
        <v>3.4120032122705798E-2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2.4680832039856114E-4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4.1150012338627367E-4</v>
      </c>
      <c r="E6" s="884">
        <f>vkm_GW_PW*SUMIFS(TableVerdeelsleutelVkm[LPG],TableVerdeelsleutelVkm[Voertuigtype],"Lichte voertuigen")*SUMIFS(TableECFTransport[EnergieConsumptieFactor (PJ per km)],TableECFTransport[Index],CONCATENATE($A6,"_LPG_LPG"))</f>
        <v>1.631430623154332E-4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4.9028588451335134E-2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2.0180686277365589E-2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4.2457849003104927E-3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1.090421649817112E-6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4.3225001503218896E-2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3.1893794501786131E-7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2.4819064866044055E-3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2.4608123087600662E-4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5.6191497912407831E-4</v>
      </c>
      <c r="E8" s="420">
        <f>vkm_NGW_PW*SUMIFS(TableVerdeelsleutelVkm[LPG],TableVerdeelsleutelVkm[Voertuigtype],"Lichte voertuigen")*SUMIFS(TableECFTransport[EnergieConsumptieFactor (PJ per km)],TableECFTransport[Index],CONCATENATE($A8,"_LPG_LPG"))</f>
        <v>2.133058189978959E-4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5.8718843242592904E-2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2.7299985590725696E-2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5.3068872491255454E-3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5.1147149027384545E-7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2.6109502843098702E-2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1.8057166524135853E-7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1.4991626420216187E-3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6.6127442604682618E-4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9.3743757142181249E-4</v>
      </c>
      <c r="E10" s="420">
        <f>vkm_SW_PW*SUMIFS(TableVerdeelsleutelVkm[LPG],TableVerdeelsleutelVkm[Voertuigtype],"Lichte voertuigen")*SUMIFS(TableECFTransport[EnergieConsumptieFactor (PJ per km)],TableECFTransport[Index],CONCATENATE($A10,"_LPG_LPG"))</f>
        <v>4.5321493155584989E-4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0.12356768572511666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4.8265905349322222E-2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1.0516703761414798E-2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4.7010619627454539E-6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0.17537225819571597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1.4152662198023536E-6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1.0069587083228936E-2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322.35192567339732</v>
      </c>
      <c r="C14" s="21"/>
      <c r="D14" s="21">
        <f t="shared" ref="D14:M14" si="0">((D5)*10^9/3600)+D12</f>
        <v>530.79240942560125</v>
      </c>
      <c r="E14" s="21">
        <f t="shared" si="0"/>
        <v>230.4621702414386</v>
      </c>
      <c r="F14" s="21"/>
      <c r="G14" s="21">
        <f t="shared" si="0"/>
        <v>132228.29998918841</v>
      </c>
      <c r="H14" s="21">
        <f t="shared" si="0"/>
        <v>26596.803331456544</v>
      </c>
      <c r="I14" s="21"/>
      <c r="J14" s="21"/>
      <c r="K14" s="21"/>
      <c r="L14" s="21"/>
      <c r="M14" s="21">
        <f t="shared" si="0"/>
        <v>9477.7867007516088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0.16966158537495238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54.690738758417403</v>
      </c>
      <c r="C18" s="23"/>
      <c r="D18" s="23">
        <f t="shared" ref="D18:M18" si="1">D14*D16</f>
        <v>107.22006670397145</v>
      </c>
      <c r="E18" s="23">
        <f t="shared" si="1"/>
        <v>52.314912644806562</v>
      </c>
      <c r="F18" s="23"/>
      <c r="G18" s="23">
        <f t="shared" si="1"/>
        <v>35304.956097113311</v>
      </c>
      <c r="H18" s="23">
        <f t="shared" si="1"/>
        <v>6622.6040295326793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2.9419875935825528E-5</v>
      </c>
      <c r="C50" s="315">
        <f t="shared" ref="C50:P50" si="2">SUM(C51:C52)</f>
        <v>0</v>
      </c>
      <c r="D50" s="315">
        <f t="shared" si="2"/>
        <v>0</v>
      </c>
      <c r="E50" s="315">
        <f t="shared" si="2"/>
        <v>0</v>
      </c>
      <c r="F50" s="315">
        <f t="shared" si="2"/>
        <v>0</v>
      </c>
      <c r="G50" s="315">
        <f t="shared" si="2"/>
        <v>1.841773176096839E-3</v>
      </c>
      <c r="H50" s="315">
        <f t="shared" si="2"/>
        <v>0</v>
      </c>
      <c r="I50" s="315">
        <f t="shared" si="2"/>
        <v>0</v>
      </c>
      <c r="J50" s="315">
        <f t="shared" si="2"/>
        <v>0</v>
      </c>
      <c r="K50" s="315">
        <f t="shared" si="2"/>
        <v>0</v>
      </c>
      <c r="L50" s="315">
        <f t="shared" si="2"/>
        <v>0</v>
      </c>
      <c r="M50" s="315">
        <f t="shared" si="2"/>
        <v>1.057505376568239E-4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2.9419875935825528E-5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1.841773176096839E-3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1.057505376568239E-4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8.1721877599515356</v>
      </c>
      <c r="C54" s="21">
        <f t="shared" ref="C54:P54" si="3">(C50)*10^9/3600</f>
        <v>0</v>
      </c>
      <c r="D54" s="21">
        <f t="shared" si="3"/>
        <v>0</v>
      </c>
      <c r="E54" s="21">
        <f t="shared" si="3"/>
        <v>0</v>
      </c>
      <c r="F54" s="21">
        <f t="shared" si="3"/>
        <v>0</v>
      </c>
      <c r="G54" s="21">
        <f t="shared" si="3"/>
        <v>511.60366002689977</v>
      </c>
      <c r="H54" s="21">
        <f t="shared" si="3"/>
        <v>0</v>
      </c>
      <c r="I54" s="21">
        <f t="shared" si="3"/>
        <v>0</v>
      </c>
      <c r="J54" s="21">
        <f t="shared" si="3"/>
        <v>0</v>
      </c>
      <c r="K54" s="21">
        <f t="shared" si="3"/>
        <v>0</v>
      </c>
      <c r="L54" s="21">
        <f t="shared" si="3"/>
        <v>0</v>
      </c>
      <c r="M54" s="21">
        <f t="shared" si="3"/>
        <v>29.375149349117748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0.16966158537495238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1.3865063313351582</v>
      </c>
      <c r="C58" s="23">
        <f t="shared" ref="C58:P58" ca="1" si="4">C54*C56</f>
        <v>0</v>
      </c>
      <c r="D58" s="23">
        <f t="shared" si="4"/>
        <v>0</v>
      </c>
      <c r="E58" s="23">
        <f t="shared" si="4"/>
        <v>0</v>
      </c>
      <c r="F58" s="23">
        <f t="shared" si="4"/>
        <v>0</v>
      </c>
      <c r="G58" s="23">
        <f t="shared" si="4"/>
        <v>136.59817722718225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4870.1276170123519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4789.2681104039711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3946.5</v>
      </c>
      <c r="C8" s="543">
        <f>B48</f>
        <v>4642.9411764705883</v>
      </c>
      <c r="D8" s="544"/>
      <c r="E8" s="544">
        <f>E48</f>
        <v>0</v>
      </c>
      <c r="F8" s="545"/>
      <c r="G8" s="546"/>
      <c r="H8" s="544">
        <f>I48</f>
        <v>0</v>
      </c>
      <c r="I8" s="544">
        <f>G48+F48</f>
        <v>0</v>
      </c>
      <c r="J8" s="544">
        <f>H48+D48+C48</f>
        <v>0</v>
      </c>
      <c r="K8" s="544"/>
      <c r="L8" s="544"/>
      <c r="M8" s="544"/>
      <c r="N8" s="547"/>
      <c r="O8" s="548">
        <f>C8*$C$12+D8*$D$12+E8*$E$12+F8*$F$12+G8*$G$12+H8*$H$12+I8*$I$12+J8*$J$12</f>
        <v>937.87411764705894</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13605.895727416322</v>
      </c>
      <c r="C10" s="558">
        <f t="shared" ref="C10:L10" si="0">SUM(C8:C9)</f>
        <v>4642.9411764705883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937.87411764705894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5637.8571428571431</v>
      </c>
      <c r="C17" s="574">
        <f>B49</f>
        <v>6632.7731092436979</v>
      </c>
      <c r="D17" s="575"/>
      <c r="E17" s="575">
        <f>E49</f>
        <v>0</v>
      </c>
      <c r="F17" s="576"/>
      <c r="G17" s="577"/>
      <c r="H17" s="574">
        <f>I49</f>
        <v>0</v>
      </c>
      <c r="I17" s="575">
        <f>G49+F49</f>
        <v>0</v>
      </c>
      <c r="J17" s="575">
        <f>H49+D49+C49</f>
        <v>0</v>
      </c>
      <c r="K17" s="575"/>
      <c r="L17" s="575"/>
      <c r="M17" s="575"/>
      <c r="N17" s="960"/>
      <c r="O17" s="578">
        <f>C17*$C$22+E17*$E$22+H17*$H$22+I17*$I$22+J17*$J$22+D17*$D$22+F17*$F$22+G17*$G$22+K17*$K$22+L17*$L$22</f>
        <v>1339.8201680672271</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5637.8571428571431</v>
      </c>
      <c r="C20" s="557">
        <f>SUM(C17:C19)</f>
        <v>6632.7731092436979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1339.8201680672271</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42010</v>
      </c>
      <c r="C28" s="785">
        <v>9270</v>
      </c>
      <c r="D28" s="635"/>
      <c r="E28" s="634"/>
      <c r="F28" s="634"/>
      <c r="G28" s="634" t="s">
        <v>868</v>
      </c>
      <c r="H28" s="634" t="s">
        <v>869</v>
      </c>
      <c r="I28" s="634"/>
      <c r="J28" s="784"/>
      <c r="K28" s="784"/>
      <c r="L28" s="634" t="s">
        <v>870</v>
      </c>
      <c r="M28" s="634">
        <v>877</v>
      </c>
      <c r="N28" s="634">
        <v>3946.5</v>
      </c>
      <c r="O28" s="634">
        <v>5637.8571428571431</v>
      </c>
      <c r="P28" s="634">
        <v>11275.714285714286</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877</v>
      </c>
      <c r="N29" s="592">
        <f>SUM(N28:N28)</f>
        <v>3946.5</v>
      </c>
      <c r="O29" s="592">
        <f>SUM(O28:O28)</f>
        <v>5637.8571428571431</v>
      </c>
      <c r="P29" s="592">
        <f>SUM(P28:P28)</f>
        <v>11275.714285714286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877</v>
      </c>
      <c r="N32" s="597">
        <f>SUMIF($Z$28:$Z$28,"landbouw",N28:N28)</f>
        <v>3946.5</v>
      </c>
      <c r="O32" s="597">
        <f>SUMIF($Z$28:$Z$28,"landbouw",O28:O28)</f>
        <v>5637.8571428571431</v>
      </c>
      <c r="P32" s="597">
        <f>SUMIF($Z$28:$Z$28,"landbouw",P28:P28)</f>
        <v>11275.714285714286</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4642.9411764705883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6632.7731092436979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2021-11-11T12:19:06Z</dcterms:modified>
</cp:coreProperties>
</file>