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CD460A8-7CF9-4865-9628-16506AC52F9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6"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17" i="19"/>
  <c r="C19" i="19" s="1"/>
  <c r="D39" i="14" s="1"/>
  <c r="C10" i="17"/>
  <c r="C12" i="17" s="1"/>
  <c r="D54" i="14" s="1"/>
  <c r="D56" i="14" s="1"/>
  <c r="C29" i="20"/>
  <c r="C20" i="16"/>
  <c r="C22" i="16" s="1"/>
  <c r="D43"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<sst xmlns="http://schemas.openxmlformats.org/spreadsheetml/2006/main" count="2422" uniqueCount="871">
  <si>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</si>
  <si>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</si>
  <si>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</si>
  <si>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</si>
  <si>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</si>
  <si>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</si>
  <si>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</si>
  <si>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</si>
  <si>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</si>
  <si>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</si>
  <si>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</si>
  <si>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</si>
  <si>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</si>
  <si>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</si>
  <si>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</si>
  <si>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</si>
  <si>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</si>
  <si>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</si>
  <si>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</si>
  <si>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</si>
  <si>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</si>
  <si>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</si>
  <si>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</si>
  <si>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</si>
  <si>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</si>
  <si>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</si>
  <si>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</si>
  <si>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</si>
  <si>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</si>
  <si>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</si>
  <si>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</si>
  <si>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</si>
  <si>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</si>
  <si>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</si>
  <si>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</si>
  <si>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</si>
  <si>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</si>
  <si>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</si>
  <si>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</si>
  <si>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</si>
  <si>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</si>
  <si>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</si>
  <si>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</si>
  <si>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</si>
  <si>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</si>
  <si>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</si>
  <si>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</si>
  <si>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</si>
  <si>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</si>
  <si>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</si>
  <si>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</si>
  <si>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</si>
  <si>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</si>
  <si>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</si>
  <si>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</si>
  <si>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</si>
  <si>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</si>
  <si>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</si>
  <si>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</si>
  <si>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</si>
  <si>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</si>
  <si>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</si>
  <si>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</si>
  <si>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</si>
  <si>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</si>
  <si>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</si>
  <si>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</si>
  <si>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</si>
  <si>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</si>
  <si>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</si>
  <si>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</si>
  <si>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</si>
  <si>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</si>
  <si>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</si>
  <si>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</si>
  <si>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</si>
  <si>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</si>
  <si>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</si>
  <si>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</si>
  <si>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</si>
  <si>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</si>
  <si>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</si>
  <si>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</si>
  <si>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</si>
  <si>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</si>
  <si>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</si>
  <si>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</si>
  <si>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</si>
  <si>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</si>
  <si>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</si>
  <si>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</si>
  <si>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</si>
  <si>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</si>
  <si>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</si>
  <si>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</si>
  <si>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</si>
  <si>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</si>
  <si>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</si>
  <si>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</si>
  <si>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</si>
  <si>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</si>
  <si>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</si>
  <si>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</si>
  <si>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</si>
  <si>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</si>
  <si>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</si>
  <si>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</si>
  <si>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</si>
  <si>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</si>
  <si>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</si>
  <si>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</si>
  <si>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</si>
  <si>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</si>
  <si>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</si>
  <si>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</si>
  <si>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</si>
  <si>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</si>
  <si>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</si>
  <si>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</si>
  <si>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</si>
  <si>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</si>
  <si>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</si>
  <si>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</si>
  <si>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</si>
  <si>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</si>
  <si>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</si>
  <si>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</si>
  <si>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</si>
  <si>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</si>
  <si>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</si>
  <si>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</si>
  <si>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</si>
  <si>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</si>
  <si>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</si>
  <si>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</si>
  <si>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</si>
  <si>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</si>
  <si>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</si>
  <si>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</si>
  <si>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</si>
  <si>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</si>
  <si>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</si>
  <si>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</si>
  <si>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</si>
  <si>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</si>
  <si>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</si>
  <si>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</si>
  <si>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</si>
  <si>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</si>
  <si>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</si>
  <si>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</si>
  <si>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</si>
  <si>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</si>
  <si>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</si>
  <si>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</si>
  <si>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</si>
  <si>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</si>
  <si>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</si>
  <si>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</si>
  <si>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</si>
  <si>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</si>
  <si>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</si>
  <si>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</si>
  <si>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</si>
  <si>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</si>
  <si>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</si>
  <si>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</si>
  <si>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</si>
  <si>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</si>
  <si>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</si>
  <si>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</si>
  <si>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</si>
  <si>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</si>
  <si>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</si>
  <si>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</si>
  <si>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</si>
  <si>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</si>
  <si>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</si>
  <si>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</si>
  <si>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</si>
  <si>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</si>
  <si>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</si>
  <si>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</si>
  <si>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</si>
  <si>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</si>
  <si>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</si>
  <si>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</si>
  <si>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</si>
  <si>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</si>
  <si>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</si>
  <si>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</si>
  <si>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</si>
  <si>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</si>
  <si>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</si>
  <si>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</si>
  <si>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</si>
  <si>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</si>
  <si>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</si>
  <si>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</si>
  <si>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</si>
  <si>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</si>
  <si>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</si>
  <si>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</si>
  <si>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</si>
  <si>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</si>
  <si>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</si>
  <si>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</si>
  <si>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</si>
  <si>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</si>
  <si>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</si>
  <si>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</si>
  <si>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</si>
  <si>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</si>
  <si>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</si>
  <si>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</si>
  <si>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</si>
  <si>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</si>
  <si>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</si>
  <si>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</si>
  <si>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</si>
  <si>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</si>
  <si>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</si>
  <si>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</si>
  <si>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</si>
  <si>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</si>
  <si>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</si>
  <si>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</si>
  <si>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</si>
  <si>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</si>
  <si>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</si>
  <si>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</si>
  <si>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</si>
  <si>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</si>
  <si>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</si>
  <si>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</si>
  <si>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</si>
  <si>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</si>
  <si>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</si>
  <si>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</si>
  <si>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</si>
  <si>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</si>
  <si>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</si>
  <si>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</si>
  <si>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</si>
  <si>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</si>
  <si>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</si>
  <si>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</si>
  <si>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</si>
  <si>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</si>
  <si>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</si>
  <si>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</si>
  <si>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</si>
  <si>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</si>
  <si>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</si>
  <si>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</si>
  <si>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</si>
  <si>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</si>
  <si>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</si>
  <si>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</si>
  <si>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</si>
  <si>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</si>
  <si>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</si>
  <si>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</si>
  <si>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</si>
  <si>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</si>
  <si>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</si>
  <si>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</si>
  <si>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</si>
  <si>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</si>
  <si>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</si>
  <si>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</si>
  <si>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</si>
  <si>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</si>
  <si>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</si>
  <si>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</si>
  <si>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</si>
  <si>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</si>
  <si>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</si>
  <si>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</si>
  <si>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</si>
  <si>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</si>
  <si>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</si>
  <si>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</si>
  <si>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</si>
  <si>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</si>
  <si>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</si>
  <si>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</si>
  <si>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</si>
  <si>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</si>
  <si>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</si>
  <si>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</si>
  <si>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</si>
  <si>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</si>
  <si>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</si>
  <si>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</si>
  <si>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</si>
  <si>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</si>
  <si>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</si>
  <si>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</si>
  <si>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</si>
  <si>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</si>
  <si>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</si>
  <si>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</si>
  <si>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</si>
  <si>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</si>
  <si>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</si>
  <si>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</si>
  <si>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</si>
  <si>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</si>
  <si>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</si>
  <si>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</si>
  <si>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</si>
  <si>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</si>
  <si>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</si>
  <si>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</si>
  <si>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</si>
  <si>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</si>
  <si>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</si>
  <si>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</si>
  <si>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</si>
  <si>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</si>
  <si>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</si>
  <si>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</si>
  <si>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</si>
  <si>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</si>
  <si>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</si>
  <si>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</si>
  <si>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</si>
  <si>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</si>
  <si>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</si>
  <si>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</si>
  <si>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</si>
  <si>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</si>
  <si>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</si>
  <si>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</si>
  <si>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</si>
  <si>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</si>
  <si>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</si>
  <si>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</si>
  <si>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</si>
  <si>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</si>
  <si>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</si>
  <si>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</si>
  <si>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</si>
  <si>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</si>
  <si>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</si>
  <si>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</si>
  <si>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</si>
  <si>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</si>
  <si>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</si>
  <si>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</si>
  <si>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</si>
  <si>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</si>
  <si>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</si>
  <si>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</si>
  <si>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</si>
  <si>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</si>
  <si>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</si>
  <si>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</si>
  <si>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</si>
  <si>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</si>
  <si>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</si>
  <si>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</si>
  <si>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</si>
  <si>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</si>
  <si>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</si>
  <si>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</si>
  <si>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</si>
  <si>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</si>
  <si>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</si>
  <si>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</si>
  <si>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</si>
  <si>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</si>
  <si>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</si>
  <si>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</si>
  <si>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</si>
  <si>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</si>
  <si>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</si>
  <si>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</si>
  <si>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</si>
  <si>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</si>
  <si>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</si>
  <si>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</si>
  <si>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</si>
  <si>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</si>
  <si>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</si>
  <si>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</si>
  <si>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</si>
  <si>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</si>
  <si>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</si>
  <si>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</si>
  <si>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</si>
  <si>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</si>
  <si>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</si>
  <si>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</si>
  <si>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</si>
  <si>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</si>
  <si>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</si>
  <si>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</si>
  <si>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</si>
  <si>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</si>
  <si>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</si>
  <si>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</si>
  <si>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</si>
  <si>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</si>
  <si>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</si>
  <si>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</si>
  <si>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</si>
  <si>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</si>
  <si>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</si>
  <si>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</si>
  <si>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</si>
  <si>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</si>
  <si>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</si>
  <si>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</si>
  <si>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</si>
  <si>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</si>
  <si>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</si>
  <si>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</si>
  <si>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</si>
  <si>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</si>
  <si>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</si>
  <si>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</si>
  <si>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</si>
  <si>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</si>
  <si>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</si>
  <si>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</si>
  <si>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</si>
  <si>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</si>
  <si>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</si>
  <si>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</si>
  <si>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</si>
  <si>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</si>
  <si>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</si>
  <si>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</si>
  <si>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</si>
  <si>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</si>
  <si>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</si>
  <si>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</si>
  <si>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</si>
  <si>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</si>
  <si>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</si>
  <si>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</si>
  <si>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</si>
  <si>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</si>
  <si>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</si>
  <si>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</si>
  <si>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</si>
  <si>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</si>
  <si>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</si>
  <si>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</si>
  <si>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</si>
  <si>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</si>
  <si>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</si>
  <si>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</si>
  <si>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</si>
  <si>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</si>
  <si>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</si>
  <si>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</si>
  <si>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</si>
  <si>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</si>
  <si>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</si>
  <si>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</si>
  <si>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</si>
  <si>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</si>
  <si>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</si>
  <si>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</si>
  <si>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</si>
  <si>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</si>
  <si>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</si>
  <si>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</si>
  <si>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</si>
  <si>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</si>
  <si>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</si>
  <si>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</si>
  <si>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</si>
  <si>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</si>
  <si>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</si>
  <si>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</si>
  <si>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</si>
  <si>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</si>
  <si>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</si>
  <si>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</si>
  <si>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</si>
  <si>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</si>
  <si>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</si>
  <si>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</si>
  <si>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</si>
  <si>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</si>
  <si>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</si>
  <si>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</si>
  <si>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</si>
  <si>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</si>
  <si>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</si>
  <si>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</si>
  <si>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</si>
  <si>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</si>
  <si>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</si>
  <si>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</si>
  <si>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</si>
  <si>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</si>
  <si>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</si>
  <si>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</si>
  <si>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</si>
  <si>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</si>
  <si>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</si>
  <si>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</si>
  <si>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</si>
  <si>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</si>
  <si>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</si>
  <si>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</si>
  <si>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</si>
  <si>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</si>
  <si>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</si>
  <si>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</si>
  <si>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</si>
  <si>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</si>
  <si>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</si>
  <si>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</si>
  <si>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</si>
  <si>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</si>
  <si>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</si>
  <si>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</si>
  <si>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</si>
  <si>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</si>
  <si>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</si>
  <si>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</si>
  <si>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</si>
  <si>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</si>
  <si>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</si>
  <si>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</si>
  <si>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</si>
  <si>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</si>
  <si>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</si>
  <si>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</si>
  <si>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</si>
  <si>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</si>
  <si>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</si>
  <si>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</si>
  <si>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</si>
  <si>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</si>
  <si>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</si>
  <si>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</si>
  <si>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</si>
  <si>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</si>
  <si>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</si>
  <si>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</si>
  <si>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</si>
  <si>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</si>
  <si>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</si>
  <si>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</si>
  <si>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</si>
  <si>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</si>
  <si>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</si>
  <si>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</si>
  <si>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</si>
  <si>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</si>
  <si>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</si>
  <si>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</si>
  <si>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</si>
  <si>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</si>
  <si>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</si>
  <si>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</si>
  <si>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</si>
  <si>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</si>
  <si>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</si>
  <si>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</si>
  <si>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</si>
  <si>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</si>
  <si>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</si>
  <si>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</si>
  <si>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</si>
  <si>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</si>
  <si>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</si>
  <si>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</si>
  <si>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</si>
  <si>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</si>
  <si>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</si>
  <si>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</si>
  <si>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</si>
  <si>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</si>
  <si>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</si>
  <si>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</si>
  <si>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</si>
  <si>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</si>
  <si>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</si>
  <si>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</si>
  <si>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</si>
  <si>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</si>
  <si>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</si>
  <si>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</si>
  <si>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</si>
  <si>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</si>
  <si>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</si>
  <si>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</si>
  <si>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</si>
  <si>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</si>
  <si>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</si>
  <si>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</si>
  <si>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</si>
  <si>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</si>
  <si>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</si>
  <si>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</si>
  <si>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</si>
  <si>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</si>
  <si>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</si>
  <si>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</si>
  <si>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</si>
  <si>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</si>
  <si>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</si>
  <si>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</si>
  <si>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</si>
  <si>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</si>
  <si>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</si>
  <si>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</si>
  <si>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</si>
  <si>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</si>
  <si>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</si>
  <si>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</si>
  <si>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</si>
  <si>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</si>
  <si>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</si>
  <si>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</si>
  <si>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</si>
  <si>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</si>
  <si>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</si>
  <si>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</si>
  <si>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</si>
  <si>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</si>
  <si>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</si>
  <si>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</si>
  <si>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</si>
  <si>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</si>
  <si>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</si>
  <si>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</si>
  <si>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</si>
  <si>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</si>
  <si>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</si>
  <si>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</si>
  <si>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</si>
  <si>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</si>
  <si>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</si>
  <si>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</si>
  <si>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</si>
  <si>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</si>
  <si>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</si>
  <si>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</si>
  <si>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</si>
  <si>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</si>
  <si>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</si>
  <si>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</si>
  <si>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</si>
  <si>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</si>
  <si>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</si>
  <si>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</si>
  <si>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</si>
  <si>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</si>
  <si>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</si>
  <si>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</si>
  <si>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</si>
  <si>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</si>
  <si>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</si>
  <si>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</si>
  <si>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</si>
  <si>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</si>
  <si>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</si>
  <si>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</si>
  <si>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</si>
  <si>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</si>
  <si>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</si>
  <si>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</si>
  <si>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</si>
  <si>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</si>
  <si>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</si>
  <si>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</si>
  <si>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</si>
  <si>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</si>
  <si>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</si>
  <si>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</si>
  <si>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</si>
  <si>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</si>
  <si>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</si>
  <si>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</si>
  <si>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</si>
  <si>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</si>
  <si>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</si>
  <si>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</si>
  <si>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</si>
  <si>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</si>
  <si>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</si>
  <si>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</si>
  <si>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</si>
  <si>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</si>
  <si>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</si>
  <si>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</si>
  <si>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</si>
  <si>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</si>
  <si>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</si>
  <si>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</si>
  <si>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</si>
  <si>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</si>
  <si>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</si>
  <si>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</si>
  <si>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</si>
  <si>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</si>
  <si>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</si>
  <si>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</si>
  <si>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</si>
  <si>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</si>
  <si>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</si>
  <si>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</si>
  <si>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</si>
  <si>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</si>
  <si>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</si>
  <si>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</si>
  <si>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</si>
  <si>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</si>
  <si>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</si>
  <si>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</si>
  <si>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</si>
  <si>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</si>
  <si>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</si>
  <si>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</si>
  <si>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</si>
  <si>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</si>
  <si>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</si>
  <si>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</si>
  <si>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</si>
  <si>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</si>
  <si>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</si>
  <si>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</si>
  <si>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</si>
  <si>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</si>
  <si>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</si>
  <si>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</si>
  <si>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</si>
  <si>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</si>
  <si>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</si>
  <si>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</si>
  <si>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</si>
  <si>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</si>
  <si>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</si>
  <si>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</si>
  <si>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</si>
  <si>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</si>
  <si>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</si>
  <si>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</si>
  <si>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</si>
  <si>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</si>
  <si>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</si>
  <si>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</si>
  <si>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</si>
  <si>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</si>
  <si>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</si>
  <si>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</si>
  <si>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</si>
  <si>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</si>
  <si>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</si>
  <si>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</si>
  <si>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</si>
  <si>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</si>
  <si>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</si>
  <si>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</si>
  <si>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</si>
  <si>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</si>
  <si>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</si>
  <si>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</si>
  <si>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</si>
  <si>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</si>
  <si>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</si>
  <si>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</si>
  <si>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</si>
  <si>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</si>
  <si>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</si>
  <si>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</si>
  <si>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</si>
  <si>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</si>
  <si>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</si>
  <si>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</si>
  <si>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</si>
  <si>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</si>
  <si>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</si>
  <si>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</si>
  <si>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</si>
  <si>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</si>
  <si>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</si>
  <si>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</si>
  <si>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</si>
  <si>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</si>
  <si>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</si>
  <si>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</si>
  <si>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</si>
  <si>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</si>
  <si>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</si>
  <si>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</si>
  <si>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</si>
  <si>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</si>
  <si>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</si>
  <si>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</si>
  <si>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</si>
  <si>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</si>
  <si>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</si>
  <si>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</si>
  <si>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</si>
  <si>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</si>
  <si>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</si>
  <si>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</si>
  <si>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</si>
  <si>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</si>
  <si>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</si>
  <si>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</si>
  <si>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</si>
  <si>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</si>
  <si>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</si>
  <si>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</si>
  <si>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</si>
  <si>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</si>
  <si>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</si>
  <si>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</si>
  <si>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</si>
  <si>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</si>
  <si>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</si>
  <si>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</si>
  <si>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</si>
  <si>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</si>
  <si>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</si>
  <si>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</si>
  <si>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</si>
  <si>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</si>
  <si>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</si>
  <si>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</si>
  <si>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</si>
  <si>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</si>
  <si>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</si>
  <si>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</si>
  <si>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</si>
  <si>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</si>
  <si>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</si>
  <si>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</si>
  <si>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</si>
  <si>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</si>
  <si>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</si>
  <si>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</si>
  <si>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</si>
  <si>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</si>
  <si>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</si>
  <si>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</si>
  <si>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</si>
  <si>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</si>
  <si>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</si>
  <si>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</si>
  <si>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</si>
  <si>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</si>
  <si>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</si>
  <si>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</si>
  <si>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</si>
  <si>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</si>
  <si>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</si>
  <si>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</si>
  <si>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</si>
  <si>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</si>
  <si>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</si>
  <si>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</si>
  <si>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</si>
  <si>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38002</t>
  </si>
  <si>
    <t>ALVERINGEM</t>
  </si>
  <si>
    <t>referentietaak LNE (2017); Jaarverslag De Lijn</t>
  </si>
  <si>
    <t>waterkracht</t>
  </si>
  <si>
    <t>Interne verbrandingsmotor</t>
  </si>
  <si>
    <t>WKK interne verbrandinsgmotor (gas)</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</si>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</sst>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540C427-58D9-4354-8517-B87335DC70F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40362.862615251644</c:v>
                </c:pt>
                <c:pt idx="1">
                  <c:v>18587.953151568829</c:v>
                </c:pt>
                <c:pt idx="2">
                  <c:v>260.83600000000001</c:v>
                </c:pt>
                <c:pt idx="3">
                  <c:v>27580.823794006988</c:v>
                </c:pt>
                <c:pt idx="4">
                  <c:v>3870.0991195775086</c:v>
                </c:pt>
                <c:pt idx="5">
                  <c:v>41582.769833251841</c:v>
                </c:pt>
                <c:pt idx="6">
                  <c:v>237.1936914423469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40362.862615251644</c:v>
                </c:pt>
                <c:pt idx="1">
                  <c:v>18587.953151568829</c:v>
                </c:pt>
                <c:pt idx="2">
                  <c:v>260.83600000000001</c:v>
                </c:pt>
                <c:pt idx="3">
                  <c:v>27580.823794006988</c:v>
                </c:pt>
                <c:pt idx="4">
                  <c:v>3870.0991195775086</c:v>
                </c:pt>
                <c:pt idx="5">
                  <c:v>41582.769833251841</c:v>
                </c:pt>
                <c:pt idx="6">
                  <c:v>237.1936914423469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8349.8759454281117</c:v>
                </c:pt>
                <c:pt idx="1">
                  <c:v>3593.2582523285032</c:v>
                </c:pt>
                <c:pt idx="2">
                  <c:v>48.45708754499627</c:v>
                </c:pt>
                <c:pt idx="3">
                  <c:v>6970.3059538111156</c:v>
                </c:pt>
                <c:pt idx="4">
                  <c:v>764.73042223858727</c:v>
                </c:pt>
                <c:pt idx="5">
                  <c:v>10318.617449240006</c:v>
                </c:pt>
                <c:pt idx="6">
                  <c:v>59.656329149576187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8349.8759454281117</c:v>
                </c:pt>
                <c:pt idx="1">
                  <c:v>3593.2582523285032</c:v>
                </c:pt>
                <c:pt idx="2">
                  <c:v>48.45708754499627</c:v>
                </c:pt>
                <c:pt idx="3">
                  <c:v>6970.3059538111156</c:v>
                </c:pt>
                <c:pt idx="4">
                  <c:v>764.73042223858727</c:v>
                </c:pt>
                <c:pt idx="5">
                  <c:v>10318.617449240006</c:v>
                </c:pt>
                <c:pt idx="6">
                  <c:v>59.656329149576187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38002</v>
      </c>
      <c r="B6" s="384"/>
      <c r="C6" s="385"/>
    </row>
    <row r="7" spans="1:7" s="382" customFormat="1" ht="15.75" customHeight="1">
      <c r="A7" s="386" t="str">
        <f>txtMunicipality</f>
        <v>ALVERINGEM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8107.0877488619162</v>
      </c>
      <c r="D10" s="681">
        <f ca="1">tertiair!C16</f>
        <v>0</v>
      </c>
      <c r="E10" s="681">
        <f ca="1">tertiair!D16</f>
        <v>6571.046818989832</v>
      </c>
      <c r="F10" s="681">
        <f>tertiair!E16</f>
        <v>58.825369958221415</v>
      </c>
      <c r="G10" s="681">
        <f ca="1">tertiair!F16</f>
        <v>2977.1454447506171</v>
      </c>
      <c r="H10" s="681">
        <f>tertiair!G16</f>
        <v>0</v>
      </c>
      <c r="I10" s="681">
        <f>tertiair!H16</f>
        <v>0</v>
      </c>
      <c r="J10" s="681">
        <f>tertiair!I16</f>
        <v>0</v>
      </c>
      <c r="K10" s="681">
        <f>tertiair!J16</f>
        <v>2.7603023906447387E-2</v>
      </c>
      <c r="L10" s="681">
        <f>tertiair!K16</f>
        <v>0</v>
      </c>
      <c r="M10" s="681">
        <f ca="1">tertiair!L16</f>
        <v>0</v>
      </c>
      <c r="N10" s="681">
        <f>tertiair!M16</f>
        <v>0</v>
      </c>
      <c r="O10" s="681">
        <f ca="1">tertiair!N16</f>
        <v>1047.83620231695</v>
      </c>
      <c r="P10" s="681">
        <f>tertiair!O16</f>
        <v>34.280825360888088</v>
      </c>
      <c r="Q10" s="682">
        <f>tertiair!P16</f>
        <v>52.539138306495019</v>
      </c>
      <c r="R10" s="684">
        <f ca="1">SUM(C10:Q10)</f>
        <v>18848.789151568832</v>
      </c>
      <c r="S10" s="67"/>
    </row>
    <row r="11" spans="1:19" s="443" customFormat="1">
      <c r="A11" s="802" t="s">
        <v>214</v>
      </c>
      <c r="B11" s="807"/>
      <c r="C11" s="681">
        <f>huishoudens!B8</f>
        <v>8473.6179732760138</v>
      </c>
      <c r="D11" s="681">
        <f>huishoudens!C8</f>
        <v>0</v>
      </c>
      <c r="E11" s="681">
        <f>huishoudens!D8</f>
        <v>12570.925743142127</v>
      </c>
      <c r="F11" s="681">
        <f>huishoudens!E8</f>
        <v>692.18523159919607</v>
      </c>
      <c r="G11" s="681">
        <f>huishoudens!F8</f>
        <v>15163.428646179631</v>
      </c>
      <c r="H11" s="681">
        <f>huishoudens!G8</f>
        <v>0</v>
      </c>
      <c r="I11" s="681">
        <f>huishoudens!H8</f>
        <v>0</v>
      </c>
      <c r="J11" s="681">
        <f>huishoudens!I8</f>
        <v>0</v>
      </c>
      <c r="K11" s="681">
        <f>huishoudens!J8</f>
        <v>86.418038335756663</v>
      </c>
      <c r="L11" s="681">
        <f>huishoudens!K8</f>
        <v>0</v>
      </c>
      <c r="M11" s="681">
        <f>huishoudens!L8</f>
        <v>0</v>
      </c>
      <c r="N11" s="681">
        <f>huishoudens!M8</f>
        <v>0</v>
      </c>
      <c r="O11" s="681">
        <f>huishoudens!N8</f>
        <v>2821.9103099876452</v>
      </c>
      <c r="P11" s="681">
        <f>huishoudens!O8</f>
        <v>301.56164934682886</v>
      </c>
      <c r="Q11" s="682">
        <f>huishoudens!P8</f>
        <v>252.81502338444056</v>
      </c>
      <c r="R11" s="684">
        <f>SUM(C11:Q11)</f>
        <v>40362.862615251644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2585.027185471029</v>
      </c>
      <c r="D13" s="681">
        <f>industrie!C18</f>
        <v>0</v>
      </c>
      <c r="E13" s="681">
        <f>industrie!D18</f>
        <v>566.35117950111305</v>
      </c>
      <c r="F13" s="681">
        <f>industrie!E18</f>
        <v>43.309016609995503</v>
      </c>
      <c r="G13" s="681">
        <f>industrie!F18</f>
        <v>594.71829370094929</v>
      </c>
      <c r="H13" s="681">
        <f>industrie!G18</f>
        <v>0</v>
      </c>
      <c r="I13" s="681">
        <f>industrie!H18</f>
        <v>0</v>
      </c>
      <c r="J13" s="681">
        <f>industrie!I18</f>
        <v>0</v>
      </c>
      <c r="K13" s="681">
        <f>industrie!J18</f>
        <v>4.1535479526857131</v>
      </c>
      <c r="L13" s="681">
        <f>industrie!K18</f>
        <v>0</v>
      </c>
      <c r="M13" s="681">
        <f>industrie!L18</f>
        <v>0</v>
      </c>
      <c r="N13" s="681">
        <f>industrie!M18</f>
        <v>0</v>
      </c>
      <c r="O13" s="681">
        <f>industrie!N18</f>
        <v>76.539896341735812</v>
      </c>
      <c r="P13" s="681">
        <f>industrie!O18</f>
        <v>0</v>
      </c>
      <c r="Q13" s="682">
        <f>industrie!P18</f>
        <v>0</v>
      </c>
      <c r="R13" s="684">
        <f>SUM(C13:Q13)</f>
        <v>3870.0991195775086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19165.732907608959</v>
      </c>
      <c r="D16" s="717">
        <f t="shared" ref="D16:R16" ca="1" si="0">SUM(D9:D15)</f>
        <v>0</v>
      </c>
      <c r="E16" s="717">
        <f t="shared" ca="1" si="0"/>
        <v>19708.323741633074</v>
      </c>
      <c r="F16" s="717">
        <f t="shared" si="0"/>
        <v>794.31961816741295</v>
      </c>
      <c r="G16" s="717">
        <f t="shared" ca="1" si="0"/>
        <v>18735.292384631197</v>
      </c>
      <c r="H16" s="717">
        <f t="shared" si="0"/>
        <v>0</v>
      </c>
      <c r="I16" s="717">
        <f t="shared" si="0"/>
        <v>0</v>
      </c>
      <c r="J16" s="717">
        <f t="shared" si="0"/>
        <v>0</v>
      </c>
      <c r="K16" s="717">
        <f t="shared" si="0"/>
        <v>90.599189312348827</v>
      </c>
      <c r="L16" s="717">
        <f t="shared" si="0"/>
        <v>0</v>
      </c>
      <c r="M16" s="717">
        <f t="shared" ca="1" si="0"/>
        <v>0</v>
      </c>
      <c r="N16" s="717">
        <f t="shared" si="0"/>
        <v>0</v>
      </c>
      <c r="O16" s="717">
        <f t="shared" ca="1" si="0"/>
        <v>3946.2864086463305</v>
      </c>
      <c r="P16" s="717">
        <f t="shared" si="0"/>
        <v>335.84247470771697</v>
      </c>
      <c r="Q16" s="717">
        <f t="shared" si="0"/>
        <v>305.3541616909356</v>
      </c>
      <c r="R16" s="717">
        <f t="shared" ca="1" si="0"/>
        <v>63081.750886397982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3.5297967081045392</v>
      </c>
      <c r="D19" s="681">
        <f>transport!C54</f>
        <v>0</v>
      </c>
      <c r="E19" s="681">
        <f>transport!D54</f>
        <v>0</v>
      </c>
      <c r="F19" s="681">
        <f>transport!E54</f>
        <v>0</v>
      </c>
      <c r="G19" s="681">
        <f>transport!F54</f>
        <v>0</v>
      </c>
      <c r="H19" s="681">
        <f>transport!G54</f>
        <v>220.97594525017303</v>
      </c>
      <c r="I19" s="681">
        <f>transport!H54</f>
        <v>0</v>
      </c>
      <c r="J19" s="681">
        <f>transport!I54</f>
        <v>0</v>
      </c>
      <c r="K19" s="681">
        <f>transport!J54</f>
        <v>0</v>
      </c>
      <c r="L19" s="681">
        <f>transport!K54</f>
        <v>0</v>
      </c>
      <c r="M19" s="681">
        <f>transport!L54</f>
        <v>0</v>
      </c>
      <c r="N19" s="681">
        <f>transport!M54</f>
        <v>12.687949484069362</v>
      </c>
      <c r="O19" s="681">
        <f>transport!N54</f>
        <v>0</v>
      </c>
      <c r="P19" s="681">
        <f>transport!O54</f>
        <v>0</v>
      </c>
      <c r="Q19" s="682">
        <f>transport!P54</f>
        <v>0</v>
      </c>
      <c r="R19" s="684">
        <f>SUM(C19:Q19)</f>
        <v>237.1936914423469</v>
      </c>
      <c r="S19" s="67"/>
    </row>
    <row r="20" spans="1:19" s="443" customFormat="1">
      <c r="A20" s="802" t="s">
        <v>296</v>
      </c>
      <c r="B20" s="807"/>
      <c r="C20" s="681">
        <f>transport!B14</f>
        <v>87.078843690917637</v>
      </c>
      <c r="D20" s="681">
        <f>transport!C14</f>
        <v>0</v>
      </c>
      <c r="E20" s="681">
        <f>transport!D14</f>
        <v>158.36187113708786</v>
      </c>
      <c r="F20" s="681">
        <f>transport!E14</f>
        <v>61.927780842345008</v>
      </c>
      <c r="G20" s="681">
        <f>transport!F14</f>
        <v>0</v>
      </c>
      <c r="H20" s="681">
        <f>transport!G14</f>
        <v>31192.295840307703</v>
      </c>
      <c r="I20" s="681">
        <f>transport!H14</f>
        <v>7743.1750606912701</v>
      </c>
      <c r="J20" s="681">
        <f>transport!I14</f>
        <v>0</v>
      </c>
      <c r="K20" s="681">
        <f>transport!J14</f>
        <v>0</v>
      </c>
      <c r="L20" s="681">
        <f>transport!K14</f>
        <v>0</v>
      </c>
      <c r="M20" s="681">
        <f>transport!L14</f>
        <v>0</v>
      </c>
      <c r="N20" s="681">
        <f>transport!M14</f>
        <v>2339.9304365825124</v>
      </c>
      <c r="O20" s="681">
        <f>transport!N14</f>
        <v>0</v>
      </c>
      <c r="P20" s="681">
        <f>transport!O14</f>
        <v>0</v>
      </c>
      <c r="Q20" s="682">
        <f>transport!P14</f>
        <v>0</v>
      </c>
      <c r="R20" s="684">
        <f>SUM(C20:Q20)</f>
        <v>41582.769833251841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90.608640399022178</v>
      </c>
      <c r="D22" s="805">
        <f t="shared" ref="D22:R22" si="1">SUM(D18:D21)</f>
        <v>0</v>
      </c>
      <c r="E22" s="805">
        <f t="shared" si="1"/>
        <v>158.36187113708786</v>
      </c>
      <c r="F22" s="805">
        <f t="shared" si="1"/>
        <v>61.927780842345008</v>
      </c>
      <c r="G22" s="805">
        <f t="shared" si="1"/>
        <v>0</v>
      </c>
      <c r="H22" s="805">
        <f t="shared" si="1"/>
        <v>31413.271785557874</v>
      </c>
      <c r="I22" s="805">
        <f t="shared" si="1"/>
        <v>7743.1750606912701</v>
      </c>
      <c r="J22" s="805">
        <f t="shared" si="1"/>
        <v>0</v>
      </c>
      <c r="K22" s="805">
        <f t="shared" si="1"/>
        <v>0</v>
      </c>
      <c r="L22" s="805">
        <f t="shared" si="1"/>
        <v>0</v>
      </c>
      <c r="M22" s="805">
        <f t="shared" si="1"/>
        <v>0</v>
      </c>
      <c r="N22" s="805">
        <f t="shared" si="1"/>
        <v>2352.6183860665819</v>
      </c>
      <c r="O22" s="805">
        <f t="shared" si="1"/>
        <v>0</v>
      </c>
      <c r="P22" s="805">
        <f t="shared" si="1"/>
        <v>0</v>
      </c>
      <c r="Q22" s="805">
        <f t="shared" si="1"/>
        <v>0</v>
      </c>
      <c r="R22" s="805">
        <f t="shared" si="1"/>
        <v>41819.963524694191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5912.5922059183904</v>
      </c>
      <c r="D24" s="681">
        <f>+landbouw!C8</f>
        <v>1279.2857142857142</v>
      </c>
      <c r="E24" s="681">
        <f>+landbouw!D8</f>
        <v>0</v>
      </c>
      <c r="F24" s="681">
        <f>+landbouw!E8</f>
        <v>169.34664671539679</v>
      </c>
      <c r="G24" s="681">
        <f>+landbouw!F8</f>
        <v>18716.212698660609</v>
      </c>
      <c r="H24" s="681">
        <f>+landbouw!G8</f>
        <v>0</v>
      </c>
      <c r="I24" s="681">
        <f>+landbouw!H8</f>
        <v>0</v>
      </c>
      <c r="J24" s="681">
        <f>+landbouw!I8</f>
        <v>0</v>
      </c>
      <c r="K24" s="681">
        <f>+landbouw!J8</f>
        <v>1503.3865284268788</v>
      </c>
      <c r="L24" s="681">
        <f>+landbouw!K8</f>
        <v>0</v>
      </c>
      <c r="M24" s="681">
        <f>+landbouw!L8</f>
        <v>0</v>
      </c>
      <c r="N24" s="681">
        <f>+landbouw!M8</f>
        <v>0</v>
      </c>
      <c r="O24" s="681">
        <f>+landbouw!N8</f>
        <v>0</v>
      </c>
      <c r="P24" s="681">
        <f>+landbouw!O8</f>
        <v>0</v>
      </c>
      <c r="Q24" s="682">
        <f>+landbouw!P8</f>
        <v>0</v>
      </c>
      <c r="R24" s="684">
        <f>SUM(C24:Q24)</f>
        <v>27580.823794006988</v>
      </c>
      <c r="S24" s="67"/>
    </row>
    <row r="25" spans="1:19" s="443" customFormat="1" ht="15" thickBot="1">
      <c r="A25" s="824" t="s">
        <v>690</v>
      </c>
      <c r="B25" s="937"/>
      <c r="C25" s="938">
        <f>IF(Onbekend_ele_kWh="---",0,Onbekend_ele_kWh)/1000+IF(REST_rest_ele_kWh="---",0,REST_rest_ele_kWh)/1000</f>
        <v>245.42812402904701</v>
      </c>
      <c r="D25" s="938"/>
      <c r="E25" s="938">
        <f>IF(onbekend_gas_kWh="---",0,onbekend_gas_kWh)/1000+IF(REST_rest_gas_kWh="---",0,REST_rest_gas_kWh)/1000</f>
        <v>347.74255219678201</v>
      </c>
      <c r="F25" s="938"/>
      <c r="G25" s="938"/>
      <c r="H25" s="938"/>
      <c r="I25" s="938"/>
      <c r="J25" s="938"/>
      <c r="K25" s="938"/>
      <c r="L25" s="938"/>
      <c r="M25" s="938"/>
      <c r="N25" s="938"/>
      <c r="O25" s="938"/>
      <c r="P25" s="938"/>
      <c r="Q25" s="939"/>
      <c r="R25" s="684">
        <f>SUM(C25:Q25)</f>
        <v>593.17067622582908</v>
      </c>
      <c r="S25" s="67"/>
    </row>
    <row r="26" spans="1:19" s="443" customFormat="1" ht="15.75" thickBot="1">
      <c r="A26" s="689" t="s">
        <v>691</v>
      </c>
      <c r="B26" s="810"/>
      <c r="C26" s="805">
        <f>SUM(C24:C25)</f>
        <v>6158.0203299474379</v>
      </c>
      <c r="D26" s="805">
        <f t="shared" ref="D26:R26" si="2">SUM(D24:D25)</f>
        <v>1279.2857142857142</v>
      </c>
      <c r="E26" s="805">
        <f t="shared" si="2"/>
        <v>347.74255219678201</v>
      </c>
      <c r="F26" s="805">
        <f t="shared" si="2"/>
        <v>169.34664671539679</v>
      </c>
      <c r="G26" s="805">
        <f t="shared" si="2"/>
        <v>18716.212698660609</v>
      </c>
      <c r="H26" s="805">
        <f t="shared" si="2"/>
        <v>0</v>
      </c>
      <c r="I26" s="805">
        <f t="shared" si="2"/>
        <v>0</v>
      </c>
      <c r="J26" s="805">
        <f t="shared" si="2"/>
        <v>0</v>
      </c>
      <c r="K26" s="805">
        <f t="shared" si="2"/>
        <v>1503.3865284268788</v>
      </c>
      <c r="L26" s="805">
        <f t="shared" si="2"/>
        <v>0</v>
      </c>
      <c r="M26" s="805">
        <f t="shared" si="2"/>
        <v>0</v>
      </c>
      <c r="N26" s="805">
        <f t="shared" si="2"/>
        <v>0</v>
      </c>
      <c r="O26" s="805">
        <f t="shared" si="2"/>
        <v>0</v>
      </c>
      <c r="P26" s="805">
        <f t="shared" si="2"/>
        <v>0</v>
      </c>
      <c r="Q26" s="805">
        <f t="shared" si="2"/>
        <v>0</v>
      </c>
      <c r="R26" s="805">
        <f t="shared" si="2"/>
        <v>28173.994470232818</v>
      </c>
      <c r="S26" s="67"/>
    </row>
    <row r="27" spans="1:19" s="443" customFormat="1" ht="17.25" thickTop="1" thickBot="1">
      <c r="A27" s="690" t="s">
        <v>109</v>
      </c>
      <c r="B27" s="797"/>
      <c r="C27" s="691">
        <f ca="1">C22+C16+C26</f>
        <v>25414.36187795542</v>
      </c>
      <c r="D27" s="691">
        <f t="shared" ref="D27:R27" ca="1" si="3">D22+D16+D26</f>
        <v>1279.2857142857142</v>
      </c>
      <c r="E27" s="691">
        <f t="shared" ca="1" si="3"/>
        <v>20214.428164966943</v>
      </c>
      <c r="F27" s="691">
        <f t="shared" si="3"/>
        <v>1025.5940457251547</v>
      </c>
      <c r="G27" s="691">
        <f t="shared" ca="1" si="3"/>
        <v>37451.505083291806</v>
      </c>
      <c r="H27" s="691">
        <f t="shared" si="3"/>
        <v>31413.271785557874</v>
      </c>
      <c r="I27" s="691">
        <f t="shared" si="3"/>
        <v>7743.1750606912701</v>
      </c>
      <c r="J27" s="691">
        <f t="shared" si="3"/>
        <v>0</v>
      </c>
      <c r="K27" s="691">
        <f t="shared" si="3"/>
        <v>1593.9857177392278</v>
      </c>
      <c r="L27" s="691">
        <f t="shared" si="3"/>
        <v>0</v>
      </c>
      <c r="M27" s="691">
        <f t="shared" ca="1" si="3"/>
        <v>0</v>
      </c>
      <c r="N27" s="691">
        <f t="shared" si="3"/>
        <v>2352.6183860665819</v>
      </c>
      <c r="O27" s="691">
        <f t="shared" ca="1" si="3"/>
        <v>3946.2864086463305</v>
      </c>
      <c r="P27" s="691">
        <f t="shared" si="3"/>
        <v>335.84247470771697</v>
      </c>
      <c r="Q27" s="691">
        <f t="shared" si="3"/>
        <v>305.3541616909356</v>
      </c>
      <c r="R27" s="691">
        <f t="shared" ca="1" si="3"/>
        <v>133075.70888132497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1506.1029182381596</v>
      </c>
      <c r="D40" s="681">
        <f ca="1">tertiair!C20</f>
        <v>0</v>
      </c>
      <c r="E40" s="681">
        <f ca="1">tertiair!D20</f>
        <v>1327.3514574359463</v>
      </c>
      <c r="F40" s="681">
        <f>tertiair!E20</f>
        <v>13.353358980516262</v>
      </c>
      <c r="G40" s="681">
        <f ca="1">tertiair!F20</f>
        <v>794.89783374841477</v>
      </c>
      <c r="H40" s="681">
        <f>tertiair!G20</f>
        <v>0</v>
      </c>
      <c r="I40" s="681">
        <f>tertiair!H20</f>
        <v>0</v>
      </c>
      <c r="J40" s="681">
        <f>tertiair!I20</f>
        <v>0</v>
      </c>
      <c r="K40" s="681">
        <f>tertiair!J20</f>
        <v>9.7714704628823739E-3</v>
      </c>
      <c r="L40" s="681">
        <f>tertiair!K20</f>
        <v>0</v>
      </c>
      <c r="M40" s="681">
        <f ca="1">tertiair!L20</f>
        <v>0</v>
      </c>
      <c r="N40" s="681">
        <f>tertiair!M20</f>
        <v>0</v>
      </c>
      <c r="O40" s="681">
        <f ca="1">tertiair!N20</f>
        <v>0</v>
      </c>
      <c r="P40" s="681">
        <f>tertiair!O20</f>
        <v>0</v>
      </c>
      <c r="Q40" s="764">
        <f>tertiair!P20</f>
        <v>0</v>
      </c>
      <c r="R40" s="843">
        <f t="shared" ca="1" si="4"/>
        <v>3641.7153398734995</v>
      </c>
    </row>
    <row r="41" spans="1:18">
      <c r="A41" s="815" t="s">
        <v>214</v>
      </c>
      <c r="B41" s="822"/>
      <c r="C41" s="681">
        <f ca="1">huishoudens!B12</f>
        <v>1574.1954636395653</v>
      </c>
      <c r="D41" s="681">
        <f ca="1">huishoudens!C12</f>
        <v>0</v>
      </c>
      <c r="E41" s="681">
        <f>huishoudens!D12</f>
        <v>2539.3270001147098</v>
      </c>
      <c r="F41" s="681">
        <f>huishoudens!E12</f>
        <v>157.1260475730175</v>
      </c>
      <c r="G41" s="681">
        <f>huishoudens!F12</f>
        <v>4048.6354485299616</v>
      </c>
      <c r="H41" s="681">
        <f>huishoudens!G12</f>
        <v>0</v>
      </c>
      <c r="I41" s="681">
        <f>huishoudens!H12</f>
        <v>0</v>
      </c>
      <c r="J41" s="681">
        <f>huishoudens!I12</f>
        <v>0</v>
      </c>
      <c r="K41" s="681">
        <f>huishoudens!J12</f>
        <v>30.591985570857858</v>
      </c>
      <c r="L41" s="681">
        <f>huishoudens!K12</f>
        <v>0</v>
      </c>
      <c r="M41" s="681">
        <f>huishoudens!L12</f>
        <v>0</v>
      </c>
      <c r="N41" s="681">
        <f>huishoudens!M12</f>
        <v>0</v>
      </c>
      <c r="O41" s="681">
        <f>huishoudens!N12</f>
        <v>0</v>
      </c>
      <c r="P41" s="681">
        <f>huishoudens!O12</f>
        <v>0</v>
      </c>
      <c r="Q41" s="764">
        <f>huishoudens!P12</f>
        <v>0</v>
      </c>
      <c r="R41" s="843">
        <f t="shared" ca="1" si="4"/>
        <v>8349.8759454281117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480.23619681548928</v>
      </c>
      <c r="D43" s="681">
        <f ca="1">industrie!C22</f>
        <v>0</v>
      </c>
      <c r="E43" s="681">
        <f>industrie!D22</f>
        <v>114.40293825922484</v>
      </c>
      <c r="F43" s="681">
        <f>industrie!E22</f>
        <v>9.8311467704689797</v>
      </c>
      <c r="G43" s="681">
        <f>industrie!F22</f>
        <v>158.78978441815346</v>
      </c>
      <c r="H43" s="681">
        <f>industrie!G22</f>
        <v>0</v>
      </c>
      <c r="I43" s="681">
        <f>industrie!H22</f>
        <v>0</v>
      </c>
      <c r="J43" s="681">
        <f>industrie!I22</f>
        <v>0</v>
      </c>
      <c r="K43" s="681">
        <f>industrie!J22</f>
        <v>1.4703559752507425</v>
      </c>
      <c r="L43" s="681">
        <f>industrie!K22</f>
        <v>0</v>
      </c>
      <c r="M43" s="681">
        <f>industrie!L22</f>
        <v>0</v>
      </c>
      <c r="N43" s="681">
        <f>industrie!M22</f>
        <v>0</v>
      </c>
      <c r="O43" s="681">
        <f>industrie!N22</f>
        <v>0</v>
      </c>
      <c r="P43" s="681">
        <f>industrie!O22</f>
        <v>0</v>
      </c>
      <c r="Q43" s="764">
        <f>industrie!P22</f>
        <v>0</v>
      </c>
      <c r="R43" s="842">
        <f t="shared" ca="1" si="4"/>
        <v>764.73042223858727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3560.5345786932139</v>
      </c>
      <c r="D46" s="717">
        <f t="shared" ref="D46:Q46" ca="1" si="5">SUM(D39:D45)</f>
        <v>0</v>
      </c>
      <c r="E46" s="717">
        <f t="shared" ca="1" si="5"/>
        <v>3981.0813958098811</v>
      </c>
      <c r="F46" s="717">
        <f t="shared" si="5"/>
        <v>180.31055332400274</v>
      </c>
      <c r="G46" s="717">
        <f t="shared" ca="1" si="5"/>
        <v>5002.3230666965301</v>
      </c>
      <c r="H46" s="717">
        <f t="shared" si="5"/>
        <v>0</v>
      </c>
      <c r="I46" s="717">
        <f t="shared" si="5"/>
        <v>0</v>
      </c>
      <c r="J46" s="717">
        <f t="shared" si="5"/>
        <v>0</v>
      </c>
      <c r="K46" s="717">
        <f t="shared" si="5"/>
        <v>32.072113016571485</v>
      </c>
      <c r="L46" s="717">
        <f t="shared" si="5"/>
        <v>0</v>
      </c>
      <c r="M46" s="717">
        <f t="shared" ca="1" si="5"/>
        <v>0</v>
      </c>
      <c r="N46" s="717">
        <f t="shared" si="5"/>
        <v>0</v>
      </c>
      <c r="O46" s="717">
        <f t="shared" ca="1" si="5"/>
        <v>0</v>
      </c>
      <c r="P46" s="717">
        <f t="shared" si="5"/>
        <v>0</v>
      </c>
      <c r="Q46" s="717">
        <f t="shared" si="5"/>
        <v>0</v>
      </c>
      <c r="R46" s="717">
        <f ca="1">SUM(R39:R45)</f>
        <v>12756.321707540197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0.65575176777998934</v>
      </c>
      <c r="D49" s="681">
        <f ca="1">transport!C58</f>
        <v>0</v>
      </c>
      <c r="E49" s="681">
        <f>transport!D58</f>
        <v>0</v>
      </c>
      <c r="F49" s="681">
        <f>transport!E58</f>
        <v>0</v>
      </c>
      <c r="G49" s="681">
        <f>transport!F58</f>
        <v>0</v>
      </c>
      <c r="H49" s="681">
        <f>transport!G58</f>
        <v>59.000577381796198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59.656329149576187</v>
      </c>
    </row>
    <row r="50" spans="1:18">
      <c r="A50" s="818" t="s">
        <v>296</v>
      </c>
      <c r="B50" s="828"/>
      <c r="C50" s="687">
        <f ca="1">transport!B18</f>
        <v>16.177165544816827</v>
      </c>
      <c r="D50" s="687">
        <f>transport!C18</f>
        <v>0</v>
      </c>
      <c r="E50" s="687">
        <f>transport!D18</f>
        <v>31.989097969691748</v>
      </c>
      <c r="F50" s="687">
        <f>transport!E18</f>
        <v>14.057606251212317</v>
      </c>
      <c r="G50" s="687">
        <f>transport!F18</f>
        <v>0</v>
      </c>
      <c r="H50" s="687">
        <f>transport!G18</f>
        <v>8328.3429893621578</v>
      </c>
      <c r="I50" s="687">
        <f>transport!H18</f>
        <v>1928.0505901121262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10318.617449240006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16.832917312596816</v>
      </c>
      <c r="D52" s="717">
        <f t="shared" ref="D52:Q52" ca="1" si="6">SUM(D48:D51)</f>
        <v>0</v>
      </c>
      <c r="E52" s="717">
        <f t="shared" si="6"/>
        <v>31.989097969691748</v>
      </c>
      <c r="F52" s="717">
        <f t="shared" si="6"/>
        <v>14.057606251212317</v>
      </c>
      <c r="G52" s="717">
        <f t="shared" si="6"/>
        <v>0</v>
      </c>
      <c r="H52" s="717">
        <f t="shared" si="6"/>
        <v>8387.3435667439535</v>
      </c>
      <c r="I52" s="717">
        <f t="shared" si="6"/>
        <v>1928.0505901121262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10378.273778389583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1098.4181560062646</v>
      </c>
      <c r="D54" s="687">
        <f ca="1">+landbouw!C12</f>
        <v>304.01848739495807</v>
      </c>
      <c r="E54" s="687">
        <f>+landbouw!D12</f>
        <v>0</v>
      </c>
      <c r="F54" s="687">
        <f>+landbouw!E12</f>
        <v>38.441688804395071</v>
      </c>
      <c r="G54" s="687">
        <f>+landbouw!F12</f>
        <v>4997.2287905423827</v>
      </c>
      <c r="H54" s="687">
        <f>+landbouw!G12</f>
        <v>0</v>
      </c>
      <c r="I54" s="687">
        <f>+landbouw!H12</f>
        <v>0</v>
      </c>
      <c r="J54" s="687">
        <f>+landbouw!I12</f>
        <v>0</v>
      </c>
      <c r="K54" s="687">
        <f>+landbouw!J12</f>
        <v>532.19883106311511</v>
      </c>
      <c r="L54" s="687">
        <f>+landbouw!K12</f>
        <v>0</v>
      </c>
      <c r="M54" s="687">
        <f>+landbouw!L12</f>
        <v>0</v>
      </c>
      <c r="N54" s="687">
        <f>+landbouw!M12</f>
        <v>0</v>
      </c>
      <c r="O54" s="687">
        <f>+landbouw!N12</f>
        <v>0</v>
      </c>
      <c r="P54" s="687">
        <f>+landbouw!O12</f>
        <v>0</v>
      </c>
      <c r="Q54" s="688">
        <f>+landbouw!P12</f>
        <v>0</v>
      </c>
      <c r="R54" s="716">
        <f ca="1">SUM(C54:Q54)</f>
        <v>6970.3059538111156</v>
      </c>
    </row>
    <row r="55" spans="1:18" ht="15" thickBot="1">
      <c r="A55" s="818" t="s">
        <v>690</v>
      </c>
      <c r="B55" s="828"/>
      <c r="C55" s="687">
        <f ca="1">C25*'EF ele_warmte'!B12</f>
        <v>45.594672867547935</v>
      </c>
      <c r="D55" s="687"/>
      <c r="E55" s="687">
        <f>E25*EF_CO2_aardgas</f>
        <v>70.243995543749975</v>
      </c>
      <c r="F55" s="687"/>
      <c r="G55" s="687"/>
      <c r="H55" s="687"/>
      <c r="I55" s="687"/>
      <c r="J55" s="687"/>
      <c r="K55" s="687"/>
      <c r="L55" s="687"/>
      <c r="M55" s="687"/>
      <c r="N55" s="687"/>
      <c r="O55" s="687"/>
      <c r="P55" s="687"/>
      <c r="Q55" s="688"/>
      <c r="R55" s="716">
        <f ca="1">SUM(C55:Q55)</f>
        <v>115.8386684112979</v>
      </c>
    </row>
    <row r="56" spans="1:18" ht="15.75" thickBot="1">
      <c r="A56" s="816" t="s">
        <v>691</v>
      </c>
      <c r="B56" s="829"/>
      <c r="C56" s="717">
        <f ca="1">SUM(C54:C55)</f>
        <v>1144.0128288738124</v>
      </c>
      <c r="D56" s="717">
        <f t="shared" ref="D56:Q56" ca="1" si="7">SUM(D54:D55)</f>
        <v>304.01848739495807</v>
      </c>
      <c r="E56" s="717">
        <f t="shared" si="7"/>
        <v>70.243995543749975</v>
      </c>
      <c r="F56" s="717">
        <f t="shared" si="7"/>
        <v>38.441688804395071</v>
      </c>
      <c r="G56" s="717">
        <f t="shared" si="7"/>
        <v>4997.2287905423827</v>
      </c>
      <c r="H56" s="717">
        <f t="shared" si="7"/>
        <v>0</v>
      </c>
      <c r="I56" s="717">
        <f t="shared" si="7"/>
        <v>0</v>
      </c>
      <c r="J56" s="717">
        <f t="shared" si="7"/>
        <v>0</v>
      </c>
      <c r="K56" s="717">
        <f t="shared" si="7"/>
        <v>532.19883106311511</v>
      </c>
      <c r="L56" s="717">
        <f t="shared" si="7"/>
        <v>0</v>
      </c>
      <c r="M56" s="717">
        <f t="shared" si="7"/>
        <v>0</v>
      </c>
      <c r="N56" s="717">
        <f t="shared" si="7"/>
        <v>0</v>
      </c>
      <c r="O56" s="717">
        <f t="shared" si="7"/>
        <v>0</v>
      </c>
      <c r="P56" s="717">
        <f t="shared" si="7"/>
        <v>0</v>
      </c>
      <c r="Q56" s="718">
        <f t="shared" si="7"/>
        <v>0</v>
      </c>
      <c r="R56" s="719">
        <f ca="1">SUM(R54:R55)</f>
        <v>7086.1446222224131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4721.380324879623</v>
      </c>
      <c r="D61" s="725">
        <f t="shared" ref="D61:Q61" ca="1" si="8">D46+D52+D56</f>
        <v>304.01848739495807</v>
      </c>
      <c r="E61" s="725">
        <f t="shared" ca="1" si="8"/>
        <v>4083.3144893233225</v>
      </c>
      <c r="F61" s="725">
        <f t="shared" si="8"/>
        <v>232.80984837961012</v>
      </c>
      <c r="G61" s="725">
        <f t="shared" ca="1" si="8"/>
        <v>9999.5518572389119</v>
      </c>
      <c r="H61" s="725">
        <f t="shared" si="8"/>
        <v>8387.3435667439535</v>
      </c>
      <c r="I61" s="725">
        <f t="shared" si="8"/>
        <v>1928.0505901121262</v>
      </c>
      <c r="J61" s="725">
        <f t="shared" si="8"/>
        <v>0</v>
      </c>
      <c r="K61" s="725">
        <f t="shared" si="8"/>
        <v>564.27094407968661</v>
      </c>
      <c r="L61" s="725">
        <f t="shared" si="8"/>
        <v>0</v>
      </c>
      <c r="M61" s="725">
        <f t="shared" ca="1" si="8"/>
        <v>0</v>
      </c>
      <c r="N61" s="725">
        <f t="shared" si="8"/>
        <v>0</v>
      </c>
      <c r="O61" s="725">
        <f t="shared" ca="1" si="8"/>
        <v>0</v>
      </c>
      <c r="P61" s="725">
        <f t="shared" si="8"/>
        <v>0</v>
      </c>
      <c r="Q61" s="725">
        <f t="shared" si="8"/>
        <v>0</v>
      </c>
      <c r="R61" s="725">
        <f ca="1">R46+R52+R56</f>
        <v>30220.740108152189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0.18577607211043054</v>
      </c>
      <c r="D63" s="771">
        <f t="shared" ca="1" si="9"/>
        <v>0.23764705882352949</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4118.1044856334574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895.5</v>
      </c>
      <c r="D76" s="946">
        <f>'lokale energieproductie'!C8</f>
        <v>1053.5294117647061</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212.81294117647064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4118.1044856334574</v>
      </c>
      <c r="C78" s="743">
        <f>SUM(C72:C77)</f>
        <v>895.5</v>
      </c>
      <c r="D78" s="744">
        <f t="shared" ref="D78:H78" si="10">SUM(D76:D77)</f>
        <v>1053.5294117647061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212.81294117647064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1279.2857142857142</v>
      </c>
      <c r="D87" s="767">
        <f>'lokale energieproductie'!C17</f>
        <v>1505.042016806723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304.01848739495807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1279.2857142857142</v>
      </c>
      <c r="D90" s="743">
        <f t="shared" ref="D90:H90" si="12">SUM(D87:D89)</f>
        <v>1505.042016806723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304.01848739495807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8473.6179732760138</v>
      </c>
      <c r="C4" s="447">
        <f>huishoudens!C8</f>
        <v>0</v>
      </c>
      <c r="D4" s="447">
        <f>huishoudens!D8</f>
        <v>12570.925743142127</v>
      </c>
      <c r="E4" s="447">
        <f>huishoudens!E8</f>
        <v>692.18523159919607</v>
      </c>
      <c r="F4" s="447">
        <f>huishoudens!F8</f>
        <v>15163.428646179631</v>
      </c>
      <c r="G4" s="447">
        <f>huishoudens!G8</f>
        <v>0</v>
      </c>
      <c r="H4" s="447">
        <f>huishoudens!H8</f>
        <v>0</v>
      </c>
      <c r="I4" s="447">
        <f>huishoudens!I8</f>
        <v>0</v>
      </c>
      <c r="J4" s="447">
        <f>huishoudens!J8</f>
        <v>86.418038335756663</v>
      </c>
      <c r="K4" s="447">
        <f>huishoudens!K8</f>
        <v>0</v>
      </c>
      <c r="L4" s="447">
        <f>huishoudens!L8</f>
        <v>0</v>
      </c>
      <c r="M4" s="447">
        <f>huishoudens!M8</f>
        <v>0</v>
      </c>
      <c r="N4" s="447">
        <f>huishoudens!N8</f>
        <v>2821.9103099876452</v>
      </c>
      <c r="O4" s="447">
        <f>huishoudens!O8</f>
        <v>301.56164934682886</v>
      </c>
      <c r="P4" s="448">
        <f>huishoudens!P8</f>
        <v>252.81502338444056</v>
      </c>
      <c r="Q4" s="449">
        <f>SUM(B4:P4)</f>
        <v>40362.862615251644</v>
      </c>
    </row>
    <row r="5" spans="1:17">
      <c r="A5" s="446" t="s">
        <v>149</v>
      </c>
      <c r="B5" s="447">
        <f ca="1">tertiair!B16</f>
        <v>7846.251748861916</v>
      </c>
      <c r="C5" s="447">
        <f ca="1">tertiair!C16</f>
        <v>0</v>
      </c>
      <c r="D5" s="447">
        <f ca="1">tertiair!D16</f>
        <v>6571.046818989832</v>
      </c>
      <c r="E5" s="447">
        <f>tertiair!E16</f>
        <v>58.825369958221415</v>
      </c>
      <c r="F5" s="447">
        <f ca="1">tertiair!F16</f>
        <v>2977.1454447506171</v>
      </c>
      <c r="G5" s="447">
        <f>tertiair!G16</f>
        <v>0</v>
      </c>
      <c r="H5" s="447">
        <f>tertiair!H16</f>
        <v>0</v>
      </c>
      <c r="I5" s="447">
        <f>tertiair!I16</f>
        <v>0</v>
      </c>
      <c r="J5" s="447">
        <f>tertiair!J16</f>
        <v>2.7603023906447387E-2</v>
      </c>
      <c r="K5" s="447">
        <f>tertiair!K16</f>
        <v>0</v>
      </c>
      <c r="L5" s="447">
        <f ca="1">tertiair!L16</f>
        <v>0</v>
      </c>
      <c r="M5" s="447">
        <f>tertiair!M16</f>
        <v>0</v>
      </c>
      <c r="N5" s="447">
        <f ca="1">tertiair!N16</f>
        <v>1047.83620231695</v>
      </c>
      <c r="O5" s="447">
        <f>tertiair!O16</f>
        <v>34.280825360888088</v>
      </c>
      <c r="P5" s="448">
        <f>tertiair!P16</f>
        <v>52.539138306495019</v>
      </c>
      <c r="Q5" s="446">
        <f t="shared" ref="Q5:Q14" ca="1" si="0">SUM(B5:P5)</f>
        <v>18587.953151568829</v>
      </c>
    </row>
    <row r="6" spans="1:17">
      <c r="A6" s="446" t="s">
        <v>187</v>
      </c>
      <c r="B6" s="447">
        <f>'openbare verlichting'!B8</f>
        <v>260.83600000000001</v>
      </c>
      <c r="C6" s="447"/>
      <c r="D6" s="447"/>
      <c r="E6" s="447"/>
      <c r="F6" s="447"/>
      <c r="G6" s="447"/>
      <c r="H6" s="447"/>
      <c r="I6" s="447"/>
      <c r="J6" s="447"/>
      <c r="K6" s="447"/>
      <c r="L6" s="447"/>
      <c r="M6" s="447"/>
      <c r="N6" s="447"/>
      <c r="O6" s="447"/>
      <c r="P6" s="448"/>
      <c r="Q6" s="446">
        <f t="shared" si="0"/>
        <v>260.83600000000001</v>
      </c>
    </row>
    <row r="7" spans="1:17">
      <c r="A7" s="446" t="s">
        <v>105</v>
      </c>
      <c r="B7" s="447">
        <f>landbouw!B8</f>
        <v>5912.5922059183904</v>
      </c>
      <c r="C7" s="447">
        <f>landbouw!C8</f>
        <v>1279.2857142857142</v>
      </c>
      <c r="D7" s="447">
        <f>landbouw!D8</f>
        <v>0</v>
      </c>
      <c r="E7" s="447">
        <f>landbouw!E8</f>
        <v>169.34664671539679</v>
      </c>
      <c r="F7" s="447">
        <f>landbouw!F8</f>
        <v>18716.212698660609</v>
      </c>
      <c r="G7" s="447">
        <f>landbouw!G8</f>
        <v>0</v>
      </c>
      <c r="H7" s="447">
        <f>landbouw!H8</f>
        <v>0</v>
      </c>
      <c r="I7" s="447">
        <f>landbouw!I8</f>
        <v>0</v>
      </c>
      <c r="J7" s="447">
        <f>landbouw!J8</f>
        <v>1503.3865284268788</v>
      </c>
      <c r="K7" s="447">
        <f>landbouw!K8</f>
        <v>0</v>
      </c>
      <c r="L7" s="447">
        <f>landbouw!L8</f>
        <v>0</v>
      </c>
      <c r="M7" s="447">
        <f>landbouw!M8</f>
        <v>0</v>
      </c>
      <c r="N7" s="447">
        <f>landbouw!N8</f>
        <v>0</v>
      </c>
      <c r="O7" s="447">
        <f>landbouw!O8</f>
        <v>0</v>
      </c>
      <c r="P7" s="448">
        <f>landbouw!P8</f>
        <v>0</v>
      </c>
      <c r="Q7" s="446">
        <f t="shared" si="0"/>
        <v>27580.823794006988</v>
      </c>
    </row>
    <row r="8" spans="1:17">
      <c r="A8" s="446" t="s">
        <v>611</v>
      </c>
      <c r="B8" s="447">
        <f>industrie!B18</f>
        <v>2585.027185471029</v>
      </c>
      <c r="C8" s="447">
        <f>industrie!C18</f>
        <v>0</v>
      </c>
      <c r="D8" s="447">
        <f>industrie!D18</f>
        <v>566.35117950111305</v>
      </c>
      <c r="E8" s="447">
        <f>industrie!E18</f>
        <v>43.309016609995503</v>
      </c>
      <c r="F8" s="447">
        <f>industrie!F18</f>
        <v>594.71829370094929</v>
      </c>
      <c r="G8" s="447">
        <f>industrie!G18</f>
        <v>0</v>
      </c>
      <c r="H8" s="447">
        <f>industrie!H18</f>
        <v>0</v>
      </c>
      <c r="I8" s="447">
        <f>industrie!I18</f>
        <v>0</v>
      </c>
      <c r="J8" s="447">
        <f>industrie!J18</f>
        <v>4.1535479526857131</v>
      </c>
      <c r="K8" s="447">
        <f>industrie!K18</f>
        <v>0</v>
      </c>
      <c r="L8" s="447">
        <f>industrie!L18</f>
        <v>0</v>
      </c>
      <c r="M8" s="447">
        <f>industrie!M18</f>
        <v>0</v>
      </c>
      <c r="N8" s="447">
        <f>industrie!N18</f>
        <v>76.539896341735812</v>
      </c>
      <c r="O8" s="447">
        <f>industrie!O18</f>
        <v>0</v>
      </c>
      <c r="P8" s="448">
        <f>industrie!P18</f>
        <v>0</v>
      </c>
      <c r="Q8" s="446">
        <f t="shared" si="0"/>
        <v>3870.0991195775086</v>
      </c>
    </row>
    <row r="9" spans="1:17" s="452" customFormat="1">
      <c r="A9" s="450" t="s">
        <v>537</v>
      </c>
      <c r="B9" s="451">
        <f>transport!B14</f>
        <v>87.078843690917637</v>
      </c>
      <c r="C9" s="451">
        <f>transport!C14</f>
        <v>0</v>
      </c>
      <c r="D9" s="451">
        <f>transport!D14</f>
        <v>158.36187113708786</v>
      </c>
      <c r="E9" s="451">
        <f>transport!E14</f>
        <v>61.927780842345008</v>
      </c>
      <c r="F9" s="451">
        <f>transport!F14</f>
        <v>0</v>
      </c>
      <c r="G9" s="451">
        <f>transport!G14</f>
        <v>31192.295840307703</v>
      </c>
      <c r="H9" s="451">
        <f>transport!H14</f>
        <v>7743.1750606912701</v>
      </c>
      <c r="I9" s="451">
        <f>transport!I14</f>
        <v>0</v>
      </c>
      <c r="J9" s="451">
        <f>transport!J14</f>
        <v>0</v>
      </c>
      <c r="K9" s="451">
        <f>transport!K14</f>
        <v>0</v>
      </c>
      <c r="L9" s="451">
        <f>transport!L14</f>
        <v>0</v>
      </c>
      <c r="M9" s="451">
        <f>transport!M14</f>
        <v>2339.9304365825124</v>
      </c>
      <c r="N9" s="451">
        <f>transport!N14</f>
        <v>0</v>
      </c>
      <c r="O9" s="451">
        <f>transport!O14</f>
        <v>0</v>
      </c>
      <c r="P9" s="451">
        <f>transport!P14</f>
        <v>0</v>
      </c>
      <c r="Q9" s="450">
        <f>SUM(B9:P9)</f>
        <v>41582.769833251841</v>
      </c>
    </row>
    <row r="10" spans="1:17">
      <c r="A10" s="446" t="s">
        <v>527</v>
      </c>
      <c r="B10" s="447">
        <f>transport!B54</f>
        <v>3.5297967081045392</v>
      </c>
      <c r="C10" s="447">
        <f>transport!C54</f>
        <v>0</v>
      </c>
      <c r="D10" s="447">
        <f>transport!D54</f>
        <v>0</v>
      </c>
      <c r="E10" s="447">
        <f>transport!E54</f>
        <v>0</v>
      </c>
      <c r="F10" s="447">
        <f>transport!F54</f>
        <v>0</v>
      </c>
      <c r="G10" s="447">
        <f>transport!G54</f>
        <v>220.97594525017303</v>
      </c>
      <c r="H10" s="447">
        <f>transport!H54</f>
        <v>0</v>
      </c>
      <c r="I10" s="447">
        <f>transport!I54</f>
        <v>0</v>
      </c>
      <c r="J10" s="447">
        <f>transport!J54</f>
        <v>0</v>
      </c>
      <c r="K10" s="447">
        <f>transport!K54</f>
        <v>0</v>
      </c>
      <c r="L10" s="447">
        <f>transport!L54</f>
        <v>0</v>
      </c>
      <c r="M10" s="447">
        <f>transport!M54</f>
        <v>12.687949484069362</v>
      </c>
      <c r="N10" s="447">
        <f>transport!N54</f>
        <v>0</v>
      </c>
      <c r="O10" s="447">
        <f>transport!O54</f>
        <v>0</v>
      </c>
      <c r="P10" s="448">
        <f>transport!P54</f>
        <v>0</v>
      </c>
      <c r="Q10" s="446">
        <f t="shared" si="0"/>
        <v>237.1936914423469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245.42812402904701</v>
      </c>
      <c r="C14" s="454"/>
      <c r="D14" s="454">
        <f>'SEAP template'!E25</f>
        <v>347.74255219678201</v>
      </c>
      <c r="E14" s="454"/>
      <c r="F14" s="454"/>
      <c r="G14" s="454"/>
      <c r="H14" s="454"/>
      <c r="I14" s="454"/>
      <c r="J14" s="454"/>
      <c r="K14" s="454"/>
      <c r="L14" s="454"/>
      <c r="M14" s="454"/>
      <c r="N14" s="454"/>
      <c r="O14" s="454"/>
      <c r="P14" s="455"/>
      <c r="Q14" s="446">
        <f t="shared" si="0"/>
        <v>593.17067622582908</v>
      </c>
    </row>
    <row r="15" spans="1:17" s="458" customFormat="1">
      <c r="A15" s="456" t="s">
        <v>531</v>
      </c>
      <c r="B15" s="457">
        <f ca="1">SUM(B4:B14)</f>
        <v>25414.36187795542</v>
      </c>
      <c r="C15" s="457">
        <f t="shared" ref="C15:Q15" ca="1" si="1">SUM(C4:C14)</f>
        <v>1279.2857142857142</v>
      </c>
      <c r="D15" s="457">
        <f t="shared" ca="1" si="1"/>
        <v>20214.428164966943</v>
      </c>
      <c r="E15" s="457">
        <f t="shared" si="1"/>
        <v>1025.5940457251547</v>
      </c>
      <c r="F15" s="457">
        <f t="shared" ca="1" si="1"/>
        <v>37451.505083291806</v>
      </c>
      <c r="G15" s="457">
        <f t="shared" si="1"/>
        <v>31413.271785557874</v>
      </c>
      <c r="H15" s="457">
        <f t="shared" si="1"/>
        <v>7743.1750606912701</v>
      </c>
      <c r="I15" s="457">
        <f t="shared" si="1"/>
        <v>0</v>
      </c>
      <c r="J15" s="457">
        <f t="shared" si="1"/>
        <v>1593.9857177392278</v>
      </c>
      <c r="K15" s="457">
        <f t="shared" si="1"/>
        <v>0</v>
      </c>
      <c r="L15" s="457">
        <f t="shared" ca="1" si="1"/>
        <v>0</v>
      </c>
      <c r="M15" s="457">
        <f t="shared" si="1"/>
        <v>2352.6183860665819</v>
      </c>
      <c r="N15" s="457">
        <f t="shared" ca="1" si="1"/>
        <v>3946.2864086463305</v>
      </c>
      <c r="O15" s="457">
        <f t="shared" si="1"/>
        <v>335.84247470771697</v>
      </c>
      <c r="P15" s="457">
        <f t="shared" si="1"/>
        <v>305.3541616909356</v>
      </c>
      <c r="Q15" s="457">
        <f t="shared" ca="1" si="1"/>
        <v>133075.708881325</v>
      </c>
    </row>
    <row r="17" spans="1:17">
      <c r="A17" s="459" t="s">
        <v>532</v>
      </c>
      <c r="B17" s="776">
        <f ca="1">huishoudens!B10</f>
        <v>0.18577607211043057</v>
      </c>
      <c r="C17" s="776">
        <f ca="1">huishoudens!C10</f>
        <v>0.23764705882352949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1574.1954636395653</v>
      </c>
      <c r="C22" s="447">
        <f t="shared" ref="C22:C32" ca="1" si="3">C4*$C$17</f>
        <v>0</v>
      </c>
      <c r="D22" s="447">
        <f t="shared" ref="D22:D32" si="4">D4*$D$17</f>
        <v>2539.3270001147098</v>
      </c>
      <c r="E22" s="447">
        <f t="shared" ref="E22:E32" si="5">E4*$E$17</f>
        <v>157.1260475730175</v>
      </c>
      <c r="F22" s="447">
        <f t="shared" ref="F22:F32" si="6">F4*$F$17</f>
        <v>4048.6354485299616</v>
      </c>
      <c r="G22" s="447">
        <f t="shared" ref="G22:G32" si="7">G4*$G$17</f>
        <v>0</v>
      </c>
      <c r="H22" s="447">
        <f t="shared" ref="H22:H32" si="8">H4*$H$17</f>
        <v>0</v>
      </c>
      <c r="I22" s="447">
        <f t="shared" ref="I22:I32" si="9">I4*$I$17</f>
        <v>0</v>
      </c>
      <c r="J22" s="447">
        <f t="shared" ref="J22:J32" si="10">J4*$J$17</f>
        <v>30.591985570857858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8349.8759454281117</v>
      </c>
    </row>
    <row r="23" spans="1:17">
      <c r="A23" s="446" t="s">
        <v>149</v>
      </c>
      <c r="B23" s="447">
        <f t="shared" ca="1" si="2"/>
        <v>1457.6458306931634</v>
      </c>
      <c r="C23" s="447">
        <f t="shared" ca="1" si="3"/>
        <v>0</v>
      </c>
      <c r="D23" s="447">
        <f t="shared" ca="1" si="4"/>
        <v>1327.3514574359463</v>
      </c>
      <c r="E23" s="447">
        <f t="shared" si="5"/>
        <v>13.353358980516262</v>
      </c>
      <c r="F23" s="447">
        <f t="shared" ca="1" si="6"/>
        <v>794.89783374841477</v>
      </c>
      <c r="G23" s="447">
        <f t="shared" si="7"/>
        <v>0</v>
      </c>
      <c r="H23" s="447">
        <f t="shared" si="8"/>
        <v>0</v>
      </c>
      <c r="I23" s="447">
        <f t="shared" si="9"/>
        <v>0</v>
      </c>
      <c r="J23" s="447">
        <f t="shared" si="10"/>
        <v>9.7714704628823739E-3</v>
      </c>
      <c r="K23" s="447">
        <f t="shared" si="11"/>
        <v>0</v>
      </c>
      <c r="L23" s="447">
        <f t="shared" ca="1" si="12"/>
        <v>0</v>
      </c>
      <c r="M23" s="447">
        <f t="shared" si="13"/>
        <v>0</v>
      </c>
      <c r="N23" s="447">
        <f t="shared" ca="1" si="14"/>
        <v>0</v>
      </c>
      <c r="O23" s="447">
        <f t="shared" si="15"/>
        <v>0</v>
      </c>
      <c r="P23" s="448">
        <f t="shared" si="16"/>
        <v>0</v>
      </c>
      <c r="Q23" s="446">
        <f t="shared" ref="Q23:Q31" ca="1" si="17">SUM(B23:P23)</f>
        <v>3593.2582523285032</v>
      </c>
    </row>
    <row r="24" spans="1:17">
      <c r="A24" s="446" t="s">
        <v>187</v>
      </c>
      <c r="B24" s="447">
        <f t="shared" ca="1" si="2"/>
        <v>48.45708754499627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48.45708754499627</v>
      </c>
    </row>
    <row r="25" spans="1:17">
      <c r="A25" s="446" t="s">
        <v>105</v>
      </c>
      <c r="B25" s="447">
        <f t="shared" ca="1" si="2"/>
        <v>1098.4181560062646</v>
      </c>
      <c r="C25" s="447">
        <f t="shared" ca="1" si="3"/>
        <v>304.01848739495807</v>
      </c>
      <c r="D25" s="447">
        <f t="shared" si="4"/>
        <v>0</v>
      </c>
      <c r="E25" s="447">
        <f t="shared" si="5"/>
        <v>38.441688804395071</v>
      </c>
      <c r="F25" s="447">
        <f t="shared" si="6"/>
        <v>4997.2287905423827</v>
      </c>
      <c r="G25" s="447">
        <f t="shared" si="7"/>
        <v>0</v>
      </c>
      <c r="H25" s="447">
        <f t="shared" si="8"/>
        <v>0</v>
      </c>
      <c r="I25" s="447">
        <f t="shared" si="9"/>
        <v>0</v>
      </c>
      <c r="J25" s="447">
        <f t="shared" si="10"/>
        <v>532.19883106311511</v>
      </c>
      <c r="K25" s="447">
        <f t="shared" si="11"/>
        <v>0</v>
      </c>
      <c r="L25" s="447">
        <f t="shared" si="12"/>
        <v>0</v>
      </c>
      <c r="M25" s="447">
        <f t="shared" si="13"/>
        <v>0</v>
      </c>
      <c r="N25" s="447">
        <f t="shared" si="14"/>
        <v>0</v>
      </c>
      <c r="O25" s="447">
        <f t="shared" si="15"/>
        <v>0</v>
      </c>
      <c r="P25" s="448">
        <f t="shared" si="16"/>
        <v>0</v>
      </c>
      <c r="Q25" s="446">
        <f t="shared" ca="1" si="17"/>
        <v>6970.3059538111156</v>
      </c>
    </row>
    <row r="26" spans="1:17">
      <c r="A26" s="446" t="s">
        <v>611</v>
      </c>
      <c r="B26" s="447">
        <f t="shared" ca="1" si="2"/>
        <v>480.23619681548928</v>
      </c>
      <c r="C26" s="447">
        <f t="shared" ca="1" si="3"/>
        <v>0</v>
      </c>
      <c r="D26" s="447">
        <f t="shared" si="4"/>
        <v>114.40293825922484</v>
      </c>
      <c r="E26" s="447">
        <f t="shared" si="5"/>
        <v>9.8311467704689797</v>
      </c>
      <c r="F26" s="447">
        <f t="shared" si="6"/>
        <v>158.78978441815346</v>
      </c>
      <c r="G26" s="447">
        <f t="shared" si="7"/>
        <v>0</v>
      </c>
      <c r="H26" s="447">
        <f t="shared" si="8"/>
        <v>0</v>
      </c>
      <c r="I26" s="447">
        <f t="shared" si="9"/>
        <v>0</v>
      </c>
      <c r="J26" s="447">
        <f t="shared" si="10"/>
        <v>1.4703559752507425</v>
      </c>
      <c r="K26" s="447">
        <f t="shared" si="11"/>
        <v>0</v>
      </c>
      <c r="L26" s="447">
        <f t="shared" si="12"/>
        <v>0</v>
      </c>
      <c r="M26" s="447">
        <f t="shared" si="13"/>
        <v>0</v>
      </c>
      <c r="N26" s="447">
        <f t="shared" si="14"/>
        <v>0</v>
      </c>
      <c r="O26" s="447">
        <f t="shared" si="15"/>
        <v>0</v>
      </c>
      <c r="P26" s="448">
        <f t="shared" si="16"/>
        <v>0</v>
      </c>
      <c r="Q26" s="446">
        <f t="shared" ca="1" si="17"/>
        <v>764.73042223858727</v>
      </c>
    </row>
    <row r="27" spans="1:17" s="452" customFormat="1">
      <c r="A27" s="450" t="s">
        <v>537</v>
      </c>
      <c r="B27" s="770">
        <f t="shared" ca="1" si="2"/>
        <v>16.177165544816827</v>
      </c>
      <c r="C27" s="451">
        <f t="shared" ca="1" si="3"/>
        <v>0</v>
      </c>
      <c r="D27" s="451">
        <f t="shared" si="4"/>
        <v>31.989097969691748</v>
      </c>
      <c r="E27" s="451">
        <f t="shared" si="5"/>
        <v>14.057606251212317</v>
      </c>
      <c r="F27" s="451">
        <f t="shared" si="6"/>
        <v>0</v>
      </c>
      <c r="G27" s="451">
        <f t="shared" si="7"/>
        <v>8328.3429893621578</v>
      </c>
      <c r="H27" s="451">
        <f t="shared" si="8"/>
        <v>1928.0505901121262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10318.617449240006</v>
      </c>
    </row>
    <row r="28" spans="1:17" ht="16.5" customHeight="1">
      <c r="A28" s="446" t="s">
        <v>527</v>
      </c>
      <c r="B28" s="447">
        <f t="shared" ca="1" si="2"/>
        <v>0.65575176777998934</v>
      </c>
      <c r="C28" s="447">
        <f t="shared" ca="1" si="3"/>
        <v>0</v>
      </c>
      <c r="D28" s="447">
        <f t="shared" si="4"/>
        <v>0</v>
      </c>
      <c r="E28" s="447">
        <f t="shared" si="5"/>
        <v>0</v>
      </c>
      <c r="F28" s="447">
        <f t="shared" si="6"/>
        <v>0</v>
      </c>
      <c r="G28" s="447">
        <f t="shared" si="7"/>
        <v>59.000577381796198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59.656329149576187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45.594672867547935</v>
      </c>
      <c r="C32" s="447">
        <f t="shared" ca="1" si="3"/>
        <v>0</v>
      </c>
      <c r="D32" s="447">
        <f t="shared" si="4"/>
        <v>70.243995543749975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115.8386684112979</v>
      </c>
    </row>
    <row r="33" spans="1:17" s="458" customFormat="1">
      <c r="A33" s="456" t="s">
        <v>531</v>
      </c>
      <c r="B33" s="457">
        <f ca="1">SUM(B22:B32)</f>
        <v>4721.380324879623</v>
      </c>
      <c r="C33" s="457">
        <f t="shared" ref="C33:Q33" ca="1" si="19">SUM(C22:C32)</f>
        <v>304.01848739495807</v>
      </c>
      <c r="D33" s="457">
        <f t="shared" ca="1" si="19"/>
        <v>4083.3144893233225</v>
      </c>
      <c r="E33" s="457">
        <f t="shared" si="19"/>
        <v>232.80984837961014</v>
      </c>
      <c r="F33" s="457">
        <f t="shared" ca="1" si="19"/>
        <v>9999.5518572389119</v>
      </c>
      <c r="G33" s="457">
        <f t="shared" si="19"/>
        <v>8387.3435667439535</v>
      </c>
      <c r="H33" s="457">
        <f t="shared" si="19"/>
        <v>1928.0505901121262</v>
      </c>
      <c r="I33" s="457">
        <f t="shared" si="19"/>
        <v>0</v>
      </c>
      <c r="J33" s="457">
        <f t="shared" si="19"/>
        <v>564.27094407968661</v>
      </c>
      <c r="K33" s="457">
        <f t="shared" si="19"/>
        <v>0</v>
      </c>
      <c r="L33" s="457">
        <f t="shared" ca="1" si="19"/>
        <v>0</v>
      </c>
      <c r="M33" s="457">
        <f t="shared" si="19"/>
        <v>0</v>
      </c>
      <c r="N33" s="457">
        <f t="shared" ca="1" si="19"/>
        <v>0</v>
      </c>
      <c r="O33" s="457">
        <f t="shared" si="19"/>
        <v>0</v>
      </c>
      <c r="P33" s="457">
        <f t="shared" si="19"/>
        <v>0</v>
      </c>
      <c r="Q33" s="457">
        <f t="shared" ca="1" si="19"/>
        <v>30220.740108152193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4118.1044856334574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895.5</v>
      </c>
      <c r="D8" s="1014">
        <f>'SEAP template'!D76</f>
        <v>1053.5294117647061</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212.81294117647064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4118.1044856334574</v>
      </c>
      <c r="C10" s="1016">
        <f>SUM(C4:C9)</f>
        <v>895.5</v>
      </c>
      <c r="D10" s="1016">
        <f t="shared" ref="D10:H10" si="0">SUM(D8:D9)</f>
        <v>1053.5294117647061</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212.81294117647064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0.18577607211043057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1279.2857142857142</v>
      </c>
      <c r="D17" s="1015">
        <f>'SEAP template'!D87</f>
        <v>1505.042016806723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304.01848739495807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1279.2857142857142</v>
      </c>
      <c r="D20" s="1016">
        <f t="shared" ref="D20:H20" si="2">SUM(D17:D19)</f>
        <v>1505.042016806723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304.01848739495807</v>
      </c>
    </row>
    <row r="21" spans="1:16">
      <c r="B21" s="881"/>
    </row>
    <row r="22" spans="1:16">
      <c r="A22" s="459" t="s">
        <v>749</v>
      </c>
      <c r="B22" s="776" t="s">
        <v>747</v>
      </c>
      <c r="C22" s="776">
        <f ca="1">'EF ele_warmte'!B22</f>
        <v>0.23764705882352949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0.18577607211043057</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0.18577607211043057</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0.18577607211043057</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2016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7024.93</v>
      </c>
      <c r="C14" s="326"/>
      <c r="D14" s="326"/>
      <c r="E14" s="326"/>
      <c r="F14" s="326"/>
    </row>
    <row r="15" spans="1:6">
      <c r="A15" s="1310" t="s">
        <v>177</v>
      </c>
      <c r="B15" s="1311">
        <v>85</v>
      </c>
      <c r="C15" s="326"/>
      <c r="D15" s="326"/>
      <c r="E15" s="326"/>
      <c r="F15" s="326"/>
    </row>
    <row r="16" spans="1:6">
      <c r="A16" s="1310" t="s">
        <v>6</v>
      </c>
      <c r="B16" s="1311">
        <v>2392</v>
      </c>
      <c r="C16" s="326"/>
      <c r="D16" s="326"/>
      <c r="E16" s="326"/>
      <c r="F16" s="326"/>
    </row>
    <row r="17" spans="1:6">
      <c r="A17" s="1310" t="s">
        <v>7</v>
      </c>
      <c r="B17" s="1311">
        <v>1822</v>
      </c>
      <c r="C17" s="326"/>
      <c r="D17" s="326"/>
      <c r="E17" s="326"/>
      <c r="F17" s="326"/>
    </row>
    <row r="18" spans="1:6">
      <c r="A18" s="1310" t="s">
        <v>8</v>
      </c>
      <c r="B18" s="1311">
        <v>2530</v>
      </c>
      <c r="C18" s="326"/>
      <c r="D18" s="326"/>
      <c r="E18" s="326"/>
      <c r="F18" s="326"/>
    </row>
    <row r="19" spans="1:6">
      <c r="A19" s="1310" t="s">
        <v>9</v>
      </c>
      <c r="B19" s="1311">
        <v>2317</v>
      </c>
      <c r="C19" s="326"/>
      <c r="D19" s="326"/>
      <c r="E19" s="326"/>
      <c r="F19" s="326"/>
    </row>
    <row r="20" spans="1:6">
      <c r="A20" s="1310" t="s">
        <v>10</v>
      </c>
      <c r="B20" s="1311">
        <v>1284</v>
      </c>
      <c r="C20" s="326"/>
      <c r="D20" s="326"/>
      <c r="E20" s="326"/>
      <c r="F20" s="326"/>
    </row>
    <row r="21" spans="1:6">
      <c r="A21" s="1310" t="s">
        <v>11</v>
      </c>
      <c r="B21" s="1311">
        <v>34985</v>
      </c>
      <c r="C21" s="326"/>
      <c r="D21" s="326"/>
      <c r="E21" s="326"/>
      <c r="F21" s="326"/>
    </row>
    <row r="22" spans="1:6">
      <c r="A22" s="1310" t="s">
        <v>12</v>
      </c>
      <c r="B22" s="1311">
        <v>77094</v>
      </c>
      <c r="C22" s="326"/>
      <c r="D22" s="326"/>
      <c r="E22" s="326"/>
      <c r="F22" s="326"/>
    </row>
    <row r="23" spans="1:6">
      <c r="A23" s="1310" t="s">
        <v>13</v>
      </c>
      <c r="B23" s="1311">
        <v>1395</v>
      </c>
      <c r="C23" s="326"/>
      <c r="D23" s="326"/>
      <c r="E23" s="326"/>
      <c r="F23" s="326"/>
    </row>
    <row r="24" spans="1:6">
      <c r="A24" s="1310" t="s">
        <v>14</v>
      </c>
      <c r="B24" s="1311">
        <v>52</v>
      </c>
      <c r="C24" s="326"/>
      <c r="D24" s="326"/>
      <c r="E24" s="326"/>
      <c r="F24" s="326"/>
    </row>
    <row r="25" spans="1:6">
      <c r="A25" s="1310" t="s">
        <v>15</v>
      </c>
      <c r="B25" s="1311">
        <v>8000</v>
      </c>
      <c r="C25" s="326"/>
      <c r="D25" s="326"/>
      <c r="E25" s="326"/>
      <c r="F25" s="326"/>
    </row>
    <row r="26" spans="1:6">
      <c r="A26" s="1310" t="s">
        <v>16</v>
      </c>
      <c r="B26" s="1311">
        <v>204</v>
      </c>
      <c r="C26" s="326"/>
      <c r="D26" s="326"/>
      <c r="E26" s="326"/>
      <c r="F26" s="326"/>
    </row>
    <row r="27" spans="1:6">
      <c r="A27" s="1310" t="s">
        <v>17</v>
      </c>
      <c r="B27" s="1311">
        <v>9</v>
      </c>
      <c r="C27" s="326"/>
      <c r="D27" s="326"/>
      <c r="E27" s="326"/>
      <c r="F27" s="326"/>
    </row>
    <row r="28" spans="1:6">
      <c r="A28" s="1310" t="s">
        <v>18</v>
      </c>
      <c r="B28" s="1312">
        <v>603638</v>
      </c>
      <c r="C28" s="326"/>
      <c r="D28" s="326"/>
      <c r="E28" s="326"/>
      <c r="F28" s="326"/>
    </row>
    <row r="29" spans="1:6">
      <c r="A29" s="1310" t="s">
        <v>678</v>
      </c>
      <c r="B29" s="1312">
        <v>166</v>
      </c>
      <c r="C29" s="326"/>
      <c r="D29" s="326"/>
      <c r="E29" s="326"/>
      <c r="F29" s="326"/>
    </row>
    <row r="30" spans="1:6">
      <c r="A30" s="1305" t="s">
        <v>679</v>
      </c>
      <c r="B30" s="1313">
        <v>38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256922.82878431</v>
      </c>
    </row>
    <row r="39" spans="1:6">
      <c r="A39" s="1310" t="s">
        <v>29</v>
      </c>
      <c r="B39" s="1310" t="s">
        <v>30</v>
      </c>
      <c r="C39" s="1311">
        <v>949</v>
      </c>
      <c r="D39" s="1311">
        <v>13921290.9669348</v>
      </c>
      <c r="E39" s="1311">
        <v>1797</v>
      </c>
      <c r="F39" s="1311">
        <v>6153250.33929912</v>
      </c>
    </row>
    <row r="40" spans="1:6">
      <c r="A40" s="1310" t="s">
        <v>29</v>
      </c>
      <c r="B40" s="1310" t="s">
        <v>28</v>
      </c>
      <c r="C40" s="1311">
        <v>0</v>
      </c>
      <c r="D40" s="1311">
        <v>0</v>
      </c>
      <c r="E40" s="1311">
        <v>0</v>
      </c>
      <c r="F40" s="1311">
        <v>0</v>
      </c>
    </row>
    <row r="41" spans="1:6">
      <c r="A41" s="1310" t="s">
        <v>31</v>
      </c>
      <c r="B41" s="1310" t="s">
        <v>32</v>
      </c>
      <c r="C41" s="1311">
        <v>19</v>
      </c>
      <c r="D41" s="1311">
        <v>421767.60893002601</v>
      </c>
      <c r="E41" s="1311">
        <v>66</v>
      </c>
      <c r="F41" s="1311">
        <v>657888.42745053896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16</v>
      </c>
      <c r="F44" s="1311">
        <v>1206766.4296780301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205420.85120409689</v>
      </c>
      <c r="E48" s="1311">
        <v>4</v>
      </c>
      <c r="F48" s="1311">
        <v>582935.56803459872</v>
      </c>
    </row>
    <row r="49" spans="1:6">
      <c r="A49" s="1310" t="s">
        <v>31</v>
      </c>
      <c r="B49" s="1310" t="s">
        <v>39</v>
      </c>
      <c r="C49" s="1311">
        <v>0</v>
      </c>
      <c r="D49" s="1311">
        <v>0</v>
      </c>
      <c r="E49" s="1311">
        <v>0</v>
      </c>
      <c r="F49" s="1311">
        <v>0</v>
      </c>
    </row>
    <row r="50" spans="1:6">
      <c r="A50" s="1310" t="s">
        <v>31</v>
      </c>
      <c r="B50" s="1310" t="s">
        <v>40</v>
      </c>
      <c r="C50" s="1311">
        <v>0</v>
      </c>
      <c r="D50" s="1311">
        <v>0</v>
      </c>
      <c r="E50" s="1311">
        <v>7</v>
      </c>
      <c r="F50" s="1311">
        <v>137436.760307861</v>
      </c>
    </row>
    <row r="51" spans="1:6">
      <c r="A51" s="1310" t="s">
        <v>41</v>
      </c>
      <c r="B51" s="1310" t="s">
        <v>42</v>
      </c>
      <c r="C51" s="1311">
        <v>20</v>
      </c>
      <c r="D51" s="1311">
        <v>568654.347963996</v>
      </c>
      <c r="E51" s="1311">
        <v>219</v>
      </c>
      <c r="F51" s="1311">
        <v>5912592.2059183903</v>
      </c>
    </row>
    <row r="52" spans="1:6">
      <c r="A52" s="1310" t="s">
        <v>41</v>
      </c>
      <c r="B52" s="1310" t="s">
        <v>28</v>
      </c>
      <c r="C52" s="1311">
        <v>0</v>
      </c>
      <c r="D52" s="1311">
        <v>0</v>
      </c>
      <c r="E52" s="1311">
        <v>0</v>
      </c>
      <c r="F52" s="1311">
        <v>0</v>
      </c>
    </row>
    <row r="53" spans="1:6">
      <c r="A53" s="1310" t="s">
        <v>43</v>
      </c>
      <c r="B53" s="1310" t="s">
        <v>44</v>
      </c>
      <c r="C53" s="1311">
        <v>31</v>
      </c>
      <c r="D53" s="1311">
        <v>347742.55219678202</v>
      </c>
      <c r="E53" s="1311">
        <v>97</v>
      </c>
      <c r="F53" s="1311">
        <v>245428.124029047</v>
      </c>
    </row>
    <row r="54" spans="1:6">
      <c r="A54" s="1310" t="s">
        <v>45</v>
      </c>
      <c r="B54" s="1310" t="s">
        <v>46</v>
      </c>
      <c r="C54" s="1311">
        <v>0</v>
      </c>
      <c r="D54" s="1311">
        <v>0</v>
      </c>
      <c r="E54" s="1311">
        <v>1</v>
      </c>
      <c r="F54" s="1311">
        <v>260836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v>
      </c>
      <c r="D57" s="1311">
        <v>374034.49408593099</v>
      </c>
      <c r="E57" s="1311">
        <v>80</v>
      </c>
      <c r="F57" s="1311">
        <v>2729143.1849685898</v>
      </c>
    </row>
    <row r="58" spans="1:6">
      <c r="A58" s="1310" t="s">
        <v>48</v>
      </c>
      <c r="B58" s="1310" t="s">
        <v>50</v>
      </c>
      <c r="C58" s="1311">
        <v>11</v>
      </c>
      <c r="D58" s="1311">
        <v>287684.87433077401</v>
      </c>
      <c r="E58" s="1311">
        <v>15</v>
      </c>
      <c r="F58" s="1311">
        <v>152532.35749636099</v>
      </c>
    </row>
    <row r="59" spans="1:6">
      <c r="A59" s="1310" t="s">
        <v>48</v>
      </c>
      <c r="B59" s="1310" t="s">
        <v>51</v>
      </c>
      <c r="C59" s="1311">
        <v>25</v>
      </c>
      <c r="D59" s="1311">
        <v>2744148.29246959</v>
      </c>
      <c r="E59" s="1311">
        <v>70</v>
      </c>
      <c r="F59" s="1311">
        <v>2899578.4390067202</v>
      </c>
    </row>
    <row r="60" spans="1:6">
      <c r="A60" s="1310" t="s">
        <v>48</v>
      </c>
      <c r="B60" s="1310" t="s">
        <v>52</v>
      </c>
      <c r="C60" s="1311">
        <v>29</v>
      </c>
      <c r="D60" s="1311">
        <v>1043901.60545789</v>
      </c>
      <c r="E60" s="1311">
        <v>50</v>
      </c>
      <c r="F60" s="1311">
        <v>902758.13183823205</v>
      </c>
    </row>
    <row r="61" spans="1:6">
      <c r="A61" s="1310" t="s">
        <v>48</v>
      </c>
      <c r="B61" s="1310" t="s">
        <v>53</v>
      </c>
      <c r="C61" s="1311">
        <v>44</v>
      </c>
      <c r="D61" s="1311">
        <v>2579623.2994643901</v>
      </c>
      <c r="E61" s="1311">
        <v>110</v>
      </c>
      <c r="F61" s="1311">
        <v>1113300.32212302</v>
      </c>
    </row>
    <row r="62" spans="1:6">
      <c r="A62" s="1310" t="s">
        <v>48</v>
      </c>
      <c r="B62" s="1310" t="s">
        <v>54</v>
      </c>
      <c r="C62" s="1311">
        <v>4</v>
      </c>
      <c r="D62" s="1311">
        <v>247514.210481382</v>
      </c>
      <c r="E62" s="1311">
        <v>6</v>
      </c>
      <c r="F62" s="1311">
        <v>48939.313428993002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38539.846458941603</v>
      </c>
    </row>
    <row r="67" spans="1:6">
      <c r="A67" s="1310" t="s">
        <v>55</v>
      </c>
      <c r="B67" s="1310" t="s">
        <v>58</v>
      </c>
      <c r="C67" s="1311">
        <v>0</v>
      </c>
      <c r="D67" s="1311">
        <v>0</v>
      </c>
      <c r="E67" s="1311">
        <v>0</v>
      </c>
      <c r="F67" s="1311">
        <v>0</v>
      </c>
    </row>
    <row r="68" spans="1:6">
      <c r="A68" s="1305" t="s">
        <v>55</v>
      </c>
      <c r="B68" s="1305" t="s">
        <v>59</v>
      </c>
      <c r="C68" s="1313">
        <v>0</v>
      </c>
      <c r="D68" s="1313">
        <v>0</v>
      </c>
      <c r="E68" s="1313">
        <v>4</v>
      </c>
      <c r="F68" s="1313">
        <v>52226.070035663601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33119197</v>
      </c>
      <c r="E73" s="445"/>
      <c r="F73" s="326"/>
    </row>
    <row r="74" spans="1:6">
      <c r="A74" s="1310" t="s">
        <v>63</v>
      </c>
      <c r="B74" s="1310" t="s">
        <v>632</v>
      </c>
      <c r="C74" s="1323" t="s">
        <v>634</v>
      </c>
      <c r="D74" s="1311">
        <v>4194602.8016225779</v>
      </c>
      <c r="E74" s="445"/>
      <c r="F74" s="326"/>
    </row>
    <row r="75" spans="1:6">
      <c r="A75" s="1310" t="s">
        <v>64</v>
      </c>
      <c r="B75" s="1310" t="s">
        <v>631</v>
      </c>
      <c r="C75" s="1323" t="s">
        <v>635</v>
      </c>
      <c r="D75" s="1311">
        <v>9153848</v>
      </c>
      <c r="E75" s="445"/>
      <c r="F75" s="326"/>
    </row>
    <row r="76" spans="1:6">
      <c r="A76" s="1310" t="s">
        <v>64</v>
      </c>
      <c r="B76" s="1310" t="s">
        <v>632</v>
      </c>
      <c r="C76" s="1323" t="s">
        <v>636</v>
      </c>
      <c r="D76" s="1311">
        <v>530687.80162257759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65838.396754844798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2320.3676339768945</v>
      </c>
      <c r="C91" s="326"/>
      <c r="D91" s="326"/>
      <c r="E91" s="326"/>
      <c r="F91" s="326"/>
    </row>
    <row r="92" spans="1:6">
      <c r="A92" s="1305" t="s">
        <v>68</v>
      </c>
      <c r="B92" s="1306">
        <v>1797.7368516565632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457</v>
      </c>
      <c r="C97" s="326"/>
      <c r="D97" s="326"/>
      <c r="E97" s="326"/>
      <c r="F97" s="326"/>
    </row>
    <row r="98" spans="1:6">
      <c r="A98" s="1310" t="s">
        <v>71</v>
      </c>
      <c r="B98" s="1311">
        <v>0</v>
      </c>
      <c r="C98" s="326"/>
      <c r="D98" s="326"/>
      <c r="E98" s="326"/>
      <c r="F98" s="326"/>
    </row>
    <row r="99" spans="1:6">
      <c r="A99" s="1310" t="s">
        <v>72</v>
      </c>
      <c r="B99" s="1311">
        <v>147</v>
      </c>
      <c r="C99" s="326"/>
      <c r="D99" s="326"/>
      <c r="E99" s="326"/>
      <c r="F99" s="326"/>
    </row>
    <row r="100" spans="1:6">
      <c r="A100" s="1310" t="s">
        <v>73</v>
      </c>
      <c r="B100" s="1311">
        <v>105</v>
      </c>
      <c r="C100" s="326"/>
      <c r="D100" s="326"/>
      <c r="E100" s="326"/>
      <c r="F100" s="326"/>
    </row>
    <row r="101" spans="1:6">
      <c r="A101" s="1310" t="s">
        <v>74</v>
      </c>
      <c r="B101" s="1311">
        <v>83</v>
      </c>
      <c r="C101" s="326"/>
      <c r="D101" s="326"/>
      <c r="E101" s="326"/>
      <c r="F101" s="326"/>
    </row>
    <row r="102" spans="1:6">
      <c r="A102" s="1310" t="s">
        <v>75</v>
      </c>
      <c r="B102" s="1311">
        <v>39</v>
      </c>
      <c r="C102" s="326"/>
      <c r="D102" s="326"/>
      <c r="E102" s="326"/>
      <c r="F102" s="326"/>
    </row>
    <row r="103" spans="1:6">
      <c r="A103" s="1310" t="s">
        <v>76</v>
      </c>
      <c r="B103" s="1311">
        <v>130</v>
      </c>
      <c r="C103" s="326"/>
      <c r="D103" s="326"/>
      <c r="E103" s="326"/>
      <c r="F103" s="326"/>
    </row>
    <row r="104" spans="1:6">
      <c r="A104" s="1310" t="s">
        <v>77</v>
      </c>
      <c r="B104" s="1311">
        <v>848</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9</v>
      </c>
      <c r="C123" s="1311">
        <v>19</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133</v>
      </c>
      <c r="C129" s="326"/>
      <c r="D129" s="326"/>
      <c r="E129" s="326"/>
      <c r="F129" s="326"/>
    </row>
    <row r="130" spans="1:6">
      <c r="A130" s="1310" t="s">
        <v>284</v>
      </c>
      <c r="B130" s="1311">
        <v>7</v>
      </c>
      <c r="C130" s="326"/>
      <c r="D130" s="326"/>
      <c r="E130" s="326"/>
      <c r="F130" s="326"/>
    </row>
    <row r="131" spans="1:6">
      <c r="A131" s="1310" t="s">
        <v>285</v>
      </c>
      <c r="B131" s="1311">
        <v>1</v>
      </c>
      <c r="C131" s="326"/>
      <c r="D131" s="326"/>
      <c r="E131" s="326"/>
      <c r="F131" s="326"/>
    </row>
    <row r="132" spans="1:6">
      <c r="A132" s="1305" t="s">
        <v>286</v>
      </c>
      <c r="B132" s="1306">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25414.36187795542</v>
      </c>
      <c r="C3" s="43" t="s">
        <v>163</v>
      </c>
      <c r="D3" s="43"/>
      <c r="E3" s="154"/>
      <c r="F3" s="43"/>
      <c r="G3" s="43"/>
      <c r="H3" s="43"/>
      <c r="I3" s="43"/>
      <c r="J3" s="43"/>
      <c r="K3" s="96"/>
    </row>
    <row r="4" spans="1:11">
      <c r="A4" s="352" t="s">
        <v>164</v>
      </c>
      <c r="B4" s="49">
        <f>IF(ISERROR('SEAP template'!B78+'SEAP template'!C78),0,'SEAP template'!B78+'SEAP template'!C78)</f>
        <v>5013.6044856334574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212.81294117647064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0.18577607211043057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304.01848739495807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1279.2857142857142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260.83600000000001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260.83600000000001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0.18577607211043057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48.45708754499627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6153.2503392991202</v>
      </c>
      <c r="C5" s="17">
        <f>IF(ISERROR('Eigen informatie GS &amp; warmtenet'!B59),0,'Eigen informatie GS &amp; warmtenet'!B59)</f>
        <v>0</v>
      </c>
      <c r="D5" s="30">
        <f>(SUM(HH_hh_gas_kWh,HH_rest_gas_kWh)/1000)*0.903</f>
        <v>12570.925743142127</v>
      </c>
      <c r="E5" s="17">
        <f>B32*B41</f>
        <v>692.18523159919607</v>
      </c>
      <c r="F5" s="17">
        <f>B36*B45</f>
        <v>15163.428646179631</v>
      </c>
      <c r="G5" s="18"/>
      <c r="H5" s="17"/>
      <c r="I5" s="17"/>
      <c r="J5" s="17">
        <f>B35*B44+C35*C44</f>
        <v>86.418038335756663</v>
      </c>
      <c r="K5" s="17"/>
      <c r="L5" s="17"/>
      <c r="M5" s="17"/>
      <c r="N5" s="17">
        <f>B34*B43+C34*C43</f>
        <v>2821.9103099876452</v>
      </c>
      <c r="O5" s="17">
        <f>B52*B53*B54</f>
        <v>301.56164934682886</v>
      </c>
      <c r="P5" s="17">
        <f>B60*B61*B62/1000-B60*B61*B62/1000/B63</f>
        <v>252.81502338444056</v>
      </c>
    </row>
    <row r="6" spans="1:16">
      <c r="A6" s="16" t="s">
        <v>597</v>
      </c>
      <c r="B6" s="778">
        <f>kWh_PV_kleiner_dan_10kW</f>
        <v>2320.3676339768945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8473.6179732760138</v>
      </c>
      <c r="C8" s="21">
        <f>C5</f>
        <v>0</v>
      </c>
      <c r="D8" s="21">
        <f>D5</f>
        <v>12570.925743142127</v>
      </c>
      <c r="E8" s="21">
        <f>E5</f>
        <v>692.18523159919607</v>
      </c>
      <c r="F8" s="21">
        <f>F5</f>
        <v>15163.428646179631</v>
      </c>
      <c r="G8" s="21"/>
      <c r="H8" s="21"/>
      <c r="I8" s="21"/>
      <c r="J8" s="21">
        <f>J5</f>
        <v>86.418038335756663</v>
      </c>
      <c r="K8" s="21"/>
      <c r="L8" s="21">
        <f>L5</f>
        <v>0</v>
      </c>
      <c r="M8" s="21">
        <f>M5</f>
        <v>0</v>
      </c>
      <c r="N8" s="21">
        <f>N5</f>
        <v>2821.9103099876452</v>
      </c>
      <c r="O8" s="21">
        <f>O5</f>
        <v>301.56164934682886</v>
      </c>
      <c r="P8" s="21">
        <f>P5</f>
        <v>252.81502338444056</v>
      </c>
    </row>
    <row r="9" spans="1:16">
      <c r="B9" s="19"/>
      <c r="C9" s="19"/>
      <c r="D9" s="254"/>
      <c r="E9" s="19"/>
      <c r="F9" s="19"/>
      <c r="G9" s="19"/>
      <c r="H9" s="19"/>
      <c r="I9" s="19"/>
      <c r="J9" s="19"/>
      <c r="K9" s="19"/>
      <c r="L9" s="19"/>
      <c r="M9" s="19"/>
      <c r="N9" s="19"/>
      <c r="O9" s="19"/>
      <c r="P9" s="19"/>
    </row>
    <row r="10" spans="1:16">
      <c r="A10" s="24" t="s">
        <v>207</v>
      </c>
      <c r="B10" s="25">
        <f ca="1">'EF ele_warmte'!B12</f>
        <v>0.18577607211043057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1574.1954636395653</v>
      </c>
      <c r="C12" s="23">
        <f ca="1">C10*C8</f>
        <v>0</v>
      </c>
      <c r="D12" s="23">
        <f>D8*D10</f>
        <v>2539.3270001147098</v>
      </c>
      <c r="E12" s="23">
        <f>E10*E8</f>
        <v>157.1260475730175</v>
      </c>
      <c r="F12" s="23">
        <f>F10*F8</f>
        <v>4048.6354485299616</v>
      </c>
      <c r="G12" s="23"/>
      <c r="H12" s="23"/>
      <c r="I12" s="23"/>
      <c r="J12" s="23">
        <f>J10*J8</f>
        <v>30.591985570857858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2016</v>
      </c>
      <c r="C26" s="36"/>
      <c r="D26" s="225"/>
    </row>
    <row r="27" spans="1:5" s="15" customFormat="1">
      <c r="A27" s="227" t="s">
        <v>860</v>
      </c>
      <c r="B27" s="37">
        <f>SUM(HH_hh_gas_aantal,HH_rest_gas_aantal)</f>
        <v>949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901.55</v>
      </c>
      <c r="C31" s="34" t="s">
        <v>104</v>
      </c>
      <c r="D31" s="171"/>
    </row>
    <row r="32" spans="1:5">
      <c r="A32" s="168" t="s">
        <v>72</v>
      </c>
      <c r="B32" s="33">
        <f>IF((B21*($B$26-($B$27-0.05*$B$27)-$B$60))&lt;0,0,(B21*($B$26-($B$27-0.05*$B$27)-$B$60)))</f>
        <v>17.311110415801092</v>
      </c>
      <c r="C32" s="34" t="s">
        <v>104</v>
      </c>
      <c r="D32" s="171"/>
    </row>
    <row r="33" spans="1:6">
      <c r="A33" s="168" t="s">
        <v>73</v>
      </c>
      <c r="B33" s="33">
        <f>IF((B22*($B$26-($B$27-0.05*$B$27)-$B$60))&lt;0,0,B22*($B$26-($B$27-0.05*$B$27)-$B$60))</f>
        <v>281.09814812212255</v>
      </c>
      <c r="C33" s="34" t="s">
        <v>104</v>
      </c>
      <c r="D33" s="171"/>
    </row>
    <row r="34" spans="1:6">
      <c r="A34" s="168" t="s">
        <v>74</v>
      </c>
      <c r="B34" s="33">
        <f>IF((B24*($B$26-($B$27-0.05*$B$27)-$B$60))&lt;0,0,B24*($B$26-($B$27-0.05*$B$27)-$B$60))</f>
        <v>53.890276780885571</v>
      </c>
      <c r="C34" s="33">
        <f>B26*C24</f>
        <v>413.09037464999307</v>
      </c>
      <c r="D34" s="230"/>
    </row>
    <row r="35" spans="1:6">
      <c r="A35" s="168" t="s">
        <v>76</v>
      </c>
      <c r="B35" s="33">
        <f>IF((B19*($B$26-($B$27-0.05*$B$27)-$B$60))&lt;0,0,B19*($B$26-($B$27-0.05*$B$27)-$B$60))</f>
        <v>7.5250984269318639</v>
      </c>
      <c r="C35" s="33">
        <f>B35/2</f>
        <v>3.762549213465932</v>
      </c>
      <c r="D35" s="230"/>
    </row>
    <row r="36" spans="1:6">
      <c r="A36" s="168" t="s">
        <v>77</v>
      </c>
      <c r="B36" s="33">
        <f>IF((B18*($B$26-($B$27-0.05*$B$27)-$B$60))&lt;0,0,B18*($B$26-($B$27-0.05*$B$27)-$B$60))</f>
        <v>730.62536625425878</v>
      </c>
      <c r="C36" s="34" t="s">
        <v>104</v>
      </c>
      <c r="D36" s="171"/>
    </row>
    <row r="37" spans="1:6">
      <c r="A37" s="168" t="s">
        <v>78</v>
      </c>
      <c r="B37" s="33">
        <f>B60</f>
        <v>24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7846.251748861916</v>
      </c>
      <c r="C5" s="17">
        <f>IF(ISERROR('Eigen informatie GS &amp; warmtenet'!B60),0,'Eigen informatie GS &amp; warmtenet'!B60)</f>
        <v>0</v>
      </c>
      <c r="D5" s="30">
        <f>SUM(D6:D12)</f>
        <v>6571.046818989832</v>
      </c>
      <c r="E5" s="17">
        <f>SUM(E6:E12)</f>
        <v>58.825369958221415</v>
      </c>
      <c r="F5" s="17">
        <f>SUM(F6:F12)</f>
        <v>2977.1454447506171</v>
      </c>
      <c r="G5" s="18"/>
      <c r="H5" s="17"/>
      <c r="I5" s="17"/>
      <c r="J5" s="17">
        <f>SUM(J6:J12)</f>
        <v>2.7603023906447387E-2</v>
      </c>
      <c r="K5" s="17"/>
      <c r="L5" s="17"/>
      <c r="M5" s="17"/>
      <c r="N5" s="17">
        <f>SUM(N6:N12)</f>
        <v>1047.83620231695</v>
      </c>
      <c r="O5" s="17">
        <f>B38*B39*B40</f>
        <v>34.280825360888088</v>
      </c>
      <c r="P5" s="17">
        <f>B46*B47*B48/1000-B46*B47*B48/1000/B49</f>
        <v>52.539138306495019</v>
      </c>
      <c r="R5" s="32"/>
    </row>
    <row r="6" spans="1:18">
      <c r="A6" s="32" t="s">
        <v>53</v>
      </c>
      <c r="B6" s="37">
        <f>B26</f>
        <v>1113.3003221230199</v>
      </c>
      <c r="C6" s="33"/>
      <c r="D6" s="37">
        <f>IF(ISERROR(TER_kantoor_gas_kWh/1000),0,TER_kantoor_gas_kWh/1000)*0.903</f>
        <v>2329.3998394163445</v>
      </c>
      <c r="E6" s="33">
        <f>$C$26*'E Balans VL '!I12/100/3.6*1000000</f>
        <v>0.26526665259372006</v>
      </c>
      <c r="F6" s="33">
        <f>$C$26*('E Balans VL '!L12+'E Balans VL '!N12)/100/3.6*1000000</f>
        <v>96.701039032165383</v>
      </c>
      <c r="G6" s="34"/>
      <c r="H6" s="33"/>
      <c r="I6" s="33"/>
      <c r="J6" s="33">
        <f>$C$26*('E Balans VL '!D12+'E Balans VL '!E12)/100/3.6*1000000</f>
        <v>0</v>
      </c>
      <c r="K6" s="33"/>
      <c r="L6" s="33"/>
      <c r="M6" s="33"/>
      <c r="N6" s="33">
        <f>$C$26*'E Balans VL '!Y12/100/3.6*1000000</f>
        <v>1.4880816314540848</v>
      </c>
      <c r="O6" s="33"/>
      <c r="P6" s="33"/>
      <c r="R6" s="32"/>
    </row>
    <row r="7" spans="1:18">
      <c r="A7" s="32" t="s">
        <v>52</v>
      </c>
      <c r="B7" s="37">
        <f t="shared" ref="B7:B12" si="0">B27</f>
        <v>902.75813183823209</v>
      </c>
      <c r="C7" s="33"/>
      <c r="D7" s="37">
        <f>IF(ISERROR(TER_horeca_gas_kWh/1000),0,TER_horeca_gas_kWh/1000)*0.903</f>
        <v>942.64314972847455</v>
      </c>
      <c r="E7" s="33">
        <f>$C$27*'E Balans VL '!I9/100/3.6*1000000</f>
        <v>0</v>
      </c>
      <c r="F7" s="33">
        <f>$C$27*('E Balans VL '!L9+'E Balans VL '!N9)/100/3.6*1000000</f>
        <v>73.558450156401165</v>
      </c>
      <c r="G7" s="34"/>
      <c r="H7" s="33"/>
      <c r="I7" s="33"/>
      <c r="J7" s="33">
        <f>$C$27*('E Balans VL '!D9+'E Balans VL '!E9)/100/3.6*1000000</f>
        <v>0</v>
      </c>
      <c r="K7" s="33"/>
      <c r="L7" s="33"/>
      <c r="M7" s="33"/>
      <c r="N7" s="33">
        <f>$C$27*'E Balans VL '!Y9/100/3.6*1000000</f>
        <v>0.25004719555438698</v>
      </c>
      <c r="O7" s="33"/>
      <c r="P7" s="33"/>
      <c r="R7" s="32"/>
    </row>
    <row r="8" spans="1:18">
      <c r="A8" s="6" t="s">
        <v>51</v>
      </c>
      <c r="B8" s="37">
        <f t="shared" si="0"/>
        <v>2899.5784390067201</v>
      </c>
      <c r="C8" s="33"/>
      <c r="D8" s="37">
        <f>IF(ISERROR(TER_handel_gas_kWh/1000),0,TER_handel_gas_kWh/1000)*0.903</f>
        <v>2477.96590810004</v>
      </c>
      <c r="E8" s="33">
        <f>$C$28*'E Balans VL '!I13/100/3.6*1000000</f>
        <v>23.178112539886506</v>
      </c>
      <c r="F8" s="33">
        <f>$C$28*('E Balans VL '!L13+'E Balans VL '!N13)/100/3.6*1000000</f>
        <v>288.05509308408529</v>
      </c>
      <c r="G8" s="34"/>
      <c r="H8" s="33"/>
      <c r="I8" s="33"/>
      <c r="J8" s="33">
        <f>$C$28*('E Balans VL '!D13+'E Balans VL '!E13)/100/3.6*1000000</f>
        <v>0</v>
      </c>
      <c r="K8" s="33"/>
      <c r="L8" s="33"/>
      <c r="M8" s="33"/>
      <c r="N8" s="33">
        <f>$C$28*'E Balans VL '!Y13/100/3.6*1000000</f>
        <v>1.0831651413661862</v>
      </c>
      <c r="O8" s="33"/>
      <c r="P8" s="33"/>
      <c r="R8" s="32"/>
    </row>
    <row r="9" spans="1:18">
      <c r="A9" s="32" t="s">
        <v>50</v>
      </c>
      <c r="B9" s="37">
        <f t="shared" si="0"/>
        <v>152.53235749636099</v>
      </c>
      <c r="C9" s="33"/>
      <c r="D9" s="37">
        <f>IF(ISERROR(TER_gezond_gas_kWh/1000),0,TER_gezond_gas_kWh/1000)*0.903</f>
        <v>259.77944152068892</v>
      </c>
      <c r="E9" s="33">
        <f>$C$29*'E Balans VL '!I10/100/3.6*1000000</f>
        <v>0</v>
      </c>
      <c r="F9" s="33">
        <f>$C$29*('E Balans VL '!L10+'E Balans VL '!N10)/100/3.6*1000000</f>
        <v>13.905810006820936</v>
      </c>
      <c r="G9" s="34"/>
      <c r="H9" s="33"/>
      <c r="I9" s="33"/>
      <c r="J9" s="33">
        <f>$C$29*('E Balans VL '!D10+'E Balans VL '!E10)/100/3.6*1000000</f>
        <v>0</v>
      </c>
      <c r="K9" s="33"/>
      <c r="L9" s="33"/>
      <c r="M9" s="33"/>
      <c r="N9" s="33">
        <f>$C$29*'E Balans VL '!Y10/100/3.6*1000000</f>
        <v>1.1148748398942332</v>
      </c>
      <c r="O9" s="33"/>
      <c r="P9" s="33"/>
      <c r="R9" s="32"/>
    </row>
    <row r="10" spans="1:18">
      <c r="A10" s="32" t="s">
        <v>49</v>
      </c>
      <c r="B10" s="37">
        <f t="shared" si="0"/>
        <v>2729.1431849685896</v>
      </c>
      <c r="C10" s="33"/>
      <c r="D10" s="37">
        <f>IF(ISERROR(TER_ander_gas_kWh/1000),0,TER_ander_gas_kWh/1000)*0.903</f>
        <v>337.7531481595957</v>
      </c>
      <c r="E10" s="33">
        <f>$C$30*'E Balans VL '!I14/100/3.6*1000000</f>
        <v>35.381990765741193</v>
      </c>
      <c r="F10" s="33">
        <f>$C$30*('E Balans VL '!L14+'E Balans VL '!N14)/100/3.6*1000000</f>
        <v>2503.0074795948653</v>
      </c>
      <c r="G10" s="34"/>
      <c r="H10" s="33"/>
      <c r="I10" s="33"/>
      <c r="J10" s="33">
        <f>$C$30*('E Balans VL '!D14+'E Balans VL '!E14)/100/3.6*1000000</f>
        <v>2.7603023906447387E-2</v>
      </c>
      <c r="K10" s="33"/>
      <c r="L10" s="33"/>
      <c r="M10" s="33"/>
      <c r="N10" s="33">
        <f>$C$30*'E Balans VL '!Y14/100/3.6*1000000</f>
        <v>1043.7459115191189</v>
      </c>
      <c r="O10" s="33"/>
      <c r="P10" s="33"/>
      <c r="R10" s="32"/>
    </row>
    <row r="11" spans="1:18">
      <c r="A11" s="32" t="s">
        <v>54</v>
      </c>
      <c r="B11" s="37">
        <f t="shared" si="0"/>
        <v>48.939313428993003</v>
      </c>
      <c r="C11" s="33"/>
      <c r="D11" s="37">
        <f>IF(ISERROR(TER_onderwijs_gas_kWh/1000),0,TER_onderwijs_gas_kWh/1000)*0.903</f>
        <v>223.50533206468796</v>
      </c>
      <c r="E11" s="33">
        <f>$C$31*'E Balans VL '!I11/100/3.6*1000000</f>
        <v>0</v>
      </c>
      <c r="F11" s="33">
        <f>$C$31*('E Balans VL '!L11+'E Balans VL '!N11)/100/3.6*1000000</f>
        <v>1.9175728762790316</v>
      </c>
      <c r="G11" s="34"/>
      <c r="H11" s="33"/>
      <c r="I11" s="33"/>
      <c r="J11" s="33">
        <f>$C$31*('E Balans VL '!D11+'E Balans VL '!E11)/100/3.6*1000000</f>
        <v>0</v>
      </c>
      <c r="K11" s="33"/>
      <c r="L11" s="33"/>
      <c r="M11" s="33"/>
      <c r="N11" s="33">
        <f>$C$31*'E Balans VL '!Y11/100/3.6*1000000</f>
        <v>0.15412198956238976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7846.251748861916</v>
      </c>
      <c r="C16" s="21">
        <f t="shared" ca="1" si="1"/>
        <v>0</v>
      </c>
      <c r="D16" s="21">
        <f t="shared" ca="1" si="1"/>
        <v>6571.046818989832</v>
      </c>
      <c r="E16" s="21">
        <f t="shared" si="1"/>
        <v>58.825369958221415</v>
      </c>
      <c r="F16" s="21">
        <f t="shared" ca="1" si="1"/>
        <v>2977.1454447506171</v>
      </c>
      <c r="G16" s="21">
        <f t="shared" si="1"/>
        <v>0</v>
      </c>
      <c r="H16" s="21">
        <f t="shared" si="1"/>
        <v>0</v>
      </c>
      <c r="I16" s="21">
        <f t="shared" si="1"/>
        <v>0</v>
      </c>
      <c r="J16" s="21">
        <f t="shared" si="1"/>
        <v>2.7603023906447387E-2</v>
      </c>
      <c r="K16" s="21">
        <f t="shared" si="1"/>
        <v>0</v>
      </c>
      <c r="L16" s="21">
        <f t="shared" ca="1" si="1"/>
        <v>0</v>
      </c>
      <c r="M16" s="21">
        <f t="shared" si="1"/>
        <v>0</v>
      </c>
      <c r="N16" s="21">
        <f t="shared" ca="1" si="1"/>
        <v>1047.83620231695</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0.18577607211043057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1457.6458306931634</v>
      </c>
      <c r="C20" s="23">
        <f t="shared" ref="C20:P20" ca="1" si="2">C16*C18</f>
        <v>0</v>
      </c>
      <c r="D20" s="23">
        <f t="shared" ca="1" si="2"/>
        <v>1327.3514574359463</v>
      </c>
      <c r="E20" s="23">
        <f t="shared" si="2"/>
        <v>13.353358980516262</v>
      </c>
      <c r="F20" s="23">
        <f t="shared" ca="1" si="2"/>
        <v>794.89783374841477</v>
      </c>
      <c r="G20" s="23">
        <f t="shared" si="2"/>
        <v>0</v>
      </c>
      <c r="H20" s="23">
        <f t="shared" si="2"/>
        <v>0</v>
      </c>
      <c r="I20" s="23">
        <f t="shared" si="2"/>
        <v>0</v>
      </c>
      <c r="J20" s="23">
        <f t="shared" si="2"/>
        <v>9.7714704628823739E-3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1113.3003221230199</v>
      </c>
      <c r="C26" s="39">
        <f>IF(ISERROR(B26*3.6/1000000/'E Balans VL '!Z12*100),0,B26*3.6/1000000/'E Balans VL '!Z12*100)</f>
        <v>3.1940481474464232E-2</v>
      </c>
      <c r="D26" s="233" t="s">
        <v>835</v>
      </c>
      <c r="F26" s="6"/>
    </row>
    <row r="27" spans="1:18" ht="30">
      <c r="A27" s="228" t="s">
        <v>52</v>
      </c>
      <c r="B27" s="33">
        <f>IF(ISERROR(TER_horeca_ele_kWh/1000),0,TER_horeca_ele_kWh/1000)</f>
        <v>902.75813183823209</v>
      </c>
      <c r="C27" s="39">
        <f>IF(ISERROR(B27*3.6/1000000/'E Balans VL '!Z9*100),0,B27*3.6/1000000/'E Balans VL '!Z9*100)</f>
        <v>6.6136380346949672E-2</v>
      </c>
      <c r="D27" s="233" t="s">
        <v>835</v>
      </c>
      <c r="F27" s="6"/>
    </row>
    <row r="28" spans="1:18" ht="30">
      <c r="A28" s="168" t="s">
        <v>51</v>
      </c>
      <c r="B28" s="33">
        <f>IF(ISERROR(TER_handel_ele_kWh/1000),0,TER_handel_ele_kWh/1000)</f>
        <v>2899.5784390067201</v>
      </c>
      <c r="C28" s="39">
        <f>IF(ISERROR(B28*3.6/1000000/'E Balans VL '!Z13*100),0,B28*3.6/1000000/'E Balans VL '!Z13*100)</f>
        <v>8.959941941861789E-2</v>
      </c>
      <c r="D28" s="233" t="s">
        <v>835</v>
      </c>
      <c r="F28" s="6"/>
    </row>
    <row r="29" spans="1:18" ht="30">
      <c r="A29" s="228" t="s">
        <v>50</v>
      </c>
      <c r="B29" s="33">
        <f>IF(ISERROR(TER_gezond_ele_kWh/1000),0,TER_gezond_ele_kWh/1000)</f>
        <v>152.53235749636099</v>
      </c>
      <c r="C29" s="39">
        <f>IF(ISERROR(B29*3.6/1000000/'E Balans VL '!Z10*100),0,B29*3.6/1000000/'E Balans VL '!Z10*100)</f>
        <v>1.4949108949245477E-2</v>
      </c>
      <c r="D29" s="233" t="s">
        <v>835</v>
      </c>
      <c r="F29" s="6"/>
    </row>
    <row r="30" spans="1:18" ht="30">
      <c r="A30" s="228" t="s">
        <v>49</v>
      </c>
      <c r="B30" s="33">
        <f>IF(ISERROR(TER_ander_ele_kWh/1000),0,TER_ander_ele_kWh/1000)</f>
        <v>2729.1431849685896</v>
      </c>
      <c r="C30" s="39">
        <f>IF(ISERROR(B30*3.6/1000000/'E Balans VL '!Z14*100),0,B30*3.6/1000000/'E Balans VL '!Z14*100)</f>
        <v>0.11304992726190055</v>
      </c>
      <c r="D30" s="233" t="s">
        <v>835</v>
      </c>
      <c r="F30" s="6"/>
    </row>
    <row r="31" spans="1:18" ht="30">
      <c r="A31" s="228" t="s">
        <v>54</v>
      </c>
      <c r="B31" s="33">
        <f>IF(ISERROR(TER_onderwijs_ele_kWh/1000),0,TER_onderwijs_ele_kWh/1000)</f>
        <v>48.939313428993003</v>
      </c>
      <c r="C31" s="39">
        <f>IF(ISERROR(B31*3.6/1000000/'E Balans VL '!Z11*100),0,B31*3.6/1000000/'E Balans VL '!Z11*100)</f>
        <v>1.503756313337613E-2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7</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2585.027185471029</v>
      </c>
      <c r="C5" s="17">
        <f>IF(ISERROR('Eigen informatie GS &amp; warmtenet'!B61),0,'Eigen informatie GS &amp; warmtenet'!B61)</f>
        <v>0</v>
      </c>
      <c r="D5" s="30">
        <f>SUM(D6:D15)</f>
        <v>566.35117950111305</v>
      </c>
      <c r="E5" s="17">
        <f>SUM(E6:E15)</f>
        <v>43.309016609995503</v>
      </c>
      <c r="F5" s="17">
        <f>SUM(F6:F15)</f>
        <v>594.71829370094929</v>
      </c>
      <c r="G5" s="18"/>
      <c r="H5" s="17"/>
      <c r="I5" s="17"/>
      <c r="J5" s="17">
        <f>SUM(J6:J15)</f>
        <v>4.1535479526857131</v>
      </c>
      <c r="K5" s="17"/>
      <c r="L5" s="17"/>
      <c r="M5" s="17"/>
      <c r="N5" s="17">
        <f>SUM(N6:N15)</f>
        <v>76.539896341735812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1206.7664296780301</v>
      </c>
      <c r="C8" s="33"/>
      <c r="D8" s="37">
        <f>IF( ISERROR(IND_metaal_Gas_kWH/1000),0,IND_metaal_Gas_kWH/1000)*0.903</f>
        <v>0</v>
      </c>
      <c r="E8" s="33">
        <f>C30*'E Balans VL '!I18/100/3.6*1000000</f>
        <v>6.578272012416635</v>
      </c>
      <c r="F8" s="33">
        <f>C30*'E Balans VL '!L18/100/3.6*1000000+C30*'E Balans VL '!N18/100/3.6*1000000</f>
        <v>77.715850247345159</v>
      </c>
      <c r="G8" s="34"/>
      <c r="H8" s="33"/>
      <c r="I8" s="33"/>
      <c r="J8" s="40">
        <f>C30*'E Balans VL '!D18/100/3.6*1000000+C30*'E Balans VL '!E18/100/3.6*1000000</f>
        <v>0.98848890535424128</v>
      </c>
      <c r="K8" s="33"/>
      <c r="L8" s="33"/>
      <c r="M8" s="33"/>
      <c r="N8" s="33">
        <f>C30*'E Balans VL '!Y18/100/3.6*1000000</f>
        <v>26.071391285681131</v>
      </c>
      <c r="O8" s="33"/>
      <c r="P8" s="33"/>
      <c r="R8" s="32"/>
    </row>
    <row r="9" spans="1:18">
      <c r="A9" s="6" t="s">
        <v>32</v>
      </c>
      <c r="B9" s="37">
        <f t="shared" si="0"/>
        <v>657.88842745053898</v>
      </c>
      <c r="C9" s="33"/>
      <c r="D9" s="37">
        <f>IF( ISERROR(IND_andere_gas_kWh/1000),0,IND_andere_gas_kWh/1000)*0.903</f>
        <v>380.85615086381353</v>
      </c>
      <c r="E9" s="33">
        <f>C31*'E Balans VL '!I19/100/3.6*1000000</f>
        <v>2.1237758825750821</v>
      </c>
      <c r="F9" s="33">
        <f>C31*'E Balans VL '!L19/100/3.6*1000000+C31*'E Balans VL '!N19/100/3.6*1000000</f>
        <v>425.39582165408063</v>
      </c>
      <c r="G9" s="34"/>
      <c r="H9" s="33"/>
      <c r="I9" s="33"/>
      <c r="J9" s="40">
        <f>C31*'E Balans VL '!D19/100/3.6*1000000+C31*'E Balans VL '!E19/100/3.6*1000000</f>
        <v>0</v>
      </c>
      <c r="K9" s="33"/>
      <c r="L9" s="33"/>
      <c r="M9" s="33"/>
      <c r="N9" s="33">
        <f>C31*'E Balans VL '!Y19/100/3.6*1000000</f>
        <v>26.584511425496974</v>
      </c>
      <c r="O9" s="33"/>
      <c r="P9" s="33"/>
      <c r="R9" s="32"/>
    </row>
    <row r="10" spans="1:18">
      <c r="A10" s="6" t="s">
        <v>40</v>
      </c>
      <c r="B10" s="37">
        <f t="shared" si="0"/>
        <v>137.43676030786099</v>
      </c>
      <c r="C10" s="33"/>
      <c r="D10" s="37">
        <f>IF( ISERROR(IND_voed_gas_kWh/1000),0,IND_voed_gas_kWh/1000)*0.903</f>
        <v>0</v>
      </c>
      <c r="E10" s="33">
        <f>C32*'E Balans VL '!I20/100/3.6*1000000</f>
        <v>0.28810113172131024</v>
      </c>
      <c r="F10" s="33">
        <f>C32*'E Balans VL '!L20/100/3.6*1000000+C32*'E Balans VL '!N20/100/3.6*1000000</f>
        <v>2.677743055357515</v>
      </c>
      <c r="G10" s="34"/>
      <c r="H10" s="33"/>
      <c r="I10" s="33"/>
      <c r="J10" s="40">
        <f>C32*'E Balans VL '!D20/100/3.6*1000000+C32*'E Balans VL '!E20/100/3.6*1000000</f>
        <v>0</v>
      </c>
      <c r="K10" s="33"/>
      <c r="L10" s="33"/>
      <c r="M10" s="33"/>
      <c r="N10" s="33">
        <f>C32*'E Balans VL '!Y20/100/3.6*1000000</f>
        <v>5.466853294504082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582.93556803459876</v>
      </c>
      <c r="C15" s="33"/>
      <c r="D15" s="37">
        <f>IF( ISERROR(IND_rest_gas_kWh/1000),0,IND_rest_gas_kWh/1000)*0.903</f>
        <v>185.4950286372995</v>
      </c>
      <c r="E15" s="33">
        <f>C37*'E Balans VL '!I15/100/3.6*1000000</f>
        <v>34.318867583282476</v>
      </c>
      <c r="F15" s="33">
        <f>C37*'E Balans VL '!L15/100/3.6*1000000+C37*'E Balans VL '!N15/100/3.6*1000000</f>
        <v>88.928878744165999</v>
      </c>
      <c r="G15" s="34"/>
      <c r="H15" s="33"/>
      <c r="I15" s="33"/>
      <c r="J15" s="40">
        <f>C37*'E Balans VL '!D15/100/3.6*1000000+C37*'E Balans VL '!E15/100/3.6*1000000</f>
        <v>3.1650590473314715</v>
      </c>
      <c r="K15" s="33"/>
      <c r="L15" s="33"/>
      <c r="M15" s="33"/>
      <c r="N15" s="33">
        <f>C37*'E Balans VL '!Y15/100/3.6*1000000</f>
        <v>18.417140336053635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2585.027185471029</v>
      </c>
      <c r="C18" s="21">
        <f>C5+C16</f>
        <v>0</v>
      </c>
      <c r="D18" s="21">
        <f>MAX((D5+D16),0)</f>
        <v>566.35117950111305</v>
      </c>
      <c r="E18" s="21">
        <f>MAX((E5+E16),0)</f>
        <v>43.309016609995503</v>
      </c>
      <c r="F18" s="21">
        <f>MAX((F5+F16),0)</f>
        <v>594.71829370094929</v>
      </c>
      <c r="G18" s="21"/>
      <c r="H18" s="21"/>
      <c r="I18" s="21"/>
      <c r="J18" s="21">
        <f>MAX((J5+J16),0)</f>
        <v>4.1535479526857131</v>
      </c>
      <c r="K18" s="21"/>
      <c r="L18" s="21">
        <f>MAX((L5+L16),0)</f>
        <v>0</v>
      </c>
      <c r="M18" s="21"/>
      <c r="N18" s="21">
        <f>MAX((N5+N16),0)</f>
        <v>76.539896341735812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0.18577607211043057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480.23619681548928</v>
      </c>
      <c r="C22" s="23">
        <f ca="1">C18*C20</f>
        <v>0</v>
      </c>
      <c r="D22" s="23">
        <f>D18*D20</f>
        <v>114.40293825922484</v>
      </c>
      <c r="E22" s="23">
        <f>E18*E20</f>
        <v>9.8311467704689797</v>
      </c>
      <c r="F22" s="23">
        <f>F18*F20</f>
        <v>158.78978441815346</v>
      </c>
      <c r="G22" s="23"/>
      <c r="H22" s="23"/>
      <c r="I22" s="23"/>
      <c r="J22" s="23">
        <f>J18*J20</f>
        <v>1.4703559752507425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1206.7664296780301</v>
      </c>
      <c r="C30" s="39">
        <f>IF(ISERROR(B30*3.6/1000000/'E Balans VL '!Z18*100),0,B30*3.6/1000000/'E Balans VL '!Z18*100)</f>
        <v>7.266816539259302E-2</v>
      </c>
      <c r="D30" s="233" t="s">
        <v>835</v>
      </c>
    </row>
    <row r="31" spans="1:18" ht="30">
      <c r="A31" s="6" t="s">
        <v>32</v>
      </c>
      <c r="B31" s="37">
        <f>IF( ISERROR(IND_ander_ele_kWh/1000),0,IND_ander_ele_kWh/1000)</f>
        <v>657.88842745053898</v>
      </c>
      <c r="C31" s="39">
        <f>IF(ISERROR(B31*3.6/1000000/'E Balans VL '!Z19*100),0,B31*3.6/1000000/'E Balans VL '!Z19*100)</f>
        <v>2.6803736520118845E-2</v>
      </c>
      <c r="D31" s="233" t="s">
        <v>835</v>
      </c>
    </row>
    <row r="32" spans="1:18" ht="30">
      <c r="A32" s="168" t="s">
        <v>40</v>
      </c>
      <c r="B32" s="37">
        <f>IF( ISERROR(IND_voed_ele_kWh/1000),0,IND_voed_ele_kWh/1000)</f>
        <v>137.43676030786099</v>
      </c>
      <c r="C32" s="39">
        <f>IF(ISERROR(B32*3.6/1000000/'E Balans VL '!Z20*100),0,B32*3.6/1000000/'E Balans VL '!Z20*100)</f>
        <v>3.9738498273519237E-3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582.93556803459876</v>
      </c>
      <c r="C37" s="39">
        <f>IF(ISERROR(B37*3.6/1000000/'E Balans VL '!Z15*100),0,B37*3.6/1000000/'E Balans VL '!Z15*100)</f>
        <v>4.7863425415379159E-3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5912.5922059183904</v>
      </c>
      <c r="C5" s="17">
        <f>'Eigen informatie GS &amp; warmtenet'!B62</f>
        <v>0</v>
      </c>
      <c r="D5" s="30">
        <f>IF(ISERROR(SUM(LB_lb_gas_kWh,LB_rest_gas_kWh)/1000),0,SUM(LB_lb_gas_kWh,LB_rest_gas_kWh)/1000)*0.903</f>
        <v>513.49487621148842</v>
      </c>
      <c r="E5" s="17">
        <f>B17*'E Balans VL '!I25/3.6*1000000/100</f>
        <v>169.34664671539679</v>
      </c>
      <c r="F5" s="17">
        <f>B17*('E Balans VL '!L25/3.6*1000000+'E Balans VL '!N25/3.6*1000000)/100</f>
        <v>18716.212698660609</v>
      </c>
      <c r="G5" s="18"/>
      <c r="H5" s="17"/>
      <c r="I5" s="17"/>
      <c r="J5" s="17">
        <f>('E Balans VL '!D25+'E Balans VL '!E25)/3.6*1000000*landbouw!B17/100</f>
        <v>1503.3865284268788</v>
      </c>
      <c r="K5" s="17"/>
      <c r="L5" s="17">
        <f>L6*(-1)</f>
        <v>0</v>
      </c>
      <c r="M5" s="17"/>
      <c r="N5" s="17">
        <f>N6*(-1)</f>
        <v>0</v>
      </c>
      <c r="O5" s="17"/>
      <c r="P5" s="17"/>
      <c r="R5" s="32"/>
    </row>
    <row r="6" spans="1:18">
      <c r="A6" s="16" t="s">
        <v>467</v>
      </c>
      <c r="B6" s="17" t="s">
        <v>204</v>
      </c>
      <c r="C6" s="17">
        <f>'lokale energieproductie'!O39+'lokale energieproductie'!O32</f>
        <v>1279.2857142857142</v>
      </c>
      <c r="D6" s="304">
        <f>('lokale energieproductie'!P32+'lokale energieproductie'!P39)*(-1)</f>
        <v>-2558.5714285714289</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5912.5922059183904</v>
      </c>
      <c r="C8" s="21">
        <f>C5+C6</f>
        <v>1279.2857142857142</v>
      </c>
      <c r="D8" s="21">
        <f>MAX((D5+D6),0)</f>
        <v>0</v>
      </c>
      <c r="E8" s="21">
        <f>MAX((E5+E6),0)</f>
        <v>169.34664671539679</v>
      </c>
      <c r="F8" s="21">
        <f>MAX((F5+F6),0)</f>
        <v>18716.212698660609</v>
      </c>
      <c r="G8" s="21"/>
      <c r="H8" s="21"/>
      <c r="I8" s="21"/>
      <c r="J8" s="21">
        <f>MAX((J5+J6),0)</f>
        <v>1503.3865284268788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0.18577607211043057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1098.4181560062646</v>
      </c>
      <c r="C12" s="23">
        <f ca="1">C8*C10</f>
        <v>304.01848739495807</v>
      </c>
      <c r="D12" s="23">
        <f>D8*D10</f>
        <v>0</v>
      </c>
      <c r="E12" s="23">
        <f>E8*E10</f>
        <v>38.441688804395071</v>
      </c>
      <c r="F12" s="23">
        <f>F8*F10</f>
        <v>4997.2287905423827</v>
      </c>
      <c r="G12" s="23"/>
      <c r="H12" s="23"/>
      <c r="I12" s="23"/>
      <c r="J12" s="23">
        <f>J8*J10</f>
        <v>532.19883106311511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0.81875989041065822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880.83311814126102</v>
      </c>
      <c r="C26" s="243">
        <f>B26*'GWP N2O_CH4'!B5</f>
        <v>18497.495480966481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653.20995203506584</v>
      </c>
      <c r="C27" s="243">
        <f>B27*'GWP N2O_CH4'!B5</f>
        <v>13717.408992736382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13.650172580716923</v>
      </c>
      <c r="C28" s="243">
        <f>B28*'GWP N2O_CH4'!B4</f>
        <v>4231.5535000222462</v>
      </c>
      <c r="D28" s="50"/>
    </row>
    <row r="29" spans="1:4">
      <c r="A29" s="41" t="s">
        <v>266</v>
      </c>
      <c r="B29" s="243">
        <f>B34*'ha_N2O bodem landbouw'!B4</f>
        <v>45.814503332278818</v>
      </c>
      <c r="C29" s="243">
        <f>B29*'GWP N2O_CH4'!B4</f>
        <v>14202.496033006433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1.040823520220528E-2</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3.1348383728730349E-4</v>
      </c>
      <c r="C5" s="432" t="s">
        <v>204</v>
      </c>
      <c r="D5" s="417">
        <f>SUM(D6:D11)</f>
        <v>5.7010273609351639E-4</v>
      </c>
      <c r="E5" s="417">
        <f>SUM(E6:E11)</f>
        <v>2.2294001103244203E-4</v>
      </c>
      <c r="F5" s="430" t="s">
        <v>204</v>
      </c>
      <c r="G5" s="417">
        <f>SUM(G6:G11)</f>
        <v>0.11229226502510772</v>
      </c>
      <c r="H5" s="417">
        <f>SUM(H6:H11)</f>
        <v>2.7875430218488574E-2</v>
      </c>
      <c r="I5" s="432" t="s">
        <v>204</v>
      </c>
      <c r="J5" s="432" t="s">
        <v>204</v>
      </c>
      <c r="K5" s="432" t="s">
        <v>204</v>
      </c>
      <c r="L5" s="432" t="s">
        <v>204</v>
      </c>
      <c r="M5" s="417">
        <f>SUM(M6:M11)</f>
        <v>8.4237495716970451E-3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2.3223861243358665E-4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3.8720824937000392E-4</v>
      </c>
      <c r="E6" s="884">
        <f>vkm_GW_PW*SUMIFS(TableVerdeelsleutelVkm[LPG],TableVerdeelsleutelVkm[Voertuigtype],"Lichte voertuigen")*SUMIFS(TableECFTransport[EnergieConsumptieFactor (PJ per km)],TableECFTransport[Index],CONCATENATE($A6,"_LPG_LPG"))</f>
        <v>1.5351232227146282E-4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4.6134309139692298E-2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1.8989370258848982E-2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3.995145675588542E-3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1.0205396565038614E-6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4.0454835240911272E-2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2.9849812768222952E-7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2.3228482245732989E-3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8.009556976664841E-5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1.828944867235125E-4</v>
      </c>
      <c r="E8" s="420">
        <f>vkm_NGW_PW*SUMIFS(TableVerdeelsleutelVkm[LPG],TableVerdeelsleutelVkm[Voertuigtype],"Lichte voertuigen")*SUMIFS(TableECFTransport[EnergieConsumptieFactor (PJ per km)],TableECFTransport[Index],CONCATENATE($A8,"_LPG_LPG"))</f>
        <v>6.9427688760979197E-5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1.9112059821920189E-2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8.8857158781534083E-3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1.7273083216990525E-3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1.2911543056453279E-7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6.5910608225839724E-3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4.558335850334471E-8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3.7844734983615171E-4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87.078843690917637</v>
      </c>
      <c r="C14" s="21"/>
      <c r="D14" s="21">
        <f t="shared" ref="D14:M14" si="0">((D5)*10^9/3600)+D12</f>
        <v>158.36187113708786</v>
      </c>
      <c r="E14" s="21">
        <f t="shared" si="0"/>
        <v>61.927780842345008</v>
      </c>
      <c r="F14" s="21"/>
      <c r="G14" s="21">
        <f t="shared" si="0"/>
        <v>31192.295840307703</v>
      </c>
      <c r="H14" s="21">
        <f t="shared" si="0"/>
        <v>7743.1750606912701</v>
      </c>
      <c r="I14" s="21"/>
      <c r="J14" s="21"/>
      <c r="K14" s="21"/>
      <c r="L14" s="21"/>
      <c r="M14" s="21">
        <f t="shared" si="0"/>
        <v>2339.9304365825124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0.18577607211043057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16.177165544816827</v>
      </c>
      <c r="C18" s="23"/>
      <c r="D18" s="23">
        <f t="shared" ref="D18:M18" si="1">D14*D16</f>
        <v>31.989097969691748</v>
      </c>
      <c r="E18" s="23">
        <f t="shared" si="1"/>
        <v>14.057606251212317</v>
      </c>
      <c r="F18" s="23"/>
      <c r="G18" s="23">
        <f t="shared" si="1"/>
        <v>8328.3429893621578</v>
      </c>
      <c r="H18" s="23">
        <f t="shared" si="1"/>
        <v>1928.0505901121262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1.2707268149176341E-5</v>
      </c>
      <c r="C50" s="315">
        <f t="shared" ref="C50:P50" si="2">SUM(C51:C52)</f>
        <v>0</v>
      </c>
      <c r="D50" s="315">
        <f t="shared" si="2"/>
        <v>0</v>
      </c>
      <c r="E50" s="315">
        <f t="shared" si="2"/>
        <v>0</v>
      </c>
      <c r="F50" s="315">
        <f t="shared" si="2"/>
        <v>0</v>
      </c>
      <c r="G50" s="315">
        <f t="shared" si="2"/>
        <v>7.9551340290062288E-4</v>
      </c>
      <c r="H50" s="315">
        <f t="shared" si="2"/>
        <v>0</v>
      </c>
      <c r="I50" s="315">
        <f t="shared" si="2"/>
        <v>0</v>
      </c>
      <c r="J50" s="315">
        <f t="shared" si="2"/>
        <v>0</v>
      </c>
      <c r="K50" s="315">
        <f t="shared" si="2"/>
        <v>0</v>
      </c>
      <c r="L50" s="315">
        <f t="shared" si="2"/>
        <v>0</v>
      </c>
      <c r="M50" s="315">
        <f t="shared" si="2"/>
        <v>4.5676618142649705E-5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1.2707268149176341E-5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7.9551340290062288E-4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4.5676618142649705E-5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3.5297967081045392</v>
      </c>
      <c r="C54" s="21">
        <f t="shared" ref="C54:P54" si="3">(C50)*10^9/3600</f>
        <v>0</v>
      </c>
      <c r="D54" s="21">
        <f t="shared" si="3"/>
        <v>0</v>
      </c>
      <c r="E54" s="21">
        <f t="shared" si="3"/>
        <v>0</v>
      </c>
      <c r="F54" s="21">
        <f t="shared" si="3"/>
        <v>0</v>
      </c>
      <c r="G54" s="21">
        <f t="shared" si="3"/>
        <v>220.97594525017303</v>
      </c>
      <c r="H54" s="21">
        <f t="shared" si="3"/>
        <v>0</v>
      </c>
      <c r="I54" s="21">
        <f t="shared" si="3"/>
        <v>0</v>
      </c>
      <c r="J54" s="21">
        <f t="shared" si="3"/>
        <v>0</v>
      </c>
      <c r="K54" s="21">
        <f t="shared" si="3"/>
        <v>0</v>
      </c>
      <c r="L54" s="21">
        <f t="shared" si="3"/>
        <v>0</v>
      </c>
      <c r="M54" s="21">
        <f t="shared" si="3"/>
        <v>12.687949484069362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0.18577607211043057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0.65575176777998934</v>
      </c>
      <c r="C58" s="23">
        <f t="shared" ref="C58:P58" ca="1" si="4">C54*C56</f>
        <v>0</v>
      </c>
      <c r="D58" s="23">
        <f t="shared" si="4"/>
        <v>0</v>
      </c>
      <c r="E58" s="23">
        <f t="shared" si="4"/>
        <v>0</v>
      </c>
      <c r="F58" s="23">
        <f t="shared" si="4"/>
        <v>0</v>
      </c>
      <c r="G58" s="23">
        <f t="shared" si="4"/>
        <v>59.000577381796198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4118.1044856334574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895.5</v>
      </c>
      <c r="C8" s="543">
        <f>B48</f>
        <v>1053.5294117647061</v>
      </c>
      <c r="D8" s="544"/>
      <c r="E8" s="544">
        <f>E48</f>
        <v>0</v>
      </c>
      <c r="F8" s="545"/>
      <c r="G8" s="546"/>
      <c r="H8" s="544">
        <f>I48</f>
        <v>0</v>
      </c>
      <c r="I8" s="544">
        <f>G48+F48</f>
        <v>0</v>
      </c>
      <c r="J8" s="544">
        <f>H48+D48+C48</f>
        <v>0</v>
      </c>
      <c r="K8" s="544"/>
      <c r="L8" s="544"/>
      <c r="M8" s="544"/>
      <c r="N8" s="547"/>
      <c r="O8" s="548">
        <f>C8*$C$12+D8*$D$12+E8*$E$12+F8*$F$12+G8*$G$12+H8*$H$12+I8*$I$12+J8*$J$12</f>
        <v>212.81294117647064</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5013.6044856334574</v>
      </c>
      <c r="C10" s="558">
        <f t="shared" ref="C10:L10" si="0">SUM(C8:C9)</f>
        <v>1053.5294117647061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212.81294117647064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1279.2857142857142</v>
      </c>
      <c r="C17" s="574">
        <f>B49</f>
        <v>1505.042016806723</v>
      </c>
      <c r="D17" s="575"/>
      <c r="E17" s="575">
        <f>E49</f>
        <v>0</v>
      </c>
      <c r="F17" s="576"/>
      <c r="G17" s="577"/>
      <c r="H17" s="574">
        <f>I49</f>
        <v>0</v>
      </c>
      <c r="I17" s="575">
        <f>G49+F49</f>
        <v>0</v>
      </c>
      <c r="J17" s="575">
        <f>H49+D49+C49</f>
        <v>0</v>
      </c>
      <c r="K17" s="575"/>
      <c r="L17" s="575"/>
      <c r="M17" s="575"/>
      <c r="N17" s="960"/>
      <c r="O17" s="578">
        <f>C17*$C$22+E17*$E$22+H17*$H$22+I17*$I$22+J17*$J$22+D17*$D$22+F17*$F$22+G17*$G$22+K17*$K$22+L17*$L$22</f>
        <v>304.01848739495807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1279.2857142857142</v>
      </c>
      <c r="C20" s="557">
        <f>SUM(C17:C19)</f>
        <v>1505.042016806723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304.01848739495807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38002</v>
      </c>
      <c r="C28" s="785">
        <v>8690</v>
      </c>
      <c r="D28" s="635"/>
      <c r="E28" s="634"/>
      <c r="F28" s="634"/>
      <c r="G28" s="634" t="s">
        <v>868</v>
      </c>
      <c r="H28" s="634" t="s">
        <v>869</v>
      </c>
      <c r="I28" s="634"/>
      <c r="J28" s="784"/>
      <c r="K28" s="784"/>
      <c r="L28" s="634" t="s">
        <v>870</v>
      </c>
      <c r="M28" s="634">
        <v>199</v>
      </c>
      <c r="N28" s="634">
        <v>895.5</v>
      </c>
      <c r="O28" s="634">
        <v>1279.2857142857142</v>
      </c>
      <c r="P28" s="634">
        <v>2558.5714285714289</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199</v>
      </c>
      <c r="N29" s="592">
        <f>SUM(N28:N28)</f>
        <v>895.5</v>
      </c>
      <c r="O29" s="592">
        <f>SUM(O28:O28)</f>
        <v>1279.2857142857142</v>
      </c>
      <c r="P29" s="592">
        <f>SUM(P28:P28)</f>
        <v>2558.5714285714289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199</v>
      </c>
      <c r="N32" s="597">
        <f>SUMIF($Z$28:$Z$28,"landbouw",N28:N28)</f>
        <v>895.5</v>
      </c>
      <c r="O32" s="597">
        <f>SUMIF($Z$28:$Z$28,"landbouw",O28:O28)</f>
        <v>1279.2857142857142</v>
      </c>
      <c r="P32" s="597">
        <f>SUMIF($Z$28:$Z$28,"landbouw",P28:P28)</f>
        <v>2558.5714285714289</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1053.5294117647061</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1505.042016806723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2021-11-11T12:18:25Z</dcterms:modified>
</cp:coreProperties>
</file>