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0079D23-4E87-415F-9AFD-B56AF97623F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D8" i="22"/>
  <c r="A3" i="23"/>
  <c r="B51"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<sst xmlns="http://schemas.openxmlformats.org/spreadsheetml/2006/main" count="2432" uniqueCount="875">
  <si>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</si>
  <si>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</si>
  <si>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</si>
  <si>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</si>
  <si>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</si>
  <si>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</si>
  <si>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</si>
  <si>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</si>
  <si>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</si>
  <si>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</si>
  <si>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</si>
  <si>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</si>
  <si>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</si>
  <si>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</si>
  <si>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</si>
  <si>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</si>
  <si>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</si>
  <si>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</si>
  <si>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</si>
  <si>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</si>
  <si>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</si>
  <si>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</si>
  <si>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</si>
  <si>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</si>
  <si>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</si>
  <si>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</si>
  <si>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</si>
  <si>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</si>
  <si>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</si>
  <si>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</si>
  <si>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</si>
  <si>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</si>
  <si>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</si>
  <si>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</si>
  <si>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</si>
  <si>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</si>
  <si>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</si>
  <si>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</si>
  <si>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</si>
  <si>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</si>
  <si>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</si>
  <si>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</si>
  <si>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</si>
  <si>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</si>
  <si>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</si>
  <si>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</si>
  <si>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</si>
  <si>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</si>
  <si>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</si>
  <si>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</si>
  <si>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</si>
  <si>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</si>
  <si>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</si>
  <si>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</si>
  <si>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</si>
  <si>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</si>
  <si>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</si>
  <si>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</si>
  <si>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</si>
  <si>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</si>
  <si>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</si>
  <si>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</si>
  <si>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</si>
  <si>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</si>
  <si>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</si>
  <si>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</si>
  <si>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</si>
  <si>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</si>
  <si>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</si>
  <si>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</si>
  <si>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</si>
  <si>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</si>
  <si>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</si>
  <si>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</si>
  <si>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</si>
  <si>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</si>
  <si>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</si>
  <si>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</si>
  <si>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</si>
  <si>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</si>
  <si>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</si>
  <si>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</si>
  <si>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</si>
  <si>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</si>
  <si>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</si>
  <si>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</si>
  <si>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</si>
  <si>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</si>
  <si>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</si>
  <si>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</si>
  <si>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</si>
  <si>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</si>
  <si>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</si>
  <si>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</si>
  <si>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</si>
  <si>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</si>
  <si>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</si>
  <si>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</si>
  <si>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</si>
  <si>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</si>
  <si>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</si>
  <si>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</si>
  <si>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</si>
  <si>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</si>
  <si>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</si>
  <si>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</si>
  <si>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</si>
  <si>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</si>
  <si>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</si>
  <si>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</si>
  <si>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</si>
  <si>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</si>
  <si>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</si>
  <si>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</si>
  <si>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</si>
  <si>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</si>
  <si>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</si>
  <si>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</si>
  <si>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</si>
  <si>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</si>
  <si>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</si>
  <si>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</si>
  <si>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</si>
  <si>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</si>
  <si>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</si>
  <si>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</si>
  <si>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</si>
  <si>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</si>
  <si>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</si>
  <si>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</si>
  <si>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</si>
  <si>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</si>
  <si>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</si>
  <si>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</si>
  <si>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</si>
  <si>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</si>
  <si>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</si>
  <si>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</si>
  <si>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</si>
  <si>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</si>
  <si>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</si>
  <si>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</si>
  <si>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</si>
  <si>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</si>
  <si>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</si>
  <si>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</si>
  <si>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</si>
  <si>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</si>
  <si>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</si>
  <si>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</si>
  <si>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</si>
  <si>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</si>
  <si>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</si>
  <si>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</si>
  <si>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</si>
  <si>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</si>
  <si>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</si>
  <si>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</si>
  <si>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</si>
  <si>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</si>
  <si>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</si>
  <si>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</si>
  <si>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</si>
  <si>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</si>
  <si>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</si>
  <si>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</si>
  <si>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</si>
  <si>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</si>
  <si>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</si>
  <si>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</si>
  <si>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</si>
  <si>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</si>
  <si>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</si>
  <si>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</si>
  <si>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</si>
  <si>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</si>
  <si>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</si>
  <si>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</si>
  <si>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</si>
  <si>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</si>
  <si>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</si>
  <si>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</si>
  <si>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</si>
  <si>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</si>
  <si>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</si>
  <si>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</si>
  <si>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</si>
  <si>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</si>
  <si>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</si>
  <si>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</si>
  <si>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</si>
  <si>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</si>
  <si>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</si>
  <si>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</si>
  <si>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</si>
  <si>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</si>
  <si>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</si>
  <si>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</si>
  <si>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</si>
  <si>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</si>
  <si>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</si>
  <si>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</si>
  <si>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</si>
  <si>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</si>
  <si>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</si>
  <si>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</si>
  <si>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</si>
  <si>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</si>
  <si>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</si>
  <si>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</si>
  <si>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</si>
  <si>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</si>
  <si>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</si>
  <si>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</si>
  <si>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</si>
  <si>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</si>
  <si>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</si>
  <si>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</si>
  <si>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</si>
  <si>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</si>
  <si>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</si>
  <si>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</si>
  <si>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</si>
  <si>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</si>
  <si>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</si>
  <si>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</si>
  <si>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</si>
  <si>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</si>
  <si>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</si>
  <si>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</si>
  <si>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</si>
  <si>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</si>
  <si>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</si>
  <si>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</si>
  <si>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</si>
  <si>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</si>
  <si>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</si>
  <si>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</si>
  <si>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</si>
  <si>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</si>
  <si>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</si>
  <si>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</si>
  <si>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</si>
  <si>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</si>
  <si>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</si>
  <si>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</si>
  <si>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</si>
  <si>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</si>
  <si>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</si>
  <si>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</si>
  <si>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</si>
  <si>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</si>
  <si>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</si>
  <si>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</si>
  <si>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</si>
  <si>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</si>
  <si>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</si>
  <si>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</si>
  <si>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</si>
  <si>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</si>
  <si>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</si>
  <si>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</si>
  <si>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</si>
  <si>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</si>
  <si>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</si>
  <si>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</si>
  <si>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</si>
  <si>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</si>
  <si>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</si>
  <si>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</si>
  <si>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</si>
  <si>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</si>
  <si>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</si>
  <si>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</si>
  <si>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</si>
  <si>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</si>
  <si>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</si>
  <si>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</si>
  <si>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</si>
  <si>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</si>
  <si>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</si>
  <si>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</si>
  <si>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</si>
  <si>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</si>
  <si>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</si>
  <si>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</si>
  <si>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</si>
  <si>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</si>
  <si>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</si>
  <si>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</si>
  <si>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</si>
  <si>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</si>
  <si>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</si>
  <si>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</si>
  <si>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</si>
  <si>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</si>
  <si>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</si>
  <si>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</si>
  <si>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</si>
  <si>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</si>
  <si>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</si>
  <si>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</si>
  <si>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</si>
  <si>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</si>
  <si>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</si>
  <si>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</si>
  <si>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</si>
  <si>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</si>
  <si>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</si>
  <si>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</si>
  <si>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</si>
  <si>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</si>
  <si>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</si>
  <si>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</si>
  <si>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</si>
  <si>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</si>
  <si>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</si>
  <si>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</si>
  <si>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</si>
  <si>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</si>
  <si>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</si>
  <si>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</si>
  <si>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</si>
  <si>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</si>
  <si>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</si>
  <si>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</si>
  <si>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</si>
  <si>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</si>
  <si>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</si>
  <si>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</si>
  <si>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</si>
  <si>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</si>
  <si>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</si>
  <si>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</si>
  <si>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</si>
  <si>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</si>
  <si>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</si>
  <si>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</si>
  <si>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</si>
  <si>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</si>
  <si>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</si>
  <si>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</si>
  <si>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</si>
  <si>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</si>
  <si>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</si>
  <si>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</si>
  <si>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</si>
  <si>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</si>
  <si>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</si>
  <si>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</si>
  <si>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</si>
  <si>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</si>
  <si>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</si>
  <si>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</si>
  <si>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</si>
  <si>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</si>
  <si>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</si>
  <si>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</si>
  <si>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</si>
  <si>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</si>
  <si>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</si>
  <si>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</si>
  <si>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</si>
  <si>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</si>
  <si>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</si>
  <si>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</si>
  <si>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</si>
  <si>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</si>
  <si>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</si>
  <si>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</si>
  <si>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</si>
  <si>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</si>
  <si>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</si>
  <si>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</si>
  <si>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</si>
  <si>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</si>
  <si>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</si>
  <si>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</si>
  <si>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</si>
  <si>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</si>
  <si>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</si>
  <si>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</si>
  <si>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</si>
  <si>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</si>
  <si>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</si>
  <si>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</si>
  <si>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</si>
  <si>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</si>
  <si>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</si>
  <si>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</si>
  <si>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</si>
  <si>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</si>
  <si>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</si>
  <si>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</si>
  <si>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</si>
  <si>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</si>
  <si>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</si>
  <si>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</si>
  <si>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</si>
  <si>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</si>
  <si>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</si>
  <si>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</si>
  <si>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</si>
  <si>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</si>
  <si>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</si>
  <si>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</si>
  <si>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</si>
  <si>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</si>
  <si>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</si>
  <si>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</si>
  <si>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</si>
  <si>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</si>
  <si>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</si>
  <si>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</si>
  <si>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</si>
  <si>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</si>
  <si>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</si>
  <si>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</si>
  <si>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</si>
  <si>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</si>
  <si>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</si>
  <si>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</si>
  <si>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</si>
  <si>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</si>
  <si>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</si>
  <si>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</si>
  <si>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</si>
  <si>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</si>
  <si>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</si>
  <si>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</si>
  <si>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</si>
  <si>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</si>
  <si>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</si>
  <si>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</si>
  <si>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</si>
  <si>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</si>
  <si>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</si>
  <si>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</si>
  <si>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</si>
  <si>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</si>
  <si>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</si>
  <si>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</si>
  <si>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</si>
  <si>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</si>
  <si>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</si>
  <si>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</si>
  <si>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</si>
  <si>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</si>
  <si>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</si>
  <si>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</si>
  <si>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</si>
  <si>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</si>
  <si>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</si>
  <si>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</si>
  <si>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</si>
  <si>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</si>
  <si>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</si>
  <si>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</si>
  <si>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</si>
  <si>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</si>
  <si>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</si>
  <si>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</si>
  <si>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</si>
  <si>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</si>
  <si>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</si>
  <si>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</si>
  <si>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</si>
  <si>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</si>
  <si>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</si>
  <si>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</si>
  <si>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</si>
  <si>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</si>
  <si>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</si>
  <si>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</si>
  <si>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</si>
  <si>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</si>
  <si>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</si>
  <si>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</si>
  <si>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</si>
  <si>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</si>
  <si>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</si>
  <si>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</si>
  <si>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</si>
  <si>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</si>
  <si>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</si>
  <si>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</si>
  <si>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</si>
  <si>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</si>
  <si>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</si>
  <si>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</si>
  <si>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</si>
  <si>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</si>
  <si>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</si>
  <si>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</si>
  <si>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</si>
  <si>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</si>
  <si>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</si>
  <si>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</si>
  <si>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</si>
  <si>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</si>
  <si>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</si>
  <si>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</si>
  <si>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</si>
  <si>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</si>
  <si>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</si>
  <si>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</si>
  <si>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</si>
  <si>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</si>
  <si>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</si>
  <si>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</si>
  <si>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</si>
  <si>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</si>
  <si>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</si>
  <si>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</si>
  <si>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</si>
  <si>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</si>
  <si>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</si>
  <si>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</si>
  <si>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</si>
  <si>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</si>
  <si>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</si>
  <si>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</si>
  <si>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</si>
  <si>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</si>
  <si>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</si>
  <si>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</si>
  <si>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</si>
  <si>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</si>
  <si>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</si>
  <si>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</si>
  <si>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</si>
  <si>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</si>
  <si>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</si>
  <si>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</si>
  <si>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</si>
  <si>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</si>
  <si>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</si>
  <si>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</si>
  <si>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</si>
  <si>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</si>
  <si>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</si>
  <si>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</si>
  <si>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</si>
  <si>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</si>
  <si>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</si>
  <si>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</si>
  <si>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</si>
  <si>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</si>
  <si>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</si>
  <si>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</si>
  <si>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</si>
  <si>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</si>
  <si>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</si>
  <si>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</si>
  <si>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</si>
  <si>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</si>
  <si>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</si>
  <si>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</si>
  <si>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</si>
  <si>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</si>
  <si>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</si>
  <si>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</si>
  <si>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</si>
  <si>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</si>
  <si>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</si>
  <si>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</si>
  <si>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</si>
  <si>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</si>
  <si>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</si>
  <si>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</si>
  <si>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</si>
  <si>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</si>
  <si>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</si>
  <si>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</si>
  <si>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</si>
  <si>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</si>
  <si>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</si>
  <si>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</si>
  <si>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</si>
  <si>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</si>
  <si>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</si>
  <si>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</si>
  <si>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</si>
  <si>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</si>
  <si>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</si>
  <si>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</si>
  <si>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</si>
  <si>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</si>
  <si>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</si>
  <si>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</si>
  <si>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</si>
  <si>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</si>
  <si>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</si>
  <si>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</si>
  <si>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</si>
  <si>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</si>
  <si>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</si>
  <si>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</si>
  <si>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</si>
  <si>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</si>
  <si>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</si>
  <si>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</si>
  <si>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</si>
  <si>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</si>
  <si>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</si>
  <si>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</si>
  <si>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</si>
  <si>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</si>
  <si>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</si>
  <si>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</si>
  <si>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</si>
  <si>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</si>
  <si>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</si>
  <si>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</si>
  <si>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</si>
  <si>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</si>
  <si>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</si>
  <si>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</si>
  <si>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</si>
  <si>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</si>
  <si>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</si>
  <si>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</si>
  <si>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</si>
  <si>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</si>
  <si>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</si>
  <si>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</si>
  <si>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</si>
  <si>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</si>
  <si>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</si>
  <si>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</si>
  <si>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</si>
  <si>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</si>
  <si>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</si>
  <si>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</si>
  <si>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</si>
  <si>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</si>
  <si>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</si>
  <si>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</si>
  <si>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</si>
  <si>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</si>
  <si>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</si>
  <si>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</si>
  <si>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</si>
  <si>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</si>
  <si>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</si>
  <si>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</si>
  <si>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</si>
  <si>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</si>
  <si>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</si>
  <si>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</si>
  <si>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</si>
  <si>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</si>
  <si>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</si>
  <si>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</si>
  <si>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</si>
  <si>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</si>
  <si>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</si>
  <si>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</si>
  <si>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</si>
  <si>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</si>
  <si>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</si>
  <si>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</si>
  <si>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</si>
  <si>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</si>
  <si>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</si>
  <si>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</si>
  <si>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</si>
  <si>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</si>
  <si>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</si>
  <si>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</si>
  <si>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</si>
  <si>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</si>
  <si>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</si>
  <si>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</si>
  <si>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</si>
  <si>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</si>
  <si>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</si>
  <si>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</si>
  <si>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</si>
  <si>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</si>
  <si>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</si>
  <si>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</si>
  <si>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</si>
  <si>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</si>
  <si>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</si>
  <si>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</si>
  <si>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</si>
  <si>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</si>
  <si>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</si>
  <si>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</si>
  <si>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</si>
  <si>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</si>
  <si>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</si>
  <si>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</si>
  <si>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</si>
  <si>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</si>
  <si>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</si>
  <si>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</si>
  <si>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</si>
  <si>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</si>
  <si>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</si>
  <si>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</si>
  <si>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</si>
  <si>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</si>
  <si>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</si>
  <si>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</si>
  <si>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</si>
  <si>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</si>
  <si>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</si>
  <si>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</si>
  <si>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</si>
  <si>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</si>
  <si>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</si>
  <si>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</si>
  <si>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</si>
  <si>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</si>
  <si>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</si>
  <si>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</si>
  <si>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</si>
  <si>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</si>
  <si>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</si>
  <si>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</si>
  <si>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</si>
  <si>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</si>
  <si>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</si>
  <si>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</si>
  <si>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</si>
  <si>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</si>
  <si>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</si>
  <si>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</si>
  <si>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</si>
  <si>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</si>
  <si>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</si>
  <si>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</si>
  <si>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</si>
  <si>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</si>
  <si>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</si>
  <si>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</si>
  <si>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</si>
  <si>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</si>
  <si>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</si>
  <si>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</si>
  <si>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</si>
  <si>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</si>
  <si>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</si>
  <si>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</si>
  <si>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</si>
  <si>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</si>
  <si>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</si>
  <si>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</si>
  <si>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</si>
  <si>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</si>
  <si>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</si>
  <si>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</si>
  <si>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</si>
  <si>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</si>
  <si>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</si>
  <si>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</si>
  <si>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</si>
  <si>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</si>
  <si>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</si>
  <si>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</si>
  <si>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</si>
  <si>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</si>
  <si>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</si>
  <si>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</si>
  <si>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</si>
  <si>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</si>
  <si>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</si>
  <si>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</si>
  <si>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</si>
  <si>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</si>
  <si>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</si>
  <si>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</si>
  <si>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</si>
  <si>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</si>
  <si>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</si>
  <si>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</si>
  <si>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</si>
  <si>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</si>
  <si>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</si>
  <si>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</si>
  <si>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</si>
  <si>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</si>
  <si>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</si>
  <si>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</si>
  <si>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</si>
  <si>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</si>
  <si>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</si>
  <si>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</si>
  <si>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</si>
  <si>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</si>
  <si>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</si>
  <si>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</si>
  <si>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</si>
  <si>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</si>
  <si>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</si>
  <si>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</si>
  <si>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</si>
  <si>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</si>
  <si>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</si>
  <si>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</si>
  <si>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</si>
  <si>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</si>
  <si>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</si>
  <si>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</si>
  <si>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</si>
  <si>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</si>
  <si>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</si>
  <si>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</si>
  <si>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</si>
  <si>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</si>
  <si>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</si>
  <si>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</si>
  <si>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</si>
  <si>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</si>
  <si>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</si>
  <si>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</si>
  <si>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</si>
  <si>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</si>
  <si>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</si>
  <si>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</si>
  <si>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</si>
  <si>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</si>
  <si>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</si>
  <si>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</si>
  <si>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</si>
  <si>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</si>
  <si>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</si>
  <si>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</si>
  <si>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</si>
  <si>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</si>
  <si>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</si>
  <si>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</si>
  <si>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</si>
  <si>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</si>
  <si>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</si>
  <si>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</si>
  <si>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</si>
  <si>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</si>
  <si>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</si>
  <si>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</si>
  <si>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</si>
  <si>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</si>
  <si>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</si>
  <si>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</si>
  <si>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</si>
  <si>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</si>
  <si>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</si>
  <si>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</si>
  <si>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</si>
  <si>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</si>
  <si>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</si>
  <si>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</si>
  <si>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</si>
  <si>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</si>
  <si>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</si>
  <si>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</si>
  <si>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</si>
  <si>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</si>
  <si>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</si>
  <si>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</si>
  <si>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</si>
  <si>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</si>
  <si>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36012</t>
  </si>
  <si>
    <t>MOORSLEDE</t>
  </si>
  <si>
    <t>referentietaak LNE (2017); Jaarverslag De Lijn</t>
  </si>
  <si>
    <t>waterkracht</t>
  </si>
  <si>
    <t>interne verbrandingsmotor</t>
  </si>
  <si>
    <t>WKK interne verbrandinsgmotor (gas)</t>
  </si>
  <si>
    <t>GASELWEST</t>
  </si>
  <si>
    <t>Brandstofcel</t>
  </si>
  <si>
    <t>brandstofcel</t>
  </si>
  <si>
    <t>Gaselwest (via EANDIS)</t>
  </si>
  <si>
    <t>Interne verbrandingsmotor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</si>
</sst>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3B214B1-11F3-41AB-8BFD-BAD6327A476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89724.26282847549</c:v>
                </c:pt>
                <c:pt idx="1">
                  <c:v>46426.376430900884</c:v>
                </c:pt>
                <c:pt idx="2">
                  <c:v>873.66</c:v>
                </c:pt>
                <c:pt idx="3">
                  <c:v>9177.1987875533141</c:v>
                </c:pt>
                <c:pt idx="4">
                  <c:v>45406.831574742981</c:v>
                </c:pt>
                <c:pt idx="5">
                  <c:v>37852.237049721356</c:v>
                </c:pt>
                <c:pt idx="6">
                  <c:v>1179.4235609102716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89724.26282847549</c:v>
                </c:pt>
                <c:pt idx="1">
                  <c:v>46426.376430900884</c:v>
                </c:pt>
                <c:pt idx="2">
                  <c:v>873.66</c:v>
                </c:pt>
                <c:pt idx="3">
                  <c:v>9177.1987875533141</c:v>
                </c:pt>
                <c:pt idx="4">
                  <c:v>45406.831574742981</c:v>
                </c:pt>
                <c:pt idx="5">
                  <c:v>37852.237049721356</c:v>
                </c:pt>
                <c:pt idx="6">
                  <c:v>1179.4235609102716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17644.195699875523</c:v>
                </c:pt>
                <c:pt idx="1">
                  <c:v>7030.9149918301209</c:v>
                </c:pt>
                <c:pt idx="2">
                  <c:v>153.40360510693282</c:v>
                </c:pt>
                <c:pt idx="3">
                  <c:v>2293.0900021211569</c:v>
                </c:pt>
                <c:pt idx="4">
                  <c:v>8571.6197909916264</c:v>
                </c:pt>
                <c:pt idx="5">
                  <c:v>9347.0911546584321</c:v>
                </c:pt>
                <c:pt idx="6">
                  <c:v>296.45671693334685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17644.195699875523</c:v>
                </c:pt>
                <c:pt idx="1">
                  <c:v>7030.9149918301209</c:v>
                </c:pt>
                <c:pt idx="2">
                  <c:v>153.40360510693282</c:v>
                </c:pt>
                <c:pt idx="3">
                  <c:v>2293.0900021211569</c:v>
                </c:pt>
                <c:pt idx="4">
                  <c:v>8571.6197909916264</c:v>
                </c:pt>
                <c:pt idx="5">
                  <c:v>9347.0911546584321</c:v>
                </c:pt>
                <c:pt idx="6">
                  <c:v>296.45671693334685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36012</v>
      </c>
      <c r="B6" s="384"/>
      <c r="C6" s="385"/>
    </row>
    <row r="7" spans="1:7" s="382" customFormat="1" ht="15.75" customHeight="1">
      <c r="A7" s="386" t="str">
        <f>txtMunicipality</f>
        <v>MOORSLEDE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21278.195582906756</v>
      </c>
      <c r="D10" s="681">
        <f ca="1">tertiair!C16</f>
        <v>9779.3185328185318</v>
      </c>
      <c r="E10" s="681">
        <f ca="1">tertiair!D16</f>
        <v>13717.564147300509</v>
      </c>
      <c r="F10" s="681">
        <f>tertiair!E16</f>
        <v>50.195779804596327</v>
      </c>
      <c r="G10" s="681">
        <f ca="1">tertiair!F16</f>
        <v>2292.6456141576568</v>
      </c>
      <c r="H10" s="681">
        <f>tertiair!G16</f>
        <v>0</v>
      </c>
      <c r="I10" s="681">
        <f>tertiair!H16</f>
        <v>0</v>
      </c>
      <c r="J10" s="681">
        <f>tertiair!I16</f>
        <v>0</v>
      </c>
      <c r="K10" s="681">
        <f>tertiair!J16</f>
        <v>1.3055164142969873E-2</v>
      </c>
      <c r="L10" s="681">
        <f>tertiair!K16</f>
        <v>0</v>
      </c>
      <c r="M10" s="681">
        <f ca="1">tertiair!L16</f>
        <v>0</v>
      </c>
      <c r="N10" s="681">
        <f>tertiair!M16</f>
        <v>0</v>
      </c>
      <c r="O10" s="681">
        <f ca="1">tertiair!N16</f>
        <v>0</v>
      </c>
      <c r="P10" s="681">
        <f>tertiair!O16</f>
        <v>24.486303829205774</v>
      </c>
      <c r="Q10" s="682">
        <f>tertiair!P16</f>
        <v>157.61741491948504</v>
      </c>
      <c r="R10" s="684">
        <f ca="1">SUM(C10:Q10)</f>
        <v>47300.03643090088</v>
      </c>
      <c r="S10" s="67"/>
    </row>
    <row r="11" spans="1:19" s="443" customFormat="1">
      <c r="A11" s="802" t="s">
        <v>214</v>
      </c>
      <c r="B11" s="807"/>
      <c r="C11" s="681">
        <f>huishoudens!B8</f>
        <v>18334.837597105205</v>
      </c>
      <c r="D11" s="681">
        <f>huishoudens!C8</f>
        <v>0</v>
      </c>
      <c r="E11" s="681">
        <f>huishoudens!D8</f>
        <v>41216.038010456439</v>
      </c>
      <c r="F11" s="681">
        <f>huishoudens!E8</f>
        <v>996.55757196492971</v>
      </c>
      <c r="G11" s="681">
        <f>huishoudens!F8</f>
        <v>21831.193363354312</v>
      </c>
      <c r="H11" s="681">
        <f>huishoudens!G8</f>
        <v>0</v>
      </c>
      <c r="I11" s="681">
        <f>huishoudens!H8</f>
        <v>0</v>
      </c>
      <c r="J11" s="681">
        <f>huishoudens!I8</f>
        <v>0</v>
      </c>
      <c r="K11" s="681">
        <f>huishoudens!J8</f>
        <v>124.41835873742139</v>
      </c>
      <c r="L11" s="681">
        <f>huishoudens!K8</f>
        <v>0</v>
      </c>
      <c r="M11" s="681">
        <f>huishoudens!L8</f>
        <v>0</v>
      </c>
      <c r="N11" s="681">
        <f>huishoudens!M8</f>
        <v>0</v>
      </c>
      <c r="O11" s="681">
        <f>huishoudens!N8</f>
        <v>6129.3747761218947</v>
      </c>
      <c r="P11" s="681">
        <f>huishoudens!O8</f>
        <v>501.94142950491909</v>
      </c>
      <c r="Q11" s="682">
        <f>huishoudens!P8</f>
        <v>589.90172123036132</v>
      </c>
      <c r="R11" s="684">
        <f>SUM(C11:Q11)</f>
        <v>89724.26282847549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21344.514416313476</v>
      </c>
      <c r="D13" s="681">
        <f>industrie!C18</f>
        <v>0</v>
      </c>
      <c r="E13" s="681">
        <f>industrie!D18</f>
        <v>21153.678276272985</v>
      </c>
      <c r="F13" s="681">
        <f>industrie!E18</f>
        <v>55.406360967320424</v>
      </c>
      <c r="G13" s="681">
        <f>industrie!F18</f>
        <v>2009.9615392872565</v>
      </c>
      <c r="H13" s="681">
        <f>industrie!G18</f>
        <v>0</v>
      </c>
      <c r="I13" s="681">
        <f>industrie!H18</f>
        <v>0</v>
      </c>
      <c r="J13" s="681">
        <f>industrie!I18</f>
        <v>0</v>
      </c>
      <c r="K13" s="681">
        <f>industrie!J18</f>
        <v>4.2769377705074412</v>
      </c>
      <c r="L13" s="681">
        <f>industrie!K18</f>
        <v>0</v>
      </c>
      <c r="M13" s="681">
        <f>industrie!L18</f>
        <v>0</v>
      </c>
      <c r="N13" s="681">
        <f>industrie!M18</f>
        <v>0</v>
      </c>
      <c r="O13" s="681">
        <f>industrie!N18</f>
        <v>838.99404413143645</v>
      </c>
      <c r="P13" s="681">
        <f>industrie!O18</f>
        <v>0</v>
      </c>
      <c r="Q13" s="682">
        <f>industrie!P18</f>
        <v>0</v>
      </c>
      <c r="R13" s="684">
        <f>SUM(C13:Q13)</f>
        <v>45406.831574742981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60957.547596325436</v>
      </c>
      <c r="D16" s="717">
        <f t="shared" ref="D16:R16" ca="1" si="0">SUM(D9:D15)</f>
        <v>9779.3185328185318</v>
      </c>
      <c r="E16" s="717">
        <f t="shared" ca="1" si="0"/>
        <v>76087.280434029934</v>
      </c>
      <c r="F16" s="717">
        <f t="shared" si="0"/>
        <v>1102.1597127368464</v>
      </c>
      <c r="G16" s="717">
        <f t="shared" ca="1" si="0"/>
        <v>26133.800516799223</v>
      </c>
      <c r="H16" s="717">
        <f t="shared" si="0"/>
        <v>0</v>
      </c>
      <c r="I16" s="717">
        <f t="shared" si="0"/>
        <v>0</v>
      </c>
      <c r="J16" s="717">
        <f t="shared" si="0"/>
        <v>0</v>
      </c>
      <c r="K16" s="717">
        <f t="shared" si="0"/>
        <v>128.70835167207179</v>
      </c>
      <c r="L16" s="717">
        <f t="shared" si="0"/>
        <v>0</v>
      </c>
      <c r="M16" s="717">
        <f t="shared" ca="1" si="0"/>
        <v>0</v>
      </c>
      <c r="N16" s="717">
        <f t="shared" si="0"/>
        <v>0</v>
      </c>
      <c r="O16" s="717">
        <f t="shared" ca="1" si="0"/>
        <v>6968.3688202533313</v>
      </c>
      <c r="P16" s="717">
        <f t="shared" si="0"/>
        <v>526.42773333412481</v>
      </c>
      <c r="Q16" s="717">
        <f t="shared" si="0"/>
        <v>747.51913614984642</v>
      </c>
      <c r="R16" s="717">
        <f t="shared" ca="1" si="0"/>
        <v>182431.13083411934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17.551585699630262</v>
      </c>
      <c r="D19" s="681">
        <f>transport!C54</f>
        <v>0</v>
      </c>
      <c r="E19" s="681">
        <f>transport!D54</f>
        <v>0</v>
      </c>
      <c r="F19" s="681">
        <f>transport!E54</f>
        <v>0</v>
      </c>
      <c r="G19" s="681">
        <f>transport!F54</f>
        <v>0</v>
      </c>
      <c r="H19" s="681">
        <f>transport!G54</f>
        <v>1098.7823269567034</v>
      </c>
      <c r="I19" s="681">
        <f>transport!H54</f>
        <v>0</v>
      </c>
      <c r="J19" s="681">
        <f>transport!I54</f>
        <v>0</v>
      </c>
      <c r="K19" s="681">
        <f>transport!J54</f>
        <v>0</v>
      </c>
      <c r="L19" s="681">
        <f>transport!K54</f>
        <v>0</v>
      </c>
      <c r="M19" s="681">
        <f>transport!L54</f>
        <v>0</v>
      </c>
      <c r="N19" s="681">
        <f>transport!M54</f>
        <v>63.089648253937817</v>
      </c>
      <c r="O19" s="681">
        <f>transport!N54</f>
        <v>0</v>
      </c>
      <c r="P19" s="681">
        <f>transport!O54</f>
        <v>0</v>
      </c>
      <c r="Q19" s="682">
        <f>transport!P54</f>
        <v>0</v>
      </c>
      <c r="R19" s="684">
        <f>SUM(C19:Q19)</f>
        <v>1179.4235609102716</v>
      </c>
      <c r="S19" s="67"/>
    </row>
    <row r="20" spans="1:19" s="443" customFormat="1">
      <c r="A20" s="802" t="s">
        <v>296</v>
      </c>
      <c r="B20" s="807"/>
      <c r="C20" s="681">
        <f>transport!B14</f>
        <v>85.66140370228743</v>
      </c>
      <c r="D20" s="681">
        <f>transport!C14</f>
        <v>0</v>
      </c>
      <c r="E20" s="681">
        <f>transport!D14</f>
        <v>185.27610922595096</v>
      </c>
      <c r="F20" s="681">
        <f>transport!E14</f>
        <v>70.788456857123265</v>
      </c>
      <c r="G20" s="681">
        <f>transport!F14</f>
        <v>0</v>
      </c>
      <c r="H20" s="681">
        <f>transport!G14</f>
        <v>26344.942406642091</v>
      </c>
      <c r="I20" s="681">
        <f>transport!H14</f>
        <v>9013.8784067251017</v>
      </c>
      <c r="J20" s="681">
        <f>transport!I14</f>
        <v>0</v>
      </c>
      <c r="K20" s="681">
        <f>transport!J14</f>
        <v>0</v>
      </c>
      <c r="L20" s="681">
        <f>transport!K14</f>
        <v>0</v>
      </c>
      <c r="M20" s="681">
        <f>transport!L14</f>
        <v>0</v>
      </c>
      <c r="N20" s="681">
        <f>transport!M14</f>
        <v>2151.6902665688053</v>
      </c>
      <c r="O20" s="681">
        <f>transport!N14</f>
        <v>0</v>
      </c>
      <c r="P20" s="681">
        <f>transport!O14</f>
        <v>0</v>
      </c>
      <c r="Q20" s="682">
        <f>transport!P14</f>
        <v>0</v>
      </c>
      <c r="R20" s="684">
        <f>SUM(C20:Q20)</f>
        <v>37852.237049721356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103.2129894019177</v>
      </c>
      <c r="D22" s="805">
        <f t="shared" ref="D22:R22" si="1">SUM(D18:D21)</f>
        <v>0</v>
      </c>
      <c r="E22" s="805">
        <f t="shared" si="1"/>
        <v>185.27610922595096</v>
      </c>
      <c r="F22" s="805">
        <f t="shared" si="1"/>
        <v>70.788456857123265</v>
      </c>
      <c r="G22" s="805">
        <f t="shared" si="1"/>
        <v>0</v>
      </c>
      <c r="H22" s="805">
        <f t="shared" si="1"/>
        <v>27443.724733598792</v>
      </c>
      <c r="I22" s="805">
        <f t="shared" si="1"/>
        <v>9013.8784067251017</v>
      </c>
      <c r="J22" s="805">
        <f t="shared" si="1"/>
        <v>0</v>
      </c>
      <c r="K22" s="805">
        <f t="shared" si="1"/>
        <v>0</v>
      </c>
      <c r="L22" s="805">
        <f t="shared" si="1"/>
        <v>0</v>
      </c>
      <c r="M22" s="805">
        <f t="shared" si="1"/>
        <v>0</v>
      </c>
      <c r="N22" s="805">
        <f t="shared" si="1"/>
        <v>2214.7799148227432</v>
      </c>
      <c r="O22" s="805">
        <f t="shared" si="1"/>
        <v>0</v>
      </c>
      <c r="P22" s="805">
        <f t="shared" si="1"/>
        <v>0</v>
      </c>
      <c r="Q22" s="805">
        <f t="shared" si="1"/>
        <v>0</v>
      </c>
      <c r="R22" s="805">
        <f t="shared" si="1"/>
        <v>39031.660610631625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2008.5897464790401</v>
      </c>
      <c r="D24" s="681">
        <f>+landbouw!C8</f>
        <v>0</v>
      </c>
      <c r="E24" s="681">
        <f>+landbouw!D8</f>
        <v>242.20075899396764</v>
      </c>
      <c r="F24" s="681">
        <f>+landbouw!E8</f>
        <v>57.529409495326405</v>
      </c>
      <c r="G24" s="681">
        <f>+landbouw!F8</f>
        <v>6358.1575745779401</v>
      </c>
      <c r="H24" s="681">
        <f>+landbouw!G8</f>
        <v>0</v>
      </c>
      <c r="I24" s="681">
        <f>+landbouw!H8</f>
        <v>0</v>
      </c>
      <c r="J24" s="681">
        <f>+landbouw!I8</f>
        <v>0</v>
      </c>
      <c r="K24" s="681">
        <f>+landbouw!J8</f>
        <v>510.72129800704005</v>
      </c>
      <c r="L24" s="681">
        <f>+landbouw!K8</f>
        <v>0</v>
      </c>
      <c r="M24" s="681">
        <f>+landbouw!L8</f>
        <v>0</v>
      </c>
      <c r="N24" s="681">
        <f>+landbouw!M8</f>
        <v>0</v>
      </c>
      <c r="O24" s="681">
        <f>+landbouw!N8</f>
        <v>0</v>
      </c>
      <c r="P24" s="681">
        <f>+landbouw!O8</f>
        <v>0</v>
      </c>
      <c r="Q24" s="682">
        <f>+landbouw!P8</f>
        <v>0</v>
      </c>
      <c r="R24" s="684">
        <f>SUM(C24:Q24)</f>
        <v>9177.1987875533141</v>
      </c>
      <c r="S24" s="67"/>
    </row>
    <row r="25" spans="1:19" s="443" customFormat="1" ht="15" thickBot="1">
      <c r="A25" s="824" t="s">
        <v>690</v>
      </c>
      <c r="B25" s="937"/>
      <c r="C25" s="938">
        <f>IF(Onbekend_ele_kWh="---",0,Onbekend_ele_kWh)/1000+IF(REST_rest_ele_kWh="---",0,REST_rest_ele_kWh)/1000</f>
        <v>563.947853163118</v>
      </c>
      <c r="D25" s="938"/>
      <c r="E25" s="938">
        <f>IF(onbekend_gas_kWh="---",0,onbekend_gas_kWh)/1000+IF(REST_rest_gas_kWh="---",0,REST_rest_gas_kWh)/1000</f>
        <v>942.14946801352608</v>
      </c>
      <c r="F25" s="938"/>
      <c r="G25" s="938"/>
      <c r="H25" s="938"/>
      <c r="I25" s="938"/>
      <c r="J25" s="938"/>
      <c r="K25" s="938"/>
      <c r="L25" s="938"/>
      <c r="M25" s="938"/>
      <c r="N25" s="938"/>
      <c r="O25" s="938"/>
      <c r="P25" s="938"/>
      <c r="Q25" s="939"/>
      <c r="R25" s="684">
        <f>SUM(C25:Q25)</f>
        <v>1506.0973211766441</v>
      </c>
      <c r="S25" s="67"/>
    </row>
    <row r="26" spans="1:19" s="443" customFormat="1" ht="15.75" thickBot="1">
      <c r="A26" s="689" t="s">
        <v>691</v>
      </c>
      <c r="B26" s="810"/>
      <c r="C26" s="805">
        <f>SUM(C24:C25)</f>
        <v>2572.5375996421581</v>
      </c>
      <c r="D26" s="805">
        <f t="shared" ref="D26:R26" si="2">SUM(D24:D25)</f>
        <v>0</v>
      </c>
      <c r="E26" s="805">
        <f t="shared" si="2"/>
        <v>1184.3502270074937</v>
      </c>
      <c r="F26" s="805">
        <f t="shared" si="2"/>
        <v>57.529409495326405</v>
      </c>
      <c r="G26" s="805">
        <f t="shared" si="2"/>
        <v>6358.1575745779401</v>
      </c>
      <c r="H26" s="805">
        <f t="shared" si="2"/>
        <v>0</v>
      </c>
      <c r="I26" s="805">
        <f t="shared" si="2"/>
        <v>0</v>
      </c>
      <c r="J26" s="805">
        <f t="shared" si="2"/>
        <v>0</v>
      </c>
      <c r="K26" s="805">
        <f t="shared" si="2"/>
        <v>510.72129800704005</v>
      </c>
      <c r="L26" s="805">
        <f t="shared" si="2"/>
        <v>0</v>
      </c>
      <c r="M26" s="805">
        <f t="shared" si="2"/>
        <v>0</v>
      </c>
      <c r="N26" s="805">
        <f t="shared" si="2"/>
        <v>0</v>
      </c>
      <c r="O26" s="805">
        <f t="shared" si="2"/>
        <v>0</v>
      </c>
      <c r="P26" s="805">
        <f t="shared" si="2"/>
        <v>0</v>
      </c>
      <c r="Q26" s="805">
        <f t="shared" si="2"/>
        <v>0</v>
      </c>
      <c r="R26" s="805">
        <f t="shared" si="2"/>
        <v>10683.296108729959</v>
      </c>
      <c r="S26" s="67"/>
    </row>
    <row r="27" spans="1:19" s="443" customFormat="1" ht="17.25" thickTop="1" thickBot="1">
      <c r="A27" s="690" t="s">
        <v>109</v>
      </c>
      <c r="B27" s="797"/>
      <c r="C27" s="691">
        <f ca="1">C22+C16+C26</f>
        <v>63633.298185369509</v>
      </c>
      <c r="D27" s="691">
        <f t="shared" ref="D27:R27" ca="1" si="3">D22+D16+D26</f>
        <v>9779.3185328185318</v>
      </c>
      <c r="E27" s="691">
        <f t="shared" ca="1" si="3"/>
        <v>77456.906770263377</v>
      </c>
      <c r="F27" s="691">
        <f t="shared" si="3"/>
        <v>1230.4775790892961</v>
      </c>
      <c r="G27" s="691">
        <f t="shared" ca="1" si="3"/>
        <v>32491.958091377164</v>
      </c>
      <c r="H27" s="691">
        <f t="shared" si="3"/>
        <v>27443.724733598792</v>
      </c>
      <c r="I27" s="691">
        <f t="shared" si="3"/>
        <v>9013.8784067251017</v>
      </c>
      <c r="J27" s="691">
        <f t="shared" si="3"/>
        <v>0</v>
      </c>
      <c r="K27" s="691">
        <f t="shared" si="3"/>
        <v>639.42964967911189</v>
      </c>
      <c r="L27" s="691">
        <f t="shared" si="3"/>
        <v>0</v>
      </c>
      <c r="M27" s="691">
        <f t="shared" ca="1" si="3"/>
        <v>0</v>
      </c>
      <c r="N27" s="691">
        <f t="shared" si="3"/>
        <v>2214.7799148227432</v>
      </c>
      <c r="O27" s="691">
        <f t="shared" ca="1" si="3"/>
        <v>6968.3688202533313</v>
      </c>
      <c r="P27" s="691">
        <f t="shared" si="3"/>
        <v>526.42773333412481</v>
      </c>
      <c r="Q27" s="691">
        <f t="shared" si="3"/>
        <v>747.51913614984642</v>
      </c>
      <c r="R27" s="691">
        <f t="shared" ca="1" si="3"/>
        <v>232146.08755348093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3736.1810230390661</v>
      </c>
      <c r="D40" s="681">
        <f ca="1">tertiair!C20</f>
        <v>53.654173619441302</v>
      </c>
      <c r="E40" s="681">
        <f ca="1">tertiair!D20</f>
        <v>2770.9479577547031</v>
      </c>
      <c r="F40" s="681">
        <f>tertiair!E20</f>
        <v>11.394442015643367</v>
      </c>
      <c r="G40" s="681">
        <f ca="1">tertiair!F20</f>
        <v>612.13637898009438</v>
      </c>
      <c r="H40" s="681">
        <f>tertiair!G20</f>
        <v>0</v>
      </c>
      <c r="I40" s="681">
        <f>tertiair!H20</f>
        <v>0</v>
      </c>
      <c r="J40" s="681">
        <f>tertiair!I20</f>
        <v>0</v>
      </c>
      <c r="K40" s="681">
        <f>tertiair!J20</f>
        <v>4.621528106611335E-3</v>
      </c>
      <c r="L40" s="681">
        <f>tertiair!K20</f>
        <v>0</v>
      </c>
      <c r="M40" s="681">
        <f ca="1">tertiair!L20</f>
        <v>0</v>
      </c>
      <c r="N40" s="681">
        <f>tertiair!M20</f>
        <v>0</v>
      </c>
      <c r="O40" s="681">
        <f ca="1">tertiair!N20</f>
        <v>0</v>
      </c>
      <c r="P40" s="681">
        <f>tertiair!O20</f>
        <v>0</v>
      </c>
      <c r="Q40" s="764">
        <f>tertiair!P20</f>
        <v>0</v>
      </c>
      <c r="R40" s="843">
        <f t="shared" ca="1" si="4"/>
        <v>7184.3185969370543</v>
      </c>
    </row>
    <row r="41" spans="1:18">
      <c r="A41" s="815" t="s">
        <v>214</v>
      </c>
      <c r="B41" s="822"/>
      <c r="C41" s="681">
        <f ca="1">huishoudens!B12</f>
        <v>3219.3647259186318</v>
      </c>
      <c r="D41" s="681">
        <f ca="1">huishoudens!C12</f>
        <v>0</v>
      </c>
      <c r="E41" s="681">
        <f>huishoudens!D12</f>
        <v>8325.6396781122021</v>
      </c>
      <c r="F41" s="681">
        <f>huishoudens!E12</f>
        <v>226.21856883603905</v>
      </c>
      <c r="G41" s="681">
        <f>huishoudens!F12</f>
        <v>5828.928628015602</v>
      </c>
      <c r="H41" s="681">
        <f>huishoudens!G12</f>
        <v>0</v>
      </c>
      <c r="I41" s="681">
        <f>huishoudens!H12</f>
        <v>0</v>
      </c>
      <c r="J41" s="681">
        <f>huishoudens!I12</f>
        <v>0</v>
      </c>
      <c r="K41" s="681">
        <f>huishoudens!J12</f>
        <v>44.044098993047172</v>
      </c>
      <c r="L41" s="681">
        <f>huishoudens!K12</f>
        <v>0</v>
      </c>
      <c r="M41" s="681">
        <f>huishoudens!L12</f>
        <v>0</v>
      </c>
      <c r="N41" s="681">
        <f>huishoudens!M12</f>
        <v>0</v>
      </c>
      <c r="O41" s="681">
        <f>huishoudens!N12</f>
        <v>0</v>
      </c>
      <c r="P41" s="681">
        <f>huishoudens!O12</f>
        <v>0</v>
      </c>
      <c r="Q41" s="764">
        <f>huishoudens!P12</f>
        <v>0</v>
      </c>
      <c r="R41" s="843">
        <f t="shared" ca="1" si="4"/>
        <v>17644.195699875523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3747.8257682844437</v>
      </c>
      <c r="D43" s="681">
        <f ca="1">industrie!C22</f>
        <v>0</v>
      </c>
      <c r="E43" s="681">
        <f>industrie!D22</f>
        <v>4273.0430118071436</v>
      </c>
      <c r="F43" s="681">
        <f>industrie!E22</f>
        <v>12.577243939581736</v>
      </c>
      <c r="G43" s="681">
        <f>industrie!F22</f>
        <v>536.65973098969755</v>
      </c>
      <c r="H43" s="681">
        <f>industrie!G22</f>
        <v>0</v>
      </c>
      <c r="I43" s="681">
        <f>industrie!H22</f>
        <v>0</v>
      </c>
      <c r="J43" s="681">
        <f>industrie!I22</f>
        <v>0</v>
      </c>
      <c r="K43" s="681">
        <f>industrie!J22</f>
        <v>1.514035970759634</v>
      </c>
      <c r="L43" s="681">
        <f>industrie!K22</f>
        <v>0</v>
      </c>
      <c r="M43" s="681">
        <f>industrie!L22</f>
        <v>0</v>
      </c>
      <c r="N43" s="681">
        <f>industrie!M22</f>
        <v>0</v>
      </c>
      <c r="O43" s="681">
        <f>industrie!N22</f>
        <v>0</v>
      </c>
      <c r="P43" s="681">
        <f>industrie!O22</f>
        <v>0</v>
      </c>
      <c r="Q43" s="764">
        <f>industrie!P22</f>
        <v>0</v>
      </c>
      <c r="R43" s="842">
        <f t="shared" ca="1" si="4"/>
        <v>8571.6197909916264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10703.371517242142</v>
      </c>
      <c r="D46" s="717">
        <f t="shared" ref="D46:Q46" ca="1" si="5">SUM(D39:D45)</f>
        <v>53.654173619441302</v>
      </c>
      <c r="E46" s="717">
        <f t="shared" ca="1" si="5"/>
        <v>15369.630647674048</v>
      </c>
      <c r="F46" s="717">
        <f t="shared" si="5"/>
        <v>250.19025479126415</v>
      </c>
      <c r="G46" s="717">
        <f t="shared" ca="1" si="5"/>
        <v>6977.7247379853943</v>
      </c>
      <c r="H46" s="717">
        <f t="shared" si="5"/>
        <v>0</v>
      </c>
      <c r="I46" s="717">
        <f t="shared" si="5"/>
        <v>0</v>
      </c>
      <c r="J46" s="717">
        <f t="shared" si="5"/>
        <v>0</v>
      </c>
      <c r="K46" s="717">
        <f t="shared" si="5"/>
        <v>45.562756491913419</v>
      </c>
      <c r="L46" s="717">
        <f t="shared" si="5"/>
        <v>0</v>
      </c>
      <c r="M46" s="717">
        <f t="shared" ca="1" si="5"/>
        <v>0</v>
      </c>
      <c r="N46" s="717">
        <f t="shared" si="5"/>
        <v>0</v>
      </c>
      <c r="O46" s="717">
        <f t="shared" ca="1" si="5"/>
        <v>0</v>
      </c>
      <c r="P46" s="717">
        <f t="shared" si="5"/>
        <v>0</v>
      </c>
      <c r="Q46" s="717">
        <f t="shared" si="5"/>
        <v>0</v>
      </c>
      <c r="R46" s="717">
        <f ca="1">SUM(R39:R45)</f>
        <v>33400.134087804203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3.0818356359070691</v>
      </c>
      <c r="D49" s="681">
        <f ca="1">transport!C58</f>
        <v>0</v>
      </c>
      <c r="E49" s="681">
        <f>transport!D58</f>
        <v>0</v>
      </c>
      <c r="F49" s="681">
        <f>transport!E58</f>
        <v>0</v>
      </c>
      <c r="G49" s="681">
        <f>transport!F58</f>
        <v>0</v>
      </c>
      <c r="H49" s="681">
        <f>transport!G58</f>
        <v>293.3748812974398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296.45671693334685</v>
      </c>
    </row>
    <row r="50" spans="1:18">
      <c r="A50" s="818" t="s">
        <v>296</v>
      </c>
      <c r="B50" s="828"/>
      <c r="C50" s="687">
        <f ca="1">transport!B18</f>
        <v>15.041055040234479</v>
      </c>
      <c r="D50" s="687">
        <f>transport!C18</f>
        <v>0</v>
      </c>
      <c r="E50" s="687">
        <f>transport!D18</f>
        <v>37.425774063642095</v>
      </c>
      <c r="F50" s="687">
        <f>transport!E18</f>
        <v>16.068979706566981</v>
      </c>
      <c r="G50" s="687">
        <f>transport!F18</f>
        <v>0</v>
      </c>
      <c r="H50" s="687">
        <f>transport!G18</f>
        <v>7034.0996225734389</v>
      </c>
      <c r="I50" s="687">
        <f>transport!H18</f>
        <v>2244.4557232745501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9347.0911546584321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18.122890676141548</v>
      </c>
      <c r="D52" s="717">
        <f t="shared" ref="D52:Q52" ca="1" si="6">SUM(D48:D51)</f>
        <v>0</v>
      </c>
      <c r="E52" s="717">
        <f t="shared" si="6"/>
        <v>37.425774063642095</v>
      </c>
      <c r="F52" s="717">
        <f t="shared" si="6"/>
        <v>16.068979706566981</v>
      </c>
      <c r="G52" s="717">
        <f t="shared" si="6"/>
        <v>0</v>
      </c>
      <c r="H52" s="717">
        <f t="shared" si="6"/>
        <v>7327.4745038708788</v>
      </c>
      <c r="I52" s="717">
        <f t="shared" si="6"/>
        <v>2244.4557232745501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9643.5478715917798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352.6828609421342</v>
      </c>
      <c r="D54" s="687">
        <f ca="1">+landbouw!C12</f>
        <v>0</v>
      </c>
      <c r="E54" s="687">
        <f>+landbouw!D12</f>
        <v>48.924553316781463</v>
      </c>
      <c r="F54" s="687">
        <f>+landbouw!E12</f>
        <v>13.059175955439095</v>
      </c>
      <c r="G54" s="687">
        <f>+landbouw!F12</f>
        <v>1697.6280724123101</v>
      </c>
      <c r="H54" s="687">
        <f>+landbouw!G12</f>
        <v>0</v>
      </c>
      <c r="I54" s="687">
        <f>+landbouw!H12</f>
        <v>0</v>
      </c>
      <c r="J54" s="687">
        <f>+landbouw!I12</f>
        <v>0</v>
      </c>
      <c r="K54" s="687">
        <f>+landbouw!J12</f>
        <v>180.79533949449217</v>
      </c>
      <c r="L54" s="687">
        <f>+landbouw!K12</f>
        <v>0</v>
      </c>
      <c r="M54" s="687">
        <f>+landbouw!L12</f>
        <v>0</v>
      </c>
      <c r="N54" s="687">
        <f>+landbouw!M12</f>
        <v>0</v>
      </c>
      <c r="O54" s="687">
        <f>+landbouw!N12</f>
        <v>0</v>
      </c>
      <c r="P54" s="687">
        <f>+landbouw!O12</f>
        <v>0</v>
      </c>
      <c r="Q54" s="688">
        <f>+landbouw!P12</f>
        <v>0</v>
      </c>
      <c r="R54" s="716">
        <f ca="1">SUM(C54:Q54)</f>
        <v>2293.0900021211569</v>
      </c>
    </row>
    <row r="55" spans="1:18" ht="15" thickBot="1">
      <c r="A55" s="818" t="s">
        <v>690</v>
      </c>
      <c r="B55" s="828"/>
      <c r="C55" s="687">
        <f ca="1">C25*'EF ele_warmte'!B12</f>
        <v>99.022083839866184</v>
      </c>
      <c r="D55" s="687"/>
      <c r="E55" s="687">
        <f>E25*EF_CO2_aardgas</f>
        <v>190.31419253873227</v>
      </c>
      <c r="F55" s="687"/>
      <c r="G55" s="687"/>
      <c r="H55" s="687"/>
      <c r="I55" s="687"/>
      <c r="J55" s="687"/>
      <c r="K55" s="687"/>
      <c r="L55" s="687"/>
      <c r="M55" s="687"/>
      <c r="N55" s="687"/>
      <c r="O55" s="687"/>
      <c r="P55" s="687"/>
      <c r="Q55" s="688"/>
      <c r="R55" s="716">
        <f ca="1">SUM(C55:Q55)</f>
        <v>289.33627637859843</v>
      </c>
    </row>
    <row r="56" spans="1:18" ht="15.75" thickBot="1">
      <c r="A56" s="816" t="s">
        <v>691</v>
      </c>
      <c r="B56" s="829"/>
      <c r="C56" s="717">
        <f ca="1">SUM(C54:C55)</f>
        <v>451.70494478200038</v>
      </c>
      <c r="D56" s="717">
        <f t="shared" ref="D56:Q56" ca="1" si="7">SUM(D54:D55)</f>
        <v>0</v>
      </c>
      <c r="E56" s="717">
        <f t="shared" si="7"/>
        <v>239.23874585551374</v>
      </c>
      <c r="F56" s="717">
        <f t="shared" si="7"/>
        <v>13.059175955439095</v>
      </c>
      <c r="G56" s="717">
        <f t="shared" si="7"/>
        <v>1697.6280724123101</v>
      </c>
      <c r="H56" s="717">
        <f t="shared" si="7"/>
        <v>0</v>
      </c>
      <c r="I56" s="717">
        <f t="shared" si="7"/>
        <v>0</v>
      </c>
      <c r="J56" s="717">
        <f t="shared" si="7"/>
        <v>0</v>
      </c>
      <c r="K56" s="717">
        <f t="shared" si="7"/>
        <v>180.79533949449217</v>
      </c>
      <c r="L56" s="717">
        <f t="shared" si="7"/>
        <v>0</v>
      </c>
      <c r="M56" s="717">
        <f t="shared" si="7"/>
        <v>0</v>
      </c>
      <c r="N56" s="717">
        <f t="shared" si="7"/>
        <v>0</v>
      </c>
      <c r="O56" s="717">
        <f t="shared" si="7"/>
        <v>0</v>
      </c>
      <c r="P56" s="717">
        <f t="shared" si="7"/>
        <v>0</v>
      </c>
      <c r="Q56" s="718">
        <f t="shared" si="7"/>
        <v>0</v>
      </c>
      <c r="R56" s="719">
        <f ca="1">SUM(R54:R55)</f>
        <v>2582.4262784997554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11173.199352700283</v>
      </c>
      <c r="D61" s="725">
        <f t="shared" ref="D61:Q61" ca="1" si="8">D46+D52+D56</f>
        <v>53.654173619441302</v>
      </c>
      <c r="E61" s="725">
        <f t="shared" ca="1" si="8"/>
        <v>15646.295167593204</v>
      </c>
      <c r="F61" s="725">
        <f t="shared" si="8"/>
        <v>279.31841045327025</v>
      </c>
      <c r="G61" s="725">
        <f t="shared" ca="1" si="8"/>
        <v>8675.3528103977042</v>
      </c>
      <c r="H61" s="725">
        <f t="shared" si="8"/>
        <v>7327.4745038708788</v>
      </c>
      <c r="I61" s="725">
        <f t="shared" si="8"/>
        <v>2244.4557232745501</v>
      </c>
      <c r="J61" s="725">
        <f t="shared" si="8"/>
        <v>0</v>
      </c>
      <c r="K61" s="725">
        <f t="shared" si="8"/>
        <v>226.3580959864056</v>
      </c>
      <c r="L61" s="725">
        <f t="shared" si="8"/>
        <v>0</v>
      </c>
      <c r="M61" s="725">
        <f t="shared" ca="1" si="8"/>
        <v>0</v>
      </c>
      <c r="N61" s="725">
        <f t="shared" si="8"/>
        <v>0</v>
      </c>
      <c r="O61" s="725">
        <f t="shared" ca="1" si="8"/>
        <v>0</v>
      </c>
      <c r="P61" s="725">
        <f t="shared" si="8"/>
        <v>0</v>
      </c>
      <c r="Q61" s="725">
        <f t="shared" si="8"/>
        <v>0</v>
      </c>
      <c r="R61" s="725">
        <f ca="1">R46+R52+R56</f>
        <v>45626.108237895736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0.17558730525253854</v>
      </c>
      <c r="D63" s="771">
        <f t="shared" ca="1" si="9"/>
        <v>5.4864941191334164E-3</v>
      </c>
      <c r="E63" s="963">
        <f t="shared" ca="1" si="9"/>
        <v>0.20200000000000001</v>
      </c>
      <c r="F63" s="771">
        <f t="shared" si="9"/>
        <v>0.22700000000000004</v>
      </c>
      <c r="G63" s="771">
        <f t="shared" ca="1" si="9"/>
        <v>0.26700000000000002</v>
      </c>
      <c r="H63" s="771">
        <f t="shared" si="9"/>
        <v>0.26700000000000007</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6400.2798269633777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6687.4488513087999</v>
      </c>
      <c r="C76" s="738">
        <f>'lokale energieproductie'!B8*IFERROR(SUM(D76:H76)/SUM(D76:O76),0)</f>
        <v>158.05114869120078</v>
      </c>
      <c r="D76" s="946">
        <f>'lokale energieproductie'!C8</f>
        <v>185.92968065607826</v>
      </c>
      <c r="E76" s="947">
        <f>'lokale energieproductie'!D8</f>
        <v>0</v>
      </c>
      <c r="F76" s="947">
        <f>'lokale energieproductie'!E8</f>
        <v>0</v>
      </c>
      <c r="G76" s="947">
        <f>'lokale energieproductie'!F8</f>
        <v>0</v>
      </c>
      <c r="H76" s="947">
        <f>'lokale energieproductie'!G8</f>
        <v>0</v>
      </c>
      <c r="I76" s="947">
        <f>'lokale energieproductie'!I8</f>
        <v>0</v>
      </c>
      <c r="J76" s="947">
        <f>'lokale energieproductie'!J8</f>
        <v>7867.0432934153441</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37.557795492527809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13087.728678272179</v>
      </c>
      <c r="C78" s="743">
        <f>SUM(C72:C77)</f>
        <v>158.05114869120078</v>
      </c>
      <c r="D78" s="744">
        <f t="shared" ref="D78:H78" si="10">SUM(D76:D77)</f>
        <v>185.92968065607826</v>
      </c>
      <c r="E78" s="744">
        <f t="shared" si="10"/>
        <v>0</v>
      </c>
      <c r="F78" s="744">
        <f t="shared" si="10"/>
        <v>0</v>
      </c>
      <c r="G78" s="744">
        <f t="shared" si="10"/>
        <v>0</v>
      </c>
      <c r="H78" s="744">
        <f t="shared" si="10"/>
        <v>0</v>
      </c>
      <c r="I78" s="744">
        <f>SUM(I76:I77)</f>
        <v>0</v>
      </c>
      <c r="J78" s="744">
        <f>SUM(J76:J77)</f>
        <v>7867.0432934153441</v>
      </c>
      <c r="K78" s="744">
        <f t="shared" ref="K78:L78" si="11">SUM(K76:K77)</f>
        <v>0</v>
      </c>
      <c r="L78" s="744">
        <f t="shared" si="11"/>
        <v>0</v>
      </c>
      <c r="M78" s="744">
        <f>SUM(M76:M77)</f>
        <v>0</v>
      </c>
      <c r="N78" s="744">
        <f>SUM(N76:N77)</f>
        <v>0</v>
      </c>
      <c r="O78" s="853">
        <f>SUM(O76:O77)</f>
        <v>0</v>
      </c>
      <c r="P78" s="745">
        <v>0</v>
      </c>
      <c r="Q78" s="745">
        <f>SUM(Q76:Q77)</f>
        <v>37.557795492527809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9553.5304198203412</v>
      </c>
      <c r="C87" s="756">
        <f>'lokale energieproductie'!B17*IFERROR(SUM(D87:H87)/SUM(D87:O87),0)</f>
        <v>225.78811299819111</v>
      </c>
      <c r="D87" s="767">
        <f>'lokale energieproductie'!C17</f>
        <v>265.61472088832329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11238.670992298941</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53.654173619441309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9553.5304198203412</v>
      </c>
      <c r="C90" s="743">
        <f>SUM(C87:C89)</f>
        <v>225.78811299819111</v>
      </c>
      <c r="D90" s="743">
        <f t="shared" ref="D90:H90" si="12">SUM(D87:D89)</f>
        <v>265.61472088832329</v>
      </c>
      <c r="E90" s="743">
        <f t="shared" si="12"/>
        <v>0</v>
      </c>
      <c r="F90" s="743">
        <f t="shared" si="12"/>
        <v>0</v>
      </c>
      <c r="G90" s="743">
        <f t="shared" si="12"/>
        <v>0</v>
      </c>
      <c r="H90" s="743">
        <f t="shared" si="12"/>
        <v>0</v>
      </c>
      <c r="I90" s="743">
        <f>SUM(I87:I89)</f>
        <v>0</v>
      </c>
      <c r="J90" s="743">
        <f>SUM(J87:J89)</f>
        <v>11238.670992298941</v>
      </c>
      <c r="K90" s="743">
        <f t="shared" ref="K90:L90" si="13">SUM(K87:K89)</f>
        <v>0</v>
      </c>
      <c r="L90" s="743">
        <f t="shared" si="13"/>
        <v>0</v>
      </c>
      <c r="M90" s="743">
        <f>SUM(M87:M89)</f>
        <v>0</v>
      </c>
      <c r="N90" s="743">
        <f>SUM(N87:N89)</f>
        <v>0</v>
      </c>
      <c r="O90" s="743">
        <f>SUM(O87:O89)</f>
        <v>0</v>
      </c>
      <c r="P90" s="743">
        <v>0</v>
      </c>
      <c r="Q90" s="743">
        <f>SUM(Q87:Q89)</f>
        <v>53.654173619441309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18334.837597105205</v>
      </c>
      <c r="C4" s="447">
        <f>huishoudens!C8</f>
        <v>0</v>
      </c>
      <c r="D4" s="447">
        <f>huishoudens!D8</f>
        <v>41216.038010456439</v>
      </c>
      <c r="E4" s="447">
        <f>huishoudens!E8</f>
        <v>996.55757196492971</v>
      </c>
      <c r="F4" s="447">
        <f>huishoudens!F8</f>
        <v>21831.193363354312</v>
      </c>
      <c r="G4" s="447">
        <f>huishoudens!G8</f>
        <v>0</v>
      </c>
      <c r="H4" s="447">
        <f>huishoudens!H8</f>
        <v>0</v>
      </c>
      <c r="I4" s="447">
        <f>huishoudens!I8</f>
        <v>0</v>
      </c>
      <c r="J4" s="447">
        <f>huishoudens!J8</f>
        <v>124.41835873742139</v>
      </c>
      <c r="K4" s="447">
        <f>huishoudens!K8</f>
        <v>0</v>
      </c>
      <c r="L4" s="447">
        <f>huishoudens!L8</f>
        <v>0</v>
      </c>
      <c r="M4" s="447">
        <f>huishoudens!M8</f>
        <v>0</v>
      </c>
      <c r="N4" s="447">
        <f>huishoudens!N8</f>
        <v>6129.3747761218947</v>
      </c>
      <c r="O4" s="447">
        <f>huishoudens!O8</f>
        <v>501.94142950491909</v>
      </c>
      <c r="P4" s="448">
        <f>huishoudens!P8</f>
        <v>589.90172123036132</v>
      </c>
      <c r="Q4" s="449">
        <f>SUM(B4:P4)</f>
        <v>89724.26282847549</v>
      </c>
    </row>
    <row r="5" spans="1:17">
      <c r="A5" s="446" t="s">
        <v>149</v>
      </c>
      <c r="B5" s="447">
        <f ca="1">tertiair!B16</f>
        <v>20404.535582906756</v>
      </c>
      <c r="C5" s="447">
        <f ca="1">tertiair!C16</f>
        <v>9779.3185328185318</v>
      </c>
      <c r="D5" s="447">
        <f ca="1">tertiair!D16</f>
        <v>13717.564147300509</v>
      </c>
      <c r="E5" s="447">
        <f>tertiair!E16</f>
        <v>50.195779804596327</v>
      </c>
      <c r="F5" s="447">
        <f ca="1">tertiair!F16</f>
        <v>2292.6456141576568</v>
      </c>
      <c r="G5" s="447">
        <f>tertiair!G16</f>
        <v>0</v>
      </c>
      <c r="H5" s="447">
        <f>tertiair!H16</f>
        <v>0</v>
      </c>
      <c r="I5" s="447">
        <f>tertiair!I16</f>
        <v>0</v>
      </c>
      <c r="J5" s="447">
        <f>tertiair!J16</f>
        <v>1.3055164142969873E-2</v>
      </c>
      <c r="K5" s="447">
        <f>tertiair!K16</f>
        <v>0</v>
      </c>
      <c r="L5" s="447">
        <f ca="1">tertiair!L16</f>
        <v>0</v>
      </c>
      <c r="M5" s="447">
        <f>tertiair!M16</f>
        <v>0</v>
      </c>
      <c r="N5" s="447">
        <f ca="1">tertiair!N16</f>
        <v>0</v>
      </c>
      <c r="O5" s="447">
        <f>tertiair!O16</f>
        <v>24.486303829205774</v>
      </c>
      <c r="P5" s="448">
        <f>tertiair!P16</f>
        <v>157.61741491948504</v>
      </c>
      <c r="Q5" s="446">
        <f t="shared" ref="Q5:Q14" ca="1" si="0">SUM(B5:P5)</f>
        <v>46426.376430900884</v>
      </c>
    </row>
    <row r="6" spans="1:17">
      <c r="A6" s="446" t="s">
        <v>187</v>
      </c>
      <c r="B6" s="447">
        <f>'openbare verlichting'!B8</f>
        <v>873.66</v>
      </c>
      <c r="C6" s="447"/>
      <c r="D6" s="447"/>
      <c r="E6" s="447"/>
      <c r="F6" s="447"/>
      <c r="G6" s="447"/>
      <c r="H6" s="447"/>
      <c r="I6" s="447"/>
      <c r="J6" s="447"/>
      <c r="K6" s="447"/>
      <c r="L6" s="447"/>
      <c r="M6" s="447"/>
      <c r="N6" s="447"/>
      <c r="O6" s="447"/>
      <c r="P6" s="448"/>
      <c r="Q6" s="446">
        <f t="shared" si="0"/>
        <v>873.66</v>
      </c>
    </row>
    <row r="7" spans="1:17">
      <c r="A7" s="446" t="s">
        <v>105</v>
      </c>
      <c r="B7" s="447">
        <f>landbouw!B8</f>
        <v>2008.5897464790401</v>
      </c>
      <c r="C7" s="447">
        <f>landbouw!C8</f>
        <v>0</v>
      </c>
      <c r="D7" s="447">
        <f>landbouw!D8</f>
        <v>242.20075899396764</v>
      </c>
      <c r="E7" s="447">
        <f>landbouw!E8</f>
        <v>57.529409495326405</v>
      </c>
      <c r="F7" s="447">
        <f>landbouw!F8</f>
        <v>6358.1575745779401</v>
      </c>
      <c r="G7" s="447">
        <f>landbouw!G8</f>
        <v>0</v>
      </c>
      <c r="H7" s="447">
        <f>landbouw!H8</f>
        <v>0</v>
      </c>
      <c r="I7" s="447">
        <f>landbouw!I8</f>
        <v>0</v>
      </c>
      <c r="J7" s="447">
        <f>landbouw!J8</f>
        <v>510.72129800704005</v>
      </c>
      <c r="K7" s="447">
        <f>landbouw!K8</f>
        <v>0</v>
      </c>
      <c r="L7" s="447">
        <f>landbouw!L8</f>
        <v>0</v>
      </c>
      <c r="M7" s="447">
        <f>landbouw!M8</f>
        <v>0</v>
      </c>
      <c r="N7" s="447">
        <f>landbouw!N8</f>
        <v>0</v>
      </c>
      <c r="O7" s="447">
        <f>landbouw!O8</f>
        <v>0</v>
      </c>
      <c r="P7" s="448">
        <f>landbouw!P8</f>
        <v>0</v>
      </c>
      <c r="Q7" s="446">
        <f t="shared" si="0"/>
        <v>9177.1987875533141</v>
      </c>
    </row>
    <row r="8" spans="1:17">
      <c r="A8" s="446" t="s">
        <v>611</v>
      </c>
      <c r="B8" s="447">
        <f>industrie!B18</f>
        <v>21344.514416313476</v>
      </c>
      <c r="C8" s="447">
        <f>industrie!C18</f>
        <v>0</v>
      </c>
      <c r="D8" s="447">
        <f>industrie!D18</f>
        <v>21153.678276272985</v>
      </c>
      <c r="E8" s="447">
        <f>industrie!E18</f>
        <v>55.406360967320424</v>
      </c>
      <c r="F8" s="447">
        <f>industrie!F18</f>
        <v>2009.9615392872565</v>
      </c>
      <c r="G8" s="447">
        <f>industrie!G18</f>
        <v>0</v>
      </c>
      <c r="H8" s="447">
        <f>industrie!H18</f>
        <v>0</v>
      </c>
      <c r="I8" s="447">
        <f>industrie!I18</f>
        <v>0</v>
      </c>
      <c r="J8" s="447">
        <f>industrie!J18</f>
        <v>4.2769377705074412</v>
      </c>
      <c r="K8" s="447">
        <f>industrie!K18</f>
        <v>0</v>
      </c>
      <c r="L8" s="447">
        <f>industrie!L18</f>
        <v>0</v>
      </c>
      <c r="M8" s="447">
        <f>industrie!M18</f>
        <v>0</v>
      </c>
      <c r="N8" s="447">
        <f>industrie!N18</f>
        <v>838.99404413143645</v>
      </c>
      <c r="O8" s="447">
        <f>industrie!O18</f>
        <v>0</v>
      </c>
      <c r="P8" s="448">
        <f>industrie!P18</f>
        <v>0</v>
      </c>
      <c r="Q8" s="446">
        <f t="shared" si="0"/>
        <v>45406.831574742981</v>
      </c>
    </row>
    <row r="9" spans="1:17" s="452" customFormat="1">
      <c r="A9" s="450" t="s">
        <v>537</v>
      </c>
      <c r="B9" s="451">
        <f>transport!B14</f>
        <v>85.66140370228743</v>
      </c>
      <c r="C9" s="451">
        <f>transport!C14</f>
        <v>0</v>
      </c>
      <c r="D9" s="451">
        <f>transport!D14</f>
        <v>185.27610922595096</v>
      </c>
      <c r="E9" s="451">
        <f>transport!E14</f>
        <v>70.788456857123265</v>
      </c>
      <c r="F9" s="451">
        <f>transport!F14</f>
        <v>0</v>
      </c>
      <c r="G9" s="451">
        <f>transport!G14</f>
        <v>26344.942406642091</v>
      </c>
      <c r="H9" s="451">
        <f>transport!H14</f>
        <v>9013.8784067251017</v>
      </c>
      <c r="I9" s="451">
        <f>transport!I14</f>
        <v>0</v>
      </c>
      <c r="J9" s="451">
        <f>transport!J14</f>
        <v>0</v>
      </c>
      <c r="K9" s="451">
        <f>transport!K14</f>
        <v>0</v>
      </c>
      <c r="L9" s="451">
        <f>transport!L14</f>
        <v>0</v>
      </c>
      <c r="M9" s="451">
        <f>transport!M14</f>
        <v>2151.6902665688053</v>
      </c>
      <c r="N9" s="451">
        <f>transport!N14</f>
        <v>0</v>
      </c>
      <c r="O9" s="451">
        <f>transport!O14</f>
        <v>0</v>
      </c>
      <c r="P9" s="451">
        <f>transport!P14</f>
        <v>0</v>
      </c>
      <c r="Q9" s="450">
        <f>SUM(B9:P9)</f>
        <v>37852.237049721356</v>
      </c>
    </row>
    <row r="10" spans="1:17">
      <c r="A10" s="446" t="s">
        <v>527</v>
      </c>
      <c r="B10" s="447">
        <f>transport!B54</f>
        <v>17.551585699630262</v>
      </c>
      <c r="C10" s="447">
        <f>transport!C54</f>
        <v>0</v>
      </c>
      <c r="D10" s="447">
        <f>transport!D54</f>
        <v>0</v>
      </c>
      <c r="E10" s="447">
        <f>transport!E54</f>
        <v>0</v>
      </c>
      <c r="F10" s="447">
        <f>transport!F54</f>
        <v>0</v>
      </c>
      <c r="G10" s="447">
        <f>transport!G54</f>
        <v>1098.7823269567034</v>
      </c>
      <c r="H10" s="447">
        <f>transport!H54</f>
        <v>0</v>
      </c>
      <c r="I10" s="447">
        <f>transport!I54</f>
        <v>0</v>
      </c>
      <c r="J10" s="447">
        <f>transport!J54</f>
        <v>0</v>
      </c>
      <c r="K10" s="447">
        <f>transport!K54</f>
        <v>0</v>
      </c>
      <c r="L10" s="447">
        <f>transport!L54</f>
        <v>0</v>
      </c>
      <c r="M10" s="447">
        <f>transport!M54</f>
        <v>63.089648253937817</v>
      </c>
      <c r="N10" s="447">
        <f>transport!N54</f>
        <v>0</v>
      </c>
      <c r="O10" s="447">
        <f>transport!O54</f>
        <v>0</v>
      </c>
      <c r="P10" s="448">
        <f>transport!P54</f>
        <v>0</v>
      </c>
      <c r="Q10" s="446">
        <f t="shared" si="0"/>
        <v>1179.4235609102716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563.947853163118</v>
      </c>
      <c r="C14" s="454"/>
      <c r="D14" s="454">
        <f>'SEAP template'!E25</f>
        <v>942.14946801352608</v>
      </c>
      <c r="E14" s="454"/>
      <c r="F14" s="454"/>
      <c r="G14" s="454"/>
      <c r="H14" s="454"/>
      <c r="I14" s="454"/>
      <c r="J14" s="454"/>
      <c r="K14" s="454"/>
      <c r="L14" s="454"/>
      <c r="M14" s="454"/>
      <c r="N14" s="454"/>
      <c r="O14" s="454"/>
      <c r="P14" s="455"/>
      <c r="Q14" s="446">
        <f t="shared" si="0"/>
        <v>1506.0973211766441</v>
      </c>
    </row>
    <row r="15" spans="1:17" s="458" customFormat="1">
      <c r="A15" s="456" t="s">
        <v>531</v>
      </c>
      <c r="B15" s="457">
        <f ca="1">SUM(B4:B14)</f>
        <v>63633.298185369509</v>
      </c>
      <c r="C15" s="457">
        <f t="shared" ref="C15:Q15" ca="1" si="1">SUM(C4:C14)</f>
        <v>9779.3185328185318</v>
      </c>
      <c r="D15" s="457">
        <f t="shared" ca="1" si="1"/>
        <v>77456.906770263377</v>
      </c>
      <c r="E15" s="457">
        <f t="shared" si="1"/>
        <v>1230.4775790892961</v>
      </c>
      <c r="F15" s="457">
        <f t="shared" ca="1" si="1"/>
        <v>32491.958091377164</v>
      </c>
      <c r="G15" s="457">
        <f t="shared" si="1"/>
        <v>27443.724733598792</v>
      </c>
      <c r="H15" s="457">
        <f t="shared" si="1"/>
        <v>9013.8784067251017</v>
      </c>
      <c r="I15" s="457">
        <f t="shared" si="1"/>
        <v>0</v>
      </c>
      <c r="J15" s="457">
        <f t="shared" si="1"/>
        <v>639.42964967911178</v>
      </c>
      <c r="K15" s="457">
        <f t="shared" si="1"/>
        <v>0</v>
      </c>
      <c r="L15" s="457">
        <f t="shared" ca="1" si="1"/>
        <v>0</v>
      </c>
      <c r="M15" s="457">
        <f t="shared" si="1"/>
        <v>2214.7799148227432</v>
      </c>
      <c r="N15" s="457">
        <f t="shared" ca="1" si="1"/>
        <v>6968.3688202533313</v>
      </c>
      <c r="O15" s="457">
        <f t="shared" si="1"/>
        <v>526.42773333412481</v>
      </c>
      <c r="P15" s="457">
        <f t="shared" si="1"/>
        <v>747.51913614984642</v>
      </c>
      <c r="Q15" s="457">
        <f t="shared" ca="1" si="1"/>
        <v>232146.08755348096</v>
      </c>
    </row>
    <row r="17" spans="1:17">
      <c r="A17" s="459" t="s">
        <v>532</v>
      </c>
      <c r="B17" s="776">
        <f ca="1">huishoudens!B10</f>
        <v>0.17558730525253854</v>
      </c>
      <c r="C17" s="776">
        <f ca="1">huishoudens!C10</f>
        <v>5.4864941191334164E-3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3219.3647259186318</v>
      </c>
      <c r="C22" s="447">
        <f t="shared" ref="C22:C32" ca="1" si="3">C4*$C$17</f>
        <v>0</v>
      </c>
      <c r="D22" s="447">
        <f t="shared" ref="D22:D32" si="4">D4*$D$17</f>
        <v>8325.6396781122021</v>
      </c>
      <c r="E22" s="447">
        <f t="shared" ref="E22:E32" si="5">E4*$E$17</f>
        <v>226.21856883603905</v>
      </c>
      <c r="F22" s="447">
        <f t="shared" ref="F22:F32" si="6">F4*$F$17</f>
        <v>5828.928628015602</v>
      </c>
      <c r="G22" s="447">
        <f t="shared" ref="G22:G32" si="7">G4*$G$17</f>
        <v>0</v>
      </c>
      <c r="H22" s="447">
        <f t="shared" ref="H22:H32" si="8">H4*$H$17</f>
        <v>0</v>
      </c>
      <c r="I22" s="447">
        <f t="shared" ref="I22:I32" si="9">I4*$I$17</f>
        <v>0</v>
      </c>
      <c r="J22" s="447">
        <f t="shared" ref="J22:J32" si="10">J4*$J$17</f>
        <v>44.044098993047172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17644.195699875523</v>
      </c>
    </row>
    <row r="23" spans="1:17">
      <c r="A23" s="446" t="s">
        <v>149</v>
      </c>
      <c r="B23" s="447">
        <f t="shared" ca="1" si="2"/>
        <v>3582.7774179321332</v>
      </c>
      <c r="C23" s="447">
        <f t="shared" ca="1" si="3"/>
        <v>53.654173619441302</v>
      </c>
      <c r="D23" s="447">
        <f t="shared" ca="1" si="4"/>
        <v>2770.9479577547031</v>
      </c>
      <c r="E23" s="447">
        <f t="shared" si="5"/>
        <v>11.394442015643367</v>
      </c>
      <c r="F23" s="447">
        <f t="shared" ca="1" si="6"/>
        <v>612.13637898009438</v>
      </c>
      <c r="G23" s="447">
        <f t="shared" si="7"/>
        <v>0</v>
      </c>
      <c r="H23" s="447">
        <f t="shared" si="8"/>
        <v>0</v>
      </c>
      <c r="I23" s="447">
        <f t="shared" si="9"/>
        <v>0</v>
      </c>
      <c r="J23" s="447">
        <f t="shared" si="10"/>
        <v>4.621528106611335E-3</v>
      </c>
      <c r="K23" s="447">
        <f t="shared" si="11"/>
        <v>0</v>
      </c>
      <c r="L23" s="447">
        <f t="shared" ca="1" si="12"/>
        <v>0</v>
      </c>
      <c r="M23" s="447">
        <f t="shared" si="13"/>
        <v>0</v>
      </c>
      <c r="N23" s="447">
        <f t="shared" ca="1" si="14"/>
        <v>0</v>
      </c>
      <c r="O23" s="447">
        <f t="shared" si="15"/>
        <v>0</v>
      </c>
      <c r="P23" s="448">
        <f t="shared" si="16"/>
        <v>0</v>
      </c>
      <c r="Q23" s="446">
        <f t="shared" ref="Q23:Q31" ca="1" si="17">SUM(B23:P23)</f>
        <v>7030.9149918301209</v>
      </c>
    </row>
    <row r="24" spans="1:17">
      <c r="A24" s="446" t="s">
        <v>187</v>
      </c>
      <c r="B24" s="447">
        <f t="shared" ca="1" si="2"/>
        <v>153.40360510693282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153.40360510693282</v>
      </c>
    </row>
    <row r="25" spans="1:17">
      <c r="A25" s="446" t="s">
        <v>105</v>
      </c>
      <c r="B25" s="447">
        <f t="shared" ca="1" si="2"/>
        <v>352.6828609421342</v>
      </c>
      <c r="C25" s="447">
        <f t="shared" ca="1" si="3"/>
        <v>0</v>
      </c>
      <c r="D25" s="447">
        <f t="shared" si="4"/>
        <v>48.924553316781463</v>
      </c>
      <c r="E25" s="447">
        <f t="shared" si="5"/>
        <v>13.059175955439095</v>
      </c>
      <c r="F25" s="447">
        <f t="shared" si="6"/>
        <v>1697.6280724123101</v>
      </c>
      <c r="G25" s="447">
        <f t="shared" si="7"/>
        <v>0</v>
      </c>
      <c r="H25" s="447">
        <f t="shared" si="8"/>
        <v>0</v>
      </c>
      <c r="I25" s="447">
        <f t="shared" si="9"/>
        <v>0</v>
      </c>
      <c r="J25" s="447">
        <f t="shared" si="10"/>
        <v>180.79533949449217</v>
      </c>
      <c r="K25" s="447">
        <f t="shared" si="11"/>
        <v>0</v>
      </c>
      <c r="L25" s="447">
        <f t="shared" si="12"/>
        <v>0</v>
      </c>
      <c r="M25" s="447">
        <f t="shared" si="13"/>
        <v>0</v>
      </c>
      <c r="N25" s="447">
        <f t="shared" si="14"/>
        <v>0</v>
      </c>
      <c r="O25" s="447">
        <f t="shared" si="15"/>
        <v>0</v>
      </c>
      <c r="P25" s="448">
        <f t="shared" si="16"/>
        <v>0</v>
      </c>
      <c r="Q25" s="446">
        <f t="shared" ca="1" si="17"/>
        <v>2293.0900021211569</v>
      </c>
    </row>
    <row r="26" spans="1:17">
      <c r="A26" s="446" t="s">
        <v>611</v>
      </c>
      <c r="B26" s="447">
        <f t="shared" ca="1" si="2"/>
        <v>3747.8257682844437</v>
      </c>
      <c r="C26" s="447">
        <f t="shared" ca="1" si="3"/>
        <v>0</v>
      </c>
      <c r="D26" s="447">
        <f t="shared" si="4"/>
        <v>4273.0430118071436</v>
      </c>
      <c r="E26" s="447">
        <f t="shared" si="5"/>
        <v>12.577243939581736</v>
      </c>
      <c r="F26" s="447">
        <f t="shared" si="6"/>
        <v>536.65973098969755</v>
      </c>
      <c r="G26" s="447">
        <f t="shared" si="7"/>
        <v>0</v>
      </c>
      <c r="H26" s="447">
        <f t="shared" si="8"/>
        <v>0</v>
      </c>
      <c r="I26" s="447">
        <f t="shared" si="9"/>
        <v>0</v>
      </c>
      <c r="J26" s="447">
        <f t="shared" si="10"/>
        <v>1.514035970759634</v>
      </c>
      <c r="K26" s="447">
        <f t="shared" si="11"/>
        <v>0</v>
      </c>
      <c r="L26" s="447">
        <f t="shared" si="12"/>
        <v>0</v>
      </c>
      <c r="M26" s="447">
        <f t="shared" si="13"/>
        <v>0</v>
      </c>
      <c r="N26" s="447">
        <f t="shared" si="14"/>
        <v>0</v>
      </c>
      <c r="O26" s="447">
        <f t="shared" si="15"/>
        <v>0</v>
      </c>
      <c r="P26" s="448">
        <f t="shared" si="16"/>
        <v>0</v>
      </c>
      <c r="Q26" s="446">
        <f t="shared" ca="1" si="17"/>
        <v>8571.6197909916264</v>
      </c>
    </row>
    <row r="27" spans="1:17" s="452" customFormat="1">
      <c r="A27" s="450" t="s">
        <v>537</v>
      </c>
      <c r="B27" s="770">
        <f t="shared" ca="1" si="2"/>
        <v>15.041055040234479</v>
      </c>
      <c r="C27" s="451">
        <f t="shared" ca="1" si="3"/>
        <v>0</v>
      </c>
      <c r="D27" s="451">
        <f t="shared" si="4"/>
        <v>37.425774063642095</v>
      </c>
      <c r="E27" s="451">
        <f t="shared" si="5"/>
        <v>16.068979706566981</v>
      </c>
      <c r="F27" s="451">
        <f t="shared" si="6"/>
        <v>0</v>
      </c>
      <c r="G27" s="451">
        <f t="shared" si="7"/>
        <v>7034.0996225734389</v>
      </c>
      <c r="H27" s="451">
        <f t="shared" si="8"/>
        <v>2244.4557232745501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9347.0911546584321</v>
      </c>
    </row>
    <row r="28" spans="1:17" ht="16.5" customHeight="1">
      <c r="A28" s="446" t="s">
        <v>527</v>
      </c>
      <c r="B28" s="447">
        <f t="shared" ca="1" si="2"/>
        <v>3.0818356359070691</v>
      </c>
      <c r="C28" s="447">
        <f t="shared" ca="1" si="3"/>
        <v>0</v>
      </c>
      <c r="D28" s="447">
        <f t="shared" si="4"/>
        <v>0</v>
      </c>
      <c r="E28" s="447">
        <f t="shared" si="5"/>
        <v>0</v>
      </c>
      <c r="F28" s="447">
        <f t="shared" si="6"/>
        <v>0</v>
      </c>
      <c r="G28" s="447">
        <f t="shared" si="7"/>
        <v>293.3748812974398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296.45671693334685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99.022083839866184</v>
      </c>
      <c r="C32" s="447">
        <f t="shared" ca="1" si="3"/>
        <v>0</v>
      </c>
      <c r="D32" s="447">
        <f t="shared" si="4"/>
        <v>190.31419253873227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289.33627637859843</v>
      </c>
    </row>
    <row r="33" spans="1:17" s="458" customFormat="1">
      <c r="A33" s="456" t="s">
        <v>531</v>
      </c>
      <c r="B33" s="457">
        <f ca="1">SUM(B22:B32)</f>
        <v>11173.199352700281</v>
      </c>
      <c r="C33" s="457">
        <f t="shared" ref="C33:Q33" ca="1" si="19">SUM(C22:C32)</f>
        <v>53.654173619441302</v>
      </c>
      <c r="D33" s="457">
        <f t="shared" ca="1" si="19"/>
        <v>15646.295167593204</v>
      </c>
      <c r="E33" s="457">
        <f t="shared" si="19"/>
        <v>279.31841045327025</v>
      </c>
      <c r="F33" s="457">
        <f t="shared" ca="1" si="19"/>
        <v>8675.3528103977042</v>
      </c>
      <c r="G33" s="457">
        <f t="shared" si="19"/>
        <v>7327.4745038708788</v>
      </c>
      <c r="H33" s="457">
        <f t="shared" si="19"/>
        <v>2244.4557232745501</v>
      </c>
      <c r="I33" s="457">
        <f t="shared" si="19"/>
        <v>0</v>
      </c>
      <c r="J33" s="457">
        <f t="shared" si="19"/>
        <v>226.35809598640557</v>
      </c>
      <c r="K33" s="457">
        <f t="shared" si="19"/>
        <v>0</v>
      </c>
      <c r="L33" s="457">
        <f t="shared" ca="1" si="19"/>
        <v>0</v>
      </c>
      <c r="M33" s="457">
        <f t="shared" si="19"/>
        <v>0</v>
      </c>
      <c r="N33" s="457">
        <f t="shared" ca="1" si="19"/>
        <v>0</v>
      </c>
      <c r="O33" s="457">
        <f t="shared" si="19"/>
        <v>0</v>
      </c>
      <c r="P33" s="457">
        <f t="shared" si="19"/>
        <v>0</v>
      </c>
      <c r="Q33" s="457">
        <f t="shared" ca="1" si="19"/>
        <v>45626.108237895744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6400.2798269633777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6687.4488513087999</v>
      </c>
      <c r="C8" s="1014">
        <f>'SEAP template'!C76</f>
        <v>158.05114869120078</v>
      </c>
      <c r="D8" s="1014">
        <f>'SEAP template'!D76</f>
        <v>185.92968065607826</v>
      </c>
      <c r="E8" s="1014">
        <f>'SEAP template'!E76</f>
        <v>0</v>
      </c>
      <c r="F8" s="1014">
        <f>'SEAP template'!F76</f>
        <v>0</v>
      </c>
      <c r="G8" s="1014">
        <f>'SEAP template'!G76</f>
        <v>0</v>
      </c>
      <c r="H8" s="1014">
        <f>'SEAP template'!H76</f>
        <v>0</v>
      </c>
      <c r="I8" s="1014">
        <f>'SEAP template'!I76</f>
        <v>0</v>
      </c>
      <c r="J8" s="1014">
        <f>'SEAP template'!J76</f>
        <v>7867.0432934153441</v>
      </c>
      <c r="K8" s="1014">
        <f>'SEAP template'!K76</f>
        <v>0</v>
      </c>
      <c r="L8" s="1014">
        <f>'SEAP template'!L76</f>
        <v>0</v>
      </c>
      <c r="M8" s="1014">
        <f>'SEAP template'!M76</f>
        <v>0</v>
      </c>
      <c r="N8" s="1014">
        <f>'SEAP template'!N76</f>
        <v>0</v>
      </c>
      <c r="O8" s="1014">
        <f>'SEAP template'!O76</f>
        <v>0</v>
      </c>
      <c r="P8" s="1015">
        <f>'SEAP template'!Q76</f>
        <v>37.557795492527809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13087.728678272179</v>
      </c>
      <c r="C10" s="1016">
        <f>SUM(C4:C9)</f>
        <v>158.05114869120078</v>
      </c>
      <c r="D10" s="1016">
        <f t="shared" ref="D10:H10" si="0">SUM(D8:D9)</f>
        <v>185.92968065607826</v>
      </c>
      <c r="E10" s="1016">
        <f t="shared" si="0"/>
        <v>0</v>
      </c>
      <c r="F10" s="1016">
        <f t="shared" si="0"/>
        <v>0</v>
      </c>
      <c r="G10" s="1016">
        <f t="shared" si="0"/>
        <v>0</v>
      </c>
      <c r="H10" s="1016">
        <f t="shared" si="0"/>
        <v>0</v>
      </c>
      <c r="I10" s="1016">
        <f>SUM(I8:I9)</f>
        <v>0</v>
      </c>
      <c r="J10" s="1016">
        <f>SUM(J8:J9)</f>
        <v>7867.0432934153441</v>
      </c>
      <c r="K10" s="1016">
        <f t="shared" ref="K10:L10" si="1">SUM(K8:K9)</f>
        <v>0</v>
      </c>
      <c r="L10" s="1016">
        <f t="shared" si="1"/>
        <v>0</v>
      </c>
      <c r="M10" s="1016">
        <f>SUM(M8:M9)</f>
        <v>0</v>
      </c>
      <c r="N10" s="1016">
        <f>SUM(N8:N9)</f>
        <v>0</v>
      </c>
      <c r="O10" s="1016">
        <f>SUM(O8:O9)</f>
        <v>0</v>
      </c>
      <c r="P10" s="1016">
        <f>SUM(P8:P9)</f>
        <v>37.557795492527809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0.17558730525253854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9553.5304198203412</v>
      </c>
      <c r="C17" s="1017">
        <f>'SEAP template'!C87</f>
        <v>225.78811299819111</v>
      </c>
      <c r="D17" s="1015">
        <f>'SEAP template'!D87</f>
        <v>265.61472088832329</v>
      </c>
      <c r="E17" s="1015">
        <f>'SEAP template'!E87</f>
        <v>0</v>
      </c>
      <c r="F17" s="1015">
        <f>'SEAP template'!F87</f>
        <v>0</v>
      </c>
      <c r="G17" s="1015">
        <f>'SEAP template'!G87</f>
        <v>0</v>
      </c>
      <c r="H17" s="1015">
        <f>'SEAP template'!H87</f>
        <v>0</v>
      </c>
      <c r="I17" s="1015">
        <f>'SEAP template'!I87</f>
        <v>0</v>
      </c>
      <c r="J17" s="1015">
        <f>'SEAP template'!J87</f>
        <v>11238.670992298941</v>
      </c>
      <c r="K17" s="1015">
        <f>'SEAP template'!K87</f>
        <v>0</v>
      </c>
      <c r="L17" s="1015">
        <f>'SEAP template'!L87</f>
        <v>0</v>
      </c>
      <c r="M17" s="1015">
        <f>'SEAP template'!M87</f>
        <v>0</v>
      </c>
      <c r="N17" s="1015">
        <f>'SEAP template'!N87</f>
        <v>0</v>
      </c>
      <c r="O17" s="1015">
        <f>'SEAP template'!O87</f>
        <v>0</v>
      </c>
      <c r="P17" s="1015">
        <f>'SEAP template'!Q87</f>
        <v>53.654173619441309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9553.5304198203412</v>
      </c>
      <c r="C20" s="1016">
        <f>SUM(C17:C19)</f>
        <v>225.78811299819111</v>
      </c>
      <c r="D20" s="1016">
        <f t="shared" ref="D20:H20" si="2">SUM(D17:D19)</f>
        <v>265.61472088832329</v>
      </c>
      <c r="E20" s="1016">
        <f t="shared" si="2"/>
        <v>0</v>
      </c>
      <c r="F20" s="1016">
        <f t="shared" si="2"/>
        <v>0</v>
      </c>
      <c r="G20" s="1016">
        <f t="shared" si="2"/>
        <v>0</v>
      </c>
      <c r="H20" s="1016">
        <f t="shared" si="2"/>
        <v>0</v>
      </c>
      <c r="I20" s="1016">
        <f>SUM(I17:I19)</f>
        <v>0</v>
      </c>
      <c r="J20" s="1016">
        <f>SUM(J17:J19)</f>
        <v>11238.670992298941</v>
      </c>
      <c r="K20" s="1016">
        <f t="shared" ref="K20:L20" si="3">SUM(K17:K19)</f>
        <v>0</v>
      </c>
      <c r="L20" s="1016">
        <f t="shared" si="3"/>
        <v>0</v>
      </c>
      <c r="M20" s="1016">
        <f>SUM(M17:M19)</f>
        <v>0</v>
      </c>
      <c r="N20" s="1016">
        <f>SUM(N17:N19)</f>
        <v>0</v>
      </c>
      <c r="O20" s="1016">
        <f>SUM(O17:O19)</f>
        <v>0</v>
      </c>
      <c r="P20" s="1016">
        <f>SUM(P17:P19)</f>
        <v>53.654173619441309</v>
      </c>
    </row>
    <row r="21" spans="1:16">
      <c r="B21" s="881"/>
    </row>
    <row r="22" spans="1:16">
      <c r="A22" s="459" t="s">
        <v>749</v>
      </c>
      <c r="B22" s="776" t="s">
        <v>747</v>
      </c>
      <c r="C22" s="776">
        <f ca="1">'EF ele_warmte'!B22</f>
        <v>5.4864941191334164E-3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0.17558730525253854</v>
      </c>
      <c r="C17" s="496">
        <f ca="1">'EF ele_warmte'!B22</f>
        <v>5.4864941191334164E-3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0.17558730525253854</v>
      </c>
      <c r="C17" s="496">
        <f ca="1">'EF ele_warmte'!B22</f>
        <v>5.4864941191334164E-3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0.17558730525253854</v>
      </c>
      <c r="C29" s="497">
        <f ca="1">'EF ele_warmte'!B22</f>
        <v>5.4864941191334164E-3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4703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2520.77</v>
      </c>
      <c r="C14" s="326"/>
      <c r="D14" s="326"/>
      <c r="E14" s="326"/>
      <c r="F14" s="326"/>
    </row>
    <row r="15" spans="1:6">
      <c r="A15" s="1310" t="s">
        <v>177</v>
      </c>
      <c r="B15" s="1311">
        <v>28</v>
      </c>
      <c r="C15" s="326"/>
      <c r="D15" s="326"/>
      <c r="E15" s="326"/>
      <c r="F15" s="326"/>
    </row>
    <row r="16" spans="1:6">
      <c r="A16" s="1310" t="s">
        <v>6</v>
      </c>
      <c r="B16" s="1311">
        <v>737</v>
      </c>
      <c r="C16" s="326"/>
      <c r="D16" s="326"/>
      <c r="E16" s="326"/>
      <c r="F16" s="326"/>
    </row>
    <row r="17" spans="1:6">
      <c r="A17" s="1310" t="s">
        <v>7</v>
      </c>
      <c r="B17" s="1311">
        <v>597</v>
      </c>
      <c r="C17" s="326"/>
      <c r="D17" s="326"/>
      <c r="E17" s="326"/>
      <c r="F17" s="326"/>
    </row>
    <row r="18" spans="1:6">
      <c r="A18" s="1310" t="s">
        <v>8</v>
      </c>
      <c r="B18" s="1311">
        <v>709</v>
      </c>
      <c r="C18" s="326"/>
      <c r="D18" s="326"/>
      <c r="E18" s="326"/>
      <c r="F18" s="326"/>
    </row>
    <row r="19" spans="1:6">
      <c r="A19" s="1310" t="s">
        <v>9</v>
      </c>
      <c r="B19" s="1311">
        <v>700</v>
      </c>
      <c r="C19" s="326"/>
      <c r="D19" s="326"/>
      <c r="E19" s="326"/>
      <c r="F19" s="326"/>
    </row>
    <row r="20" spans="1:6">
      <c r="A20" s="1310" t="s">
        <v>10</v>
      </c>
      <c r="B20" s="1311">
        <v>511</v>
      </c>
      <c r="C20" s="326"/>
      <c r="D20" s="326"/>
      <c r="E20" s="326"/>
      <c r="F20" s="326"/>
    </row>
    <row r="21" spans="1:6">
      <c r="A21" s="1310" t="s">
        <v>11</v>
      </c>
      <c r="B21" s="1311">
        <v>8003</v>
      </c>
      <c r="C21" s="326"/>
      <c r="D21" s="326"/>
      <c r="E21" s="326"/>
      <c r="F21" s="326"/>
    </row>
    <row r="22" spans="1:6">
      <c r="A22" s="1310" t="s">
        <v>12</v>
      </c>
      <c r="B22" s="1311">
        <v>28550</v>
      </c>
      <c r="C22" s="326"/>
      <c r="D22" s="326"/>
      <c r="E22" s="326"/>
      <c r="F22" s="326"/>
    </row>
    <row r="23" spans="1:6">
      <c r="A23" s="1310" t="s">
        <v>13</v>
      </c>
      <c r="B23" s="1311">
        <v>342</v>
      </c>
      <c r="C23" s="326"/>
      <c r="D23" s="326"/>
      <c r="E23" s="326"/>
      <c r="F23" s="326"/>
    </row>
    <row r="24" spans="1:6">
      <c r="A24" s="1310" t="s">
        <v>14</v>
      </c>
      <c r="B24" s="1311">
        <v>17</v>
      </c>
      <c r="C24" s="326"/>
      <c r="D24" s="326"/>
      <c r="E24" s="326"/>
      <c r="F24" s="326"/>
    </row>
    <row r="25" spans="1:6">
      <c r="A25" s="1310" t="s">
        <v>15</v>
      </c>
      <c r="B25" s="1311">
        <v>2278</v>
      </c>
      <c r="C25" s="326"/>
      <c r="D25" s="326"/>
      <c r="E25" s="326"/>
      <c r="F25" s="326"/>
    </row>
    <row r="26" spans="1:6">
      <c r="A26" s="1310" t="s">
        <v>16</v>
      </c>
      <c r="B26" s="1311">
        <v>187</v>
      </c>
      <c r="C26" s="326"/>
      <c r="D26" s="326"/>
      <c r="E26" s="326"/>
      <c r="F26" s="326"/>
    </row>
    <row r="27" spans="1:6">
      <c r="A27" s="1310" t="s">
        <v>17</v>
      </c>
      <c r="B27" s="1311">
        <v>5</v>
      </c>
      <c r="C27" s="326"/>
      <c r="D27" s="326"/>
      <c r="E27" s="326"/>
      <c r="F27" s="326"/>
    </row>
    <row r="28" spans="1:6">
      <c r="A28" s="1310" t="s">
        <v>18</v>
      </c>
      <c r="B28" s="1312">
        <v>111001</v>
      </c>
      <c r="C28" s="326"/>
      <c r="D28" s="326"/>
      <c r="E28" s="326"/>
      <c r="F28" s="326"/>
    </row>
    <row r="29" spans="1:6">
      <c r="A29" s="1310" t="s">
        <v>678</v>
      </c>
      <c r="B29" s="1312">
        <v>227</v>
      </c>
      <c r="C29" s="326"/>
      <c r="D29" s="326"/>
      <c r="E29" s="326"/>
      <c r="F29" s="326"/>
    </row>
    <row r="30" spans="1:6">
      <c r="A30" s="1305" t="s">
        <v>679</v>
      </c>
      <c r="B30" s="1313">
        <v>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8</v>
      </c>
      <c r="F36" s="1311">
        <v>148862.59667736301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61613.125158520001</v>
      </c>
    </row>
    <row r="39" spans="1:6">
      <c r="A39" s="1310" t="s">
        <v>29</v>
      </c>
      <c r="B39" s="1310" t="s">
        <v>30</v>
      </c>
      <c r="C39" s="1311">
        <v>3239</v>
      </c>
      <c r="D39" s="1311">
        <v>45643452.9462419</v>
      </c>
      <c r="E39" s="1311">
        <v>4389</v>
      </c>
      <c r="F39" s="1311">
        <v>13561761.804891201</v>
      </c>
    </row>
    <row r="40" spans="1:6">
      <c r="A40" s="1310" t="s">
        <v>29</v>
      </c>
      <c r="B40" s="1310" t="s">
        <v>28</v>
      </c>
      <c r="C40" s="1311">
        <v>0</v>
      </c>
      <c r="D40" s="1311">
        <v>0</v>
      </c>
      <c r="E40" s="1311">
        <v>0</v>
      </c>
      <c r="F40" s="1311">
        <v>0</v>
      </c>
    </row>
    <row r="41" spans="1:6">
      <c r="A41" s="1310" t="s">
        <v>31</v>
      </c>
      <c r="B41" s="1310" t="s">
        <v>32</v>
      </c>
      <c r="C41" s="1311">
        <v>100</v>
      </c>
      <c r="D41" s="1311">
        <v>1971538.1121367801</v>
      </c>
      <c r="E41" s="1311">
        <v>176</v>
      </c>
      <c r="F41" s="1311">
        <v>2379244.7276981501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858179.71319706202</v>
      </c>
      <c r="E44" s="1311">
        <v>38</v>
      </c>
      <c r="F44" s="1311">
        <v>2022255.9741889799</v>
      </c>
    </row>
    <row r="45" spans="1:6">
      <c r="A45" s="1310" t="s">
        <v>31</v>
      </c>
      <c r="B45" s="1310" t="s">
        <v>36</v>
      </c>
      <c r="C45" s="1311">
        <v>0</v>
      </c>
      <c r="D45" s="1311">
        <v>0</v>
      </c>
      <c r="E45" s="1311">
        <v>4</v>
      </c>
      <c r="F45" s="1311">
        <v>71863.591676554803</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60659.934783603894</v>
      </c>
      <c r="E48" s="1311">
        <v>2</v>
      </c>
      <c r="F48" s="1311">
        <v>8971.7570465587996</v>
      </c>
    </row>
    <row r="49" spans="1:6">
      <c r="A49" s="1310" t="s">
        <v>31</v>
      </c>
      <c r="B49" s="1310" t="s">
        <v>39</v>
      </c>
      <c r="C49" s="1311">
        <v>0</v>
      </c>
      <c r="D49" s="1311">
        <v>0</v>
      </c>
      <c r="E49" s="1311">
        <v>5</v>
      </c>
      <c r="F49" s="1311">
        <v>282446.10145663202</v>
      </c>
    </row>
    <row r="50" spans="1:6">
      <c r="A50" s="1310" t="s">
        <v>31</v>
      </c>
      <c r="B50" s="1310" t="s">
        <v>40</v>
      </c>
      <c r="C50" s="1311">
        <v>6</v>
      </c>
      <c r="D50" s="1311">
        <v>20535622.545832701</v>
      </c>
      <c r="E50" s="1311">
        <v>11</v>
      </c>
      <c r="F50" s="1311">
        <v>16579732.2642466</v>
      </c>
    </row>
    <row r="51" spans="1:6">
      <c r="A51" s="1310" t="s">
        <v>41</v>
      </c>
      <c r="B51" s="1310" t="s">
        <v>42</v>
      </c>
      <c r="C51" s="1311">
        <v>15</v>
      </c>
      <c r="D51" s="1311">
        <v>268217.89478844701</v>
      </c>
      <c r="E51" s="1311">
        <v>125</v>
      </c>
      <c r="F51" s="1311">
        <v>2008589.74647904</v>
      </c>
    </row>
    <row r="52" spans="1:6">
      <c r="A52" s="1310" t="s">
        <v>41</v>
      </c>
      <c r="B52" s="1310" t="s">
        <v>28</v>
      </c>
      <c r="C52" s="1311">
        <v>0</v>
      </c>
      <c r="D52" s="1311">
        <v>0</v>
      </c>
      <c r="E52" s="1311">
        <v>0</v>
      </c>
      <c r="F52" s="1311">
        <v>0</v>
      </c>
    </row>
    <row r="53" spans="1:6">
      <c r="A53" s="1310" t="s">
        <v>43</v>
      </c>
      <c r="B53" s="1310" t="s">
        <v>44</v>
      </c>
      <c r="C53" s="1311">
        <v>67</v>
      </c>
      <c r="D53" s="1311">
        <v>942149.46801352606</v>
      </c>
      <c r="E53" s="1311">
        <v>122</v>
      </c>
      <c r="F53" s="1311">
        <v>563947.85316311801</v>
      </c>
    </row>
    <row r="54" spans="1:6">
      <c r="A54" s="1310" t="s">
        <v>45</v>
      </c>
      <c r="B54" s="1310" t="s">
        <v>46</v>
      </c>
      <c r="C54" s="1311">
        <v>0</v>
      </c>
      <c r="D54" s="1311">
        <v>0</v>
      </c>
      <c r="E54" s="1311">
        <v>1</v>
      </c>
      <c r="F54" s="1311">
        <v>873660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59</v>
      </c>
      <c r="D57" s="1311">
        <v>3988892.4116963199</v>
      </c>
      <c r="E57" s="1311">
        <v>91</v>
      </c>
      <c r="F57" s="1311">
        <v>1290779.31353421</v>
      </c>
    </row>
    <row r="58" spans="1:6">
      <c r="A58" s="1310" t="s">
        <v>48</v>
      </c>
      <c r="B58" s="1310" t="s">
        <v>50</v>
      </c>
      <c r="C58" s="1311">
        <v>36</v>
      </c>
      <c r="D58" s="1311">
        <v>3045702.5232045101</v>
      </c>
      <c r="E58" s="1311">
        <v>41</v>
      </c>
      <c r="F58" s="1311">
        <v>1067939.59583099</v>
      </c>
    </row>
    <row r="59" spans="1:6">
      <c r="A59" s="1310" t="s">
        <v>48</v>
      </c>
      <c r="B59" s="1310" t="s">
        <v>51</v>
      </c>
      <c r="C59" s="1311">
        <v>90</v>
      </c>
      <c r="D59" s="1311">
        <v>3039153.4898365699</v>
      </c>
      <c r="E59" s="1311">
        <v>177</v>
      </c>
      <c r="F59" s="1311">
        <v>4010369.6508929199</v>
      </c>
    </row>
    <row r="60" spans="1:6">
      <c r="A60" s="1310" t="s">
        <v>48</v>
      </c>
      <c r="B60" s="1310" t="s">
        <v>52</v>
      </c>
      <c r="C60" s="1311">
        <v>49</v>
      </c>
      <c r="D60" s="1311">
        <v>2876071.9131305399</v>
      </c>
      <c r="E60" s="1311">
        <v>68</v>
      </c>
      <c r="F60" s="1311">
        <v>1190903.3358893101</v>
      </c>
    </row>
    <row r="61" spans="1:6">
      <c r="A61" s="1310" t="s">
        <v>48</v>
      </c>
      <c r="B61" s="1310" t="s">
        <v>53</v>
      </c>
      <c r="C61" s="1311">
        <v>116</v>
      </c>
      <c r="D61" s="1311">
        <v>2349150.8507340001</v>
      </c>
      <c r="E61" s="1311">
        <v>202</v>
      </c>
      <c r="F61" s="1311">
        <v>5892946.3057548897</v>
      </c>
    </row>
    <row r="62" spans="1:6">
      <c r="A62" s="1310" t="s">
        <v>48</v>
      </c>
      <c r="B62" s="1310" t="s">
        <v>54</v>
      </c>
      <c r="C62" s="1311">
        <v>7</v>
      </c>
      <c r="D62" s="1311">
        <v>392178.92086086102</v>
      </c>
      <c r="E62" s="1311">
        <v>8</v>
      </c>
      <c r="F62" s="1311">
        <v>106097.381004435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9</v>
      </c>
      <c r="D68" s="1313">
        <v>245574.871883354</v>
      </c>
      <c r="E68" s="1313">
        <v>25</v>
      </c>
      <c r="F68" s="1313">
        <v>269689.32482310501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8343599</v>
      </c>
      <c r="E73" s="445"/>
      <c r="F73" s="326"/>
    </row>
    <row r="74" spans="1:6">
      <c r="A74" s="1310" t="s">
        <v>63</v>
      </c>
      <c r="B74" s="1310" t="s">
        <v>632</v>
      </c>
      <c r="C74" s="1323" t="s">
        <v>634</v>
      </c>
      <c r="D74" s="1311">
        <v>554771.34904892801</v>
      </c>
      <c r="E74" s="445"/>
      <c r="F74" s="326"/>
    </row>
    <row r="75" spans="1:6">
      <c r="A75" s="1310" t="s">
        <v>64</v>
      </c>
      <c r="B75" s="1310" t="s">
        <v>631</v>
      </c>
      <c r="C75" s="1323" t="s">
        <v>635</v>
      </c>
      <c r="D75" s="1311">
        <v>28500708</v>
      </c>
      <c r="E75" s="445"/>
      <c r="F75" s="326"/>
    </row>
    <row r="76" spans="1:6">
      <c r="A76" s="1310" t="s">
        <v>64</v>
      </c>
      <c r="B76" s="1310" t="s">
        <v>632</v>
      </c>
      <c r="C76" s="1323" t="s">
        <v>636</v>
      </c>
      <c r="D76" s="1311">
        <v>1478523.3490489279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327375.30190214398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4773.0757922140047</v>
      </c>
      <c r="C91" s="326"/>
      <c r="D91" s="326"/>
      <c r="E91" s="326"/>
      <c r="F91" s="326"/>
    </row>
    <row r="92" spans="1:6">
      <c r="A92" s="1305" t="s">
        <v>68</v>
      </c>
      <c r="B92" s="1306">
        <v>1627.2040347493728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1963</v>
      </c>
      <c r="C97" s="326"/>
      <c r="D97" s="326"/>
      <c r="E97" s="326"/>
      <c r="F97" s="326"/>
    </row>
    <row r="98" spans="1:6">
      <c r="A98" s="1310" t="s">
        <v>71</v>
      </c>
      <c r="B98" s="1311">
        <v>1</v>
      </c>
      <c r="C98" s="326"/>
      <c r="D98" s="326"/>
      <c r="E98" s="326"/>
      <c r="F98" s="326"/>
    </row>
    <row r="99" spans="1:6">
      <c r="A99" s="1310" t="s">
        <v>72</v>
      </c>
      <c r="B99" s="1311">
        <v>148</v>
      </c>
      <c r="C99" s="326"/>
      <c r="D99" s="326"/>
      <c r="E99" s="326"/>
      <c r="F99" s="326"/>
    </row>
    <row r="100" spans="1:6">
      <c r="A100" s="1310" t="s">
        <v>73</v>
      </c>
      <c r="B100" s="1311">
        <v>286</v>
      </c>
      <c r="C100" s="326"/>
      <c r="D100" s="326"/>
      <c r="E100" s="326"/>
      <c r="F100" s="326"/>
    </row>
    <row r="101" spans="1:6">
      <c r="A101" s="1310" t="s">
        <v>74</v>
      </c>
      <c r="B101" s="1311">
        <v>126</v>
      </c>
      <c r="C101" s="326"/>
      <c r="D101" s="326"/>
      <c r="E101" s="326"/>
      <c r="F101" s="326"/>
    </row>
    <row r="102" spans="1:6">
      <c r="A102" s="1310" t="s">
        <v>75</v>
      </c>
      <c r="B102" s="1311">
        <v>69</v>
      </c>
      <c r="C102" s="326"/>
      <c r="D102" s="326"/>
      <c r="E102" s="326"/>
      <c r="F102" s="326"/>
    </row>
    <row r="103" spans="1:6">
      <c r="A103" s="1310" t="s">
        <v>76</v>
      </c>
      <c r="B103" s="1311">
        <v>139</v>
      </c>
      <c r="C103" s="326"/>
      <c r="D103" s="326"/>
      <c r="E103" s="326"/>
      <c r="F103" s="326"/>
    </row>
    <row r="104" spans="1:6">
      <c r="A104" s="1310" t="s">
        <v>77</v>
      </c>
      <c r="B104" s="1311">
        <v>1292</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28</v>
      </c>
      <c r="C123" s="1311">
        <v>40</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211</v>
      </c>
      <c r="C129" s="326"/>
      <c r="D129" s="326"/>
      <c r="E129" s="326"/>
      <c r="F129" s="326"/>
    </row>
    <row r="130" spans="1:6">
      <c r="A130" s="1310" t="s">
        <v>284</v>
      </c>
      <c r="B130" s="1311">
        <v>5</v>
      </c>
      <c r="C130" s="326"/>
      <c r="D130" s="326"/>
      <c r="E130" s="326"/>
      <c r="F130" s="326"/>
    </row>
    <row r="131" spans="1:6">
      <c r="A131" s="1310" t="s">
        <v>285</v>
      </c>
      <c r="B131" s="1311">
        <v>2</v>
      </c>
      <c r="C131" s="326"/>
      <c r="D131" s="326"/>
      <c r="E131" s="326"/>
      <c r="F131" s="326"/>
    </row>
    <row r="132" spans="1:6">
      <c r="A132" s="1305" t="s">
        <v>286</v>
      </c>
      <c r="B132" s="1306">
        <v>27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63633.298185369509</v>
      </c>
      <c r="C3" s="43" t="s">
        <v>163</v>
      </c>
      <c r="D3" s="43"/>
      <c r="E3" s="154"/>
      <c r="F3" s="43"/>
      <c r="G3" s="43"/>
      <c r="H3" s="43"/>
      <c r="I3" s="43"/>
      <c r="J3" s="43"/>
      <c r="K3" s="96"/>
    </row>
    <row r="4" spans="1:11">
      <c r="A4" s="352" t="s">
        <v>164</v>
      </c>
      <c r="B4" s="49">
        <f>IF(ISERROR('SEAP template'!B78+'SEAP template'!C78),0,'SEAP template'!B78+'SEAP template'!C78)</f>
        <v>13245.779826963379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37.557795492527809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0.17558730525253854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53.654173619441309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9779.3185328185318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5.4864941191334164E-3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873.66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873.66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0.17558730525253854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153.40360510693282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13561.761804891201</v>
      </c>
      <c r="C5" s="17">
        <f>IF(ISERROR('Eigen informatie GS &amp; warmtenet'!B59),0,'Eigen informatie GS &amp; warmtenet'!B59)</f>
        <v>0</v>
      </c>
      <c r="D5" s="30">
        <f>(SUM(HH_hh_gas_kWh,HH_rest_gas_kWh)/1000)*0.903</f>
        <v>41216.038010456439</v>
      </c>
      <c r="E5" s="17">
        <f>B32*B41</f>
        <v>996.55757196492971</v>
      </c>
      <c r="F5" s="17">
        <f>B36*B45</f>
        <v>21831.193363354312</v>
      </c>
      <c r="G5" s="18"/>
      <c r="H5" s="17"/>
      <c r="I5" s="17"/>
      <c r="J5" s="17">
        <f>B35*B44+C35*C44</f>
        <v>124.41835873742139</v>
      </c>
      <c r="K5" s="17"/>
      <c r="L5" s="17"/>
      <c r="M5" s="17"/>
      <c r="N5" s="17">
        <f>B34*B43+C34*C43</f>
        <v>6129.3747761218947</v>
      </c>
      <c r="O5" s="17">
        <f>B52*B53*B54</f>
        <v>501.94142950491909</v>
      </c>
      <c r="P5" s="17">
        <f>B60*B61*B62/1000-B60*B61*B62/1000/B63</f>
        <v>589.90172123036132</v>
      </c>
    </row>
    <row r="6" spans="1:16">
      <c r="A6" s="16" t="s">
        <v>597</v>
      </c>
      <c r="B6" s="778">
        <f>kWh_PV_kleiner_dan_10kW</f>
        <v>4773.0757922140047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18334.837597105205</v>
      </c>
      <c r="C8" s="21">
        <f>C5</f>
        <v>0</v>
      </c>
      <c r="D8" s="21">
        <f>D5</f>
        <v>41216.038010456439</v>
      </c>
      <c r="E8" s="21">
        <f>E5</f>
        <v>996.55757196492971</v>
      </c>
      <c r="F8" s="21">
        <f>F5</f>
        <v>21831.193363354312</v>
      </c>
      <c r="G8" s="21"/>
      <c r="H8" s="21"/>
      <c r="I8" s="21"/>
      <c r="J8" s="21">
        <f>J5</f>
        <v>124.41835873742139</v>
      </c>
      <c r="K8" s="21"/>
      <c r="L8" s="21">
        <f>L5</f>
        <v>0</v>
      </c>
      <c r="M8" s="21">
        <f>M5</f>
        <v>0</v>
      </c>
      <c r="N8" s="21">
        <f>N5</f>
        <v>6129.3747761218947</v>
      </c>
      <c r="O8" s="21">
        <f>O5</f>
        <v>501.94142950491909</v>
      </c>
      <c r="P8" s="21">
        <f>P5</f>
        <v>589.90172123036132</v>
      </c>
    </row>
    <row r="9" spans="1:16">
      <c r="B9" s="19"/>
      <c r="C9" s="19"/>
      <c r="D9" s="254"/>
      <c r="E9" s="19"/>
      <c r="F9" s="19"/>
      <c r="G9" s="19"/>
      <c r="H9" s="19"/>
      <c r="I9" s="19"/>
      <c r="J9" s="19"/>
      <c r="K9" s="19"/>
      <c r="L9" s="19"/>
      <c r="M9" s="19"/>
      <c r="N9" s="19"/>
      <c r="O9" s="19"/>
      <c r="P9" s="19"/>
    </row>
    <row r="10" spans="1:16">
      <c r="A10" s="24" t="s">
        <v>207</v>
      </c>
      <c r="B10" s="25">
        <f ca="1">'EF ele_warmte'!B12</f>
        <v>0.17558730525253854</v>
      </c>
      <c r="C10" s="25">
        <f ca="1">'EF ele_warmte'!B22</f>
        <v>5.4864941191334164E-3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3219.3647259186318</v>
      </c>
      <c r="C12" s="23">
        <f ca="1">C10*C8</f>
        <v>0</v>
      </c>
      <c r="D12" s="23">
        <f>D8*D10</f>
        <v>8325.6396781122021</v>
      </c>
      <c r="E12" s="23">
        <f>E10*E8</f>
        <v>226.21856883603905</v>
      </c>
      <c r="F12" s="23">
        <f>F10*F8</f>
        <v>5828.928628015602</v>
      </c>
      <c r="G12" s="23"/>
      <c r="H12" s="23"/>
      <c r="I12" s="23"/>
      <c r="J12" s="23">
        <f>J10*J8</f>
        <v>44.044098993047172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4703</v>
      </c>
      <c r="C26" s="36"/>
      <c r="D26" s="225"/>
    </row>
    <row r="27" spans="1:5" s="15" customFormat="1">
      <c r="A27" s="227" t="s">
        <v>860</v>
      </c>
      <c r="B27" s="37">
        <f>SUM(HH_hh_gas_aantal,HH_rest_gas_aantal)</f>
        <v>3239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3077.05</v>
      </c>
      <c r="C31" s="34" t="s">
        <v>104</v>
      </c>
      <c r="D31" s="171"/>
    </row>
    <row r="32" spans="1:5">
      <c r="A32" s="168" t="s">
        <v>72</v>
      </c>
      <c r="B32" s="33">
        <f>IF((B21*($B$26-($B$27-0.05*$B$27)-$B$60))&lt;0,0,(B21*($B$26-($B$27-0.05*$B$27)-$B$60)))</f>
        <v>24.923268189542775</v>
      </c>
      <c r="C32" s="34" t="s">
        <v>104</v>
      </c>
      <c r="D32" s="171"/>
    </row>
    <row r="33" spans="1:6">
      <c r="A33" s="168" t="s">
        <v>73</v>
      </c>
      <c r="B33" s="33">
        <f>IF((B22*($B$26-($B$27-0.05*$B$27)-$B$60))&lt;0,0,B22*($B$26-($B$27-0.05*$B$27)-$B$60))</f>
        <v>404.70451432374364</v>
      </c>
      <c r="C33" s="34" t="s">
        <v>104</v>
      </c>
      <c r="D33" s="171"/>
    </row>
    <row r="34" spans="1:6">
      <c r="A34" s="168" t="s">
        <v>74</v>
      </c>
      <c r="B34" s="33">
        <f>IF((B24*($B$26-($B$27-0.05*$B$27)-$B$60))&lt;0,0,B24*($B$26-($B$27-0.05*$B$27)-$B$60))</f>
        <v>77.587271339494052</v>
      </c>
      <c r="C34" s="33">
        <f>B26*C24</f>
        <v>963.67263491017729</v>
      </c>
      <c r="D34" s="230"/>
    </row>
    <row r="35" spans="1:6">
      <c r="A35" s="168" t="s">
        <v>76</v>
      </c>
      <c r="B35" s="33">
        <f>IF((B19*($B$26-($B$27-0.05*$B$27)-$B$60))&lt;0,0,B19*($B$26-($B$27-0.05*$B$27)-$B$60))</f>
        <v>10.834085263296508</v>
      </c>
      <c r="C35" s="33">
        <f>B35/2</f>
        <v>5.4170426316482541</v>
      </c>
      <c r="D35" s="230"/>
    </row>
    <row r="36" spans="1:6">
      <c r="A36" s="168" t="s">
        <v>77</v>
      </c>
      <c r="B36" s="33">
        <f>IF((B18*($B$26-($B$27-0.05*$B$27)-$B$60))&lt;0,0,B18*($B$26-($B$27-0.05*$B$27)-$B$60))</f>
        <v>1051.9008608839226</v>
      </c>
      <c r="C36" s="34" t="s">
        <v>104</v>
      </c>
      <c r="D36" s="171"/>
    </row>
    <row r="37" spans="1:6">
      <c r="A37" s="168" t="s">
        <v>78</v>
      </c>
      <c r="B37" s="33">
        <f>B60</f>
        <v>56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253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13559.035582906756</v>
      </c>
      <c r="C5" s="17">
        <f>IF(ISERROR('Eigen informatie GS &amp; warmtenet'!B60),0,'Eigen informatie GS &amp; warmtenet'!B60)</f>
        <v>0</v>
      </c>
      <c r="D5" s="30">
        <f>SUM(D6:D12)</f>
        <v>14169.10854884491</v>
      </c>
      <c r="E5" s="17">
        <f>SUM(E6:E12)</f>
        <v>50.195779804596327</v>
      </c>
      <c r="F5" s="17">
        <f>SUM(F6:F12)</f>
        <v>2292.6456141576568</v>
      </c>
      <c r="G5" s="18"/>
      <c r="H5" s="17"/>
      <c r="I5" s="17"/>
      <c r="J5" s="17">
        <f>SUM(J6:J12)</f>
        <v>1.3055164142969873E-2</v>
      </c>
      <c r="K5" s="17"/>
      <c r="L5" s="17"/>
      <c r="M5" s="17"/>
      <c r="N5" s="17">
        <f>SUM(N6:N12)</f>
        <v>511.49602679861232</v>
      </c>
      <c r="O5" s="17">
        <f>B38*B39*B40</f>
        <v>24.486303829205774</v>
      </c>
      <c r="P5" s="17">
        <f>B46*B47*B48/1000-B46*B47*B48/1000/B49</f>
        <v>157.61741491948504</v>
      </c>
      <c r="R5" s="32"/>
    </row>
    <row r="6" spans="1:18">
      <c r="A6" s="32" t="s">
        <v>53</v>
      </c>
      <c r="B6" s="37">
        <f>B26</f>
        <v>5892.9463057548901</v>
      </c>
      <c r="C6" s="33"/>
      <c r="D6" s="37">
        <f>IF(ISERROR(TER_kantoor_gas_kWh/1000),0,TER_kantoor_gas_kWh/1000)*0.903</f>
        <v>2121.2832182128022</v>
      </c>
      <c r="E6" s="33">
        <f>$C$26*'E Balans VL '!I12/100/3.6*1000000</f>
        <v>1.4041154119682315</v>
      </c>
      <c r="F6" s="33">
        <f>$C$26*('E Balans VL '!L12+'E Balans VL '!N12)/100/3.6*1000000</f>
        <v>511.86011483457514</v>
      </c>
      <c r="G6" s="34"/>
      <c r="H6" s="33"/>
      <c r="I6" s="33"/>
      <c r="J6" s="33">
        <f>$C$26*('E Balans VL '!D12+'E Balans VL '!E12)/100/3.6*1000000</f>
        <v>0</v>
      </c>
      <c r="K6" s="33"/>
      <c r="L6" s="33"/>
      <c r="M6" s="33"/>
      <c r="N6" s="33">
        <f>$C$26*'E Balans VL '!Y12/100/3.6*1000000</f>
        <v>7.8767471620025837</v>
      </c>
      <c r="O6" s="33"/>
      <c r="P6" s="33"/>
      <c r="R6" s="32"/>
    </row>
    <row r="7" spans="1:18">
      <c r="A7" s="32" t="s">
        <v>52</v>
      </c>
      <c r="B7" s="37">
        <f t="shared" ref="B7:B12" si="0">B27</f>
        <v>1190.90333588931</v>
      </c>
      <c r="C7" s="33"/>
      <c r="D7" s="37">
        <f>IF(ISERROR(TER_horeca_gas_kWh/1000),0,TER_horeca_gas_kWh/1000)*0.903</f>
        <v>2597.0929375568776</v>
      </c>
      <c r="E7" s="33">
        <f>$C$27*'E Balans VL '!I9/100/3.6*1000000</f>
        <v>0</v>
      </c>
      <c r="F7" s="33">
        <f>$C$27*('E Balans VL '!L9+'E Balans VL '!N9)/100/3.6*1000000</f>
        <v>97.037069603271263</v>
      </c>
      <c r="G7" s="34"/>
      <c r="H7" s="33"/>
      <c r="I7" s="33"/>
      <c r="J7" s="33">
        <f>$C$27*('E Balans VL '!D9+'E Balans VL '!E9)/100/3.6*1000000</f>
        <v>0</v>
      </c>
      <c r="K7" s="33"/>
      <c r="L7" s="33"/>
      <c r="M7" s="33"/>
      <c r="N7" s="33">
        <f>$C$27*'E Balans VL '!Y9/100/3.6*1000000</f>
        <v>0.32985805257619821</v>
      </c>
      <c r="O7" s="33"/>
      <c r="P7" s="33"/>
      <c r="R7" s="32"/>
    </row>
    <row r="8" spans="1:18">
      <c r="A8" s="6" t="s">
        <v>51</v>
      </c>
      <c r="B8" s="37">
        <f t="shared" si="0"/>
        <v>4010.3696508929197</v>
      </c>
      <c r="C8" s="33"/>
      <c r="D8" s="37">
        <f>IF(ISERROR(TER_handel_gas_kWh/1000),0,TER_handel_gas_kWh/1000)*0.903</f>
        <v>2744.3556013224224</v>
      </c>
      <c r="E8" s="33">
        <f>$C$28*'E Balans VL '!I13/100/3.6*1000000</f>
        <v>32.057349387238297</v>
      </c>
      <c r="F8" s="33">
        <f>$C$28*('E Balans VL '!L13+'E Balans VL '!N13)/100/3.6*1000000</f>
        <v>398.4052949039305</v>
      </c>
      <c r="G8" s="34"/>
      <c r="H8" s="33"/>
      <c r="I8" s="33"/>
      <c r="J8" s="33">
        <f>$C$28*('E Balans VL '!D13+'E Balans VL '!E13)/100/3.6*1000000</f>
        <v>0</v>
      </c>
      <c r="K8" s="33"/>
      <c r="L8" s="33"/>
      <c r="M8" s="33"/>
      <c r="N8" s="33">
        <f>$C$28*'E Balans VL '!Y13/100/3.6*1000000</f>
        <v>1.4981117776997046</v>
      </c>
      <c r="O8" s="33"/>
      <c r="P8" s="33"/>
      <c r="R8" s="32"/>
    </row>
    <row r="9" spans="1:18">
      <c r="A9" s="32" t="s">
        <v>50</v>
      </c>
      <c r="B9" s="37">
        <f t="shared" si="0"/>
        <v>1067.9395958309899</v>
      </c>
      <c r="C9" s="33"/>
      <c r="D9" s="37">
        <f>IF(ISERROR(TER_gezond_gas_kWh/1000),0,TER_gezond_gas_kWh/1000)*0.903</f>
        <v>2750.2693784536727</v>
      </c>
      <c r="E9" s="33">
        <f>$C$29*'E Balans VL '!I10/100/3.6*1000000</f>
        <v>0</v>
      </c>
      <c r="F9" s="33">
        <f>$C$29*('E Balans VL '!L10+'E Balans VL '!N10)/100/3.6*1000000</f>
        <v>97.360096979692827</v>
      </c>
      <c r="G9" s="34"/>
      <c r="H9" s="33"/>
      <c r="I9" s="33"/>
      <c r="J9" s="33">
        <f>$C$29*('E Balans VL '!D10+'E Balans VL '!E10)/100/3.6*1000000</f>
        <v>0</v>
      </c>
      <c r="K9" s="33"/>
      <c r="L9" s="33"/>
      <c r="M9" s="33"/>
      <c r="N9" s="33">
        <f>$C$29*'E Balans VL '!Y10/100/3.6*1000000</f>
        <v>7.8056814007296254</v>
      </c>
      <c r="O9" s="33"/>
      <c r="P9" s="33"/>
      <c r="R9" s="32"/>
    </row>
    <row r="10" spans="1:18">
      <c r="A10" s="32" t="s">
        <v>49</v>
      </c>
      <c r="B10" s="37">
        <f t="shared" si="0"/>
        <v>1290.7793135342099</v>
      </c>
      <c r="C10" s="33"/>
      <c r="D10" s="37">
        <f>IF(ISERROR(TER_ander_gas_kWh/1000),0,TER_ander_gas_kWh/1000)*0.903</f>
        <v>3601.9698477617771</v>
      </c>
      <c r="E10" s="33">
        <f>$C$30*'E Balans VL '!I14/100/3.6*1000000</f>
        <v>16.734315005389792</v>
      </c>
      <c r="F10" s="33">
        <f>$C$30*('E Balans VL '!L14+'E Balans VL '!N14)/100/3.6*1000000</f>
        <v>1183.8258593675205</v>
      </c>
      <c r="G10" s="34"/>
      <c r="H10" s="33"/>
      <c r="I10" s="33"/>
      <c r="J10" s="33">
        <f>$C$30*('E Balans VL '!D14+'E Balans VL '!E14)/100/3.6*1000000</f>
        <v>1.3055164142969873E-2</v>
      </c>
      <c r="K10" s="33"/>
      <c r="L10" s="33"/>
      <c r="M10" s="33"/>
      <c r="N10" s="33">
        <f>$C$30*'E Balans VL '!Y14/100/3.6*1000000</f>
        <v>493.65150153904142</v>
      </c>
      <c r="O10" s="33"/>
      <c r="P10" s="33"/>
      <c r="R10" s="32"/>
    </row>
    <row r="11" spans="1:18">
      <c r="A11" s="32" t="s">
        <v>54</v>
      </c>
      <c r="B11" s="37">
        <f t="shared" si="0"/>
        <v>106.09738100443499</v>
      </c>
      <c r="C11" s="33"/>
      <c r="D11" s="37">
        <f>IF(ISERROR(TER_onderwijs_gas_kWh/1000),0,TER_onderwijs_gas_kWh/1000)*0.903</f>
        <v>354.13756553735749</v>
      </c>
      <c r="E11" s="33">
        <f>$C$31*'E Balans VL '!I11/100/3.6*1000000</f>
        <v>0</v>
      </c>
      <c r="F11" s="33">
        <f>$C$31*('E Balans VL '!L11+'E Balans VL '!N11)/100/3.6*1000000</f>
        <v>4.1571784686668209</v>
      </c>
      <c r="G11" s="34"/>
      <c r="H11" s="33"/>
      <c r="I11" s="33"/>
      <c r="J11" s="33">
        <f>$C$31*('E Balans VL '!D11+'E Balans VL '!E11)/100/3.6*1000000</f>
        <v>0</v>
      </c>
      <c r="K11" s="33"/>
      <c r="L11" s="33"/>
      <c r="M11" s="33"/>
      <c r="N11" s="33">
        <f>$C$31*'E Balans VL '!Y11/100/3.6*1000000</f>
        <v>0.3341268665627638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6845.5</v>
      </c>
      <c r="C13" s="243">
        <f ca="1">'lokale energieproductie'!O40+'lokale energieproductie'!O33</f>
        <v>9779.3185328185318</v>
      </c>
      <c r="D13" s="304">
        <f ca="1">('lokale energieproductie'!P33+'lokale energieproductie'!P40)*(-1)</f>
        <v>-451.54440154440158</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-19105.714285714286</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20404.535582906756</v>
      </c>
      <c r="C16" s="21">
        <f t="shared" ca="1" si="1"/>
        <v>9779.3185328185318</v>
      </c>
      <c r="D16" s="21">
        <f t="shared" ca="1" si="1"/>
        <v>13717.564147300509</v>
      </c>
      <c r="E16" s="21">
        <f t="shared" si="1"/>
        <v>50.195779804596327</v>
      </c>
      <c r="F16" s="21">
        <f t="shared" ca="1" si="1"/>
        <v>2292.6456141576568</v>
      </c>
      <c r="G16" s="21">
        <f t="shared" si="1"/>
        <v>0</v>
      </c>
      <c r="H16" s="21">
        <f t="shared" si="1"/>
        <v>0</v>
      </c>
      <c r="I16" s="21">
        <f t="shared" si="1"/>
        <v>0</v>
      </c>
      <c r="J16" s="21">
        <f t="shared" si="1"/>
        <v>1.3055164142969873E-2</v>
      </c>
      <c r="K16" s="21">
        <f t="shared" si="1"/>
        <v>0</v>
      </c>
      <c r="L16" s="21">
        <f t="shared" ca="1" si="1"/>
        <v>0</v>
      </c>
      <c r="M16" s="21">
        <f t="shared" si="1"/>
        <v>0</v>
      </c>
      <c r="N16" s="21">
        <f t="shared" ca="1" si="1"/>
        <v>0</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0.17558730525253854</v>
      </c>
      <c r="C18" s="25">
        <f ca="1">'EF ele_warmte'!B22</f>
        <v>5.4864941191334164E-3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3582.7774179321332</v>
      </c>
      <c r="C20" s="23">
        <f t="shared" ref="C20:P20" ca="1" si="2">C16*C18</f>
        <v>53.654173619441302</v>
      </c>
      <c r="D20" s="23">
        <f t="shared" ca="1" si="2"/>
        <v>2770.9479577547031</v>
      </c>
      <c r="E20" s="23">
        <f t="shared" si="2"/>
        <v>11.394442015643367</v>
      </c>
      <c r="F20" s="23">
        <f t="shared" ca="1" si="2"/>
        <v>612.13637898009438</v>
      </c>
      <c r="G20" s="23">
        <f t="shared" si="2"/>
        <v>0</v>
      </c>
      <c r="H20" s="23">
        <f t="shared" si="2"/>
        <v>0</v>
      </c>
      <c r="I20" s="23">
        <f t="shared" si="2"/>
        <v>0</v>
      </c>
      <c r="J20" s="23">
        <f t="shared" si="2"/>
        <v>4.621528106611335E-3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5892.9463057548901</v>
      </c>
      <c r="C26" s="39">
        <f>IF(ISERROR(B26*3.6/1000000/'E Balans VL '!Z12*100),0,B26*3.6/1000000/'E Balans VL '!Z12*100)</f>
        <v>0.16906807495576903</v>
      </c>
      <c r="D26" s="233" t="s">
        <v>835</v>
      </c>
      <c r="F26" s="6"/>
    </row>
    <row r="27" spans="1:18" ht="30">
      <c r="A27" s="228" t="s">
        <v>52</v>
      </c>
      <c r="B27" s="33">
        <f>IF(ISERROR(TER_horeca_ele_kWh/1000),0,TER_horeca_ele_kWh/1000)</f>
        <v>1190.90333588931</v>
      </c>
      <c r="C27" s="39">
        <f>IF(ISERROR(B27*3.6/1000000/'E Balans VL '!Z9*100),0,B27*3.6/1000000/'E Balans VL '!Z9*100)</f>
        <v>8.724600000938032E-2</v>
      </c>
      <c r="D27" s="233" t="s">
        <v>835</v>
      </c>
      <c r="F27" s="6"/>
    </row>
    <row r="28" spans="1:18" ht="30">
      <c r="A28" s="168" t="s">
        <v>51</v>
      </c>
      <c r="B28" s="33">
        <f>IF(ISERROR(TER_handel_ele_kWh/1000),0,TER_handel_ele_kWh/1000)</f>
        <v>4010.3696508929197</v>
      </c>
      <c r="C28" s="39">
        <f>IF(ISERROR(B28*3.6/1000000/'E Balans VL '!Z13*100),0,B28*3.6/1000000/'E Balans VL '!Z13*100)</f>
        <v>0.12392380476423392</v>
      </c>
      <c r="D28" s="233" t="s">
        <v>835</v>
      </c>
      <c r="F28" s="6"/>
    </row>
    <row r="29" spans="1:18" ht="30">
      <c r="A29" s="228" t="s">
        <v>50</v>
      </c>
      <c r="B29" s="33">
        <f>IF(ISERROR(TER_gezond_ele_kWh/1000),0,TER_gezond_ele_kWh/1000)</f>
        <v>1067.9395958309899</v>
      </c>
      <c r="C29" s="39">
        <f>IF(ISERROR(B29*3.6/1000000/'E Balans VL '!Z10*100),0,B29*3.6/1000000/'E Balans VL '!Z10*100)</f>
        <v>0.10466464710395317</v>
      </c>
      <c r="D29" s="233" t="s">
        <v>835</v>
      </c>
      <c r="F29" s="6"/>
    </row>
    <row r="30" spans="1:18" ht="30">
      <c r="A30" s="228" t="s">
        <v>49</v>
      </c>
      <c r="B30" s="33">
        <f>IF(ISERROR(TER_ander_ele_kWh/1000),0,TER_ander_ele_kWh/1000)</f>
        <v>1290.7793135342099</v>
      </c>
      <c r="C30" s="39">
        <f>IF(ISERROR(B30*3.6/1000000/'E Balans VL '!Z14*100),0,B30*3.6/1000000/'E Balans VL '!Z14*100)</f>
        <v>5.3468249049705971E-2</v>
      </c>
      <c r="D30" s="233" t="s">
        <v>835</v>
      </c>
      <c r="F30" s="6"/>
    </row>
    <row r="31" spans="1:18" ht="30">
      <c r="A31" s="228" t="s">
        <v>54</v>
      </c>
      <c r="B31" s="33">
        <f>IF(ISERROR(TER_onderwijs_ele_kWh/1000),0,TER_onderwijs_ele_kWh/1000)</f>
        <v>106.09738100443499</v>
      </c>
      <c r="C31" s="39">
        <f>IF(ISERROR(B31*3.6/1000000/'E Balans VL '!Z11*100),0,B31*3.6/1000000/'E Balans VL '!Z11*100)</f>
        <v>3.2600499544296141E-2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21344.514416313476</v>
      </c>
      <c r="C5" s="17">
        <f>IF(ISERROR('Eigen informatie GS &amp; warmtenet'!B61),0,'Eigen informatie GS &amp; warmtenet'!B61)</f>
        <v>0</v>
      </c>
      <c r="D5" s="30">
        <f>SUM(D6:D15)</f>
        <v>21153.678276272985</v>
      </c>
      <c r="E5" s="17">
        <f>SUM(E6:E15)</f>
        <v>55.406360967320424</v>
      </c>
      <c r="F5" s="17">
        <f>SUM(F6:F15)</f>
        <v>2009.9615392872565</v>
      </c>
      <c r="G5" s="18"/>
      <c r="H5" s="17"/>
      <c r="I5" s="17"/>
      <c r="J5" s="17">
        <f>SUM(J6:J15)</f>
        <v>4.2769377705074412</v>
      </c>
      <c r="K5" s="17"/>
      <c r="L5" s="17"/>
      <c r="M5" s="17"/>
      <c r="N5" s="17">
        <f>SUM(N6:N15)</f>
        <v>838.99404413143645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2022.25597418898</v>
      </c>
      <c r="C8" s="33"/>
      <c r="D8" s="37">
        <f>IF( ISERROR(IND_metaal_Gas_kWH/1000),0,IND_metaal_Gas_kWH/1000)*0.903</f>
        <v>774.93628101694708</v>
      </c>
      <c r="E8" s="33">
        <f>C30*'E Balans VL '!I18/100/3.6*1000000</f>
        <v>11.023632701233645</v>
      </c>
      <c r="F8" s="33">
        <f>C30*'E Balans VL '!L18/100/3.6*1000000+C30*'E Balans VL '!N18/100/3.6*1000000</f>
        <v>130.2334392031448</v>
      </c>
      <c r="G8" s="34"/>
      <c r="H8" s="33"/>
      <c r="I8" s="33"/>
      <c r="J8" s="40">
        <f>C30*'E Balans VL '!D18/100/3.6*1000000+C30*'E Balans VL '!E18/100/3.6*1000000</f>
        <v>1.6564743144250993</v>
      </c>
      <c r="K8" s="33"/>
      <c r="L8" s="33"/>
      <c r="M8" s="33"/>
      <c r="N8" s="33">
        <f>C30*'E Balans VL '!Y18/100/3.6*1000000</f>
        <v>43.689504021879266</v>
      </c>
      <c r="O8" s="33"/>
      <c r="P8" s="33"/>
      <c r="R8" s="32"/>
    </row>
    <row r="9" spans="1:18">
      <c r="A9" s="6" t="s">
        <v>32</v>
      </c>
      <c r="B9" s="37">
        <f t="shared" si="0"/>
        <v>2379.2447276981502</v>
      </c>
      <c r="C9" s="33"/>
      <c r="D9" s="37">
        <f>IF( ISERROR(IND_andere_gas_kWh/1000),0,IND_andere_gas_kWh/1000)*0.903</f>
        <v>1780.2989152595123</v>
      </c>
      <c r="E9" s="33">
        <f>C31*'E Balans VL '!I19/100/3.6*1000000</f>
        <v>7.6806071677087537</v>
      </c>
      <c r="F9" s="33">
        <f>C31*'E Balans VL '!L19/100/3.6*1000000+C31*'E Balans VL '!N19/100/3.6*1000000</f>
        <v>1538.4383181468665</v>
      </c>
      <c r="G9" s="34"/>
      <c r="H9" s="33"/>
      <c r="I9" s="33"/>
      <c r="J9" s="40">
        <f>C31*'E Balans VL '!D19/100/3.6*1000000+C31*'E Balans VL '!E19/100/3.6*1000000</f>
        <v>0</v>
      </c>
      <c r="K9" s="33"/>
      <c r="L9" s="33"/>
      <c r="M9" s="33"/>
      <c r="N9" s="33">
        <f>C31*'E Balans VL '!Y19/100/3.6*1000000</f>
        <v>96.142531177598826</v>
      </c>
      <c r="O9" s="33"/>
      <c r="P9" s="33"/>
      <c r="R9" s="32"/>
    </row>
    <row r="10" spans="1:18">
      <c r="A10" s="6" t="s">
        <v>40</v>
      </c>
      <c r="B10" s="37">
        <f t="shared" si="0"/>
        <v>16579.732264246599</v>
      </c>
      <c r="C10" s="33"/>
      <c r="D10" s="37">
        <f>IF( ISERROR(IND_voed_gas_kWh/1000),0,IND_voed_gas_kWh/1000)*0.903</f>
        <v>18543.667158886932</v>
      </c>
      <c r="E10" s="33">
        <f>C32*'E Balans VL '!I20/100/3.6*1000000</f>
        <v>34.755182079859871</v>
      </c>
      <c r="F10" s="33">
        <f>C32*'E Balans VL '!L20/100/3.6*1000000+C32*'E Balans VL '!N20/100/3.6*1000000</f>
        <v>323.03048202551321</v>
      </c>
      <c r="G10" s="34"/>
      <c r="H10" s="33"/>
      <c r="I10" s="33"/>
      <c r="J10" s="40">
        <f>C32*'E Balans VL '!D20/100/3.6*1000000+C32*'E Balans VL '!E20/100/3.6*1000000</f>
        <v>0</v>
      </c>
      <c r="K10" s="33"/>
      <c r="L10" s="33"/>
      <c r="M10" s="33"/>
      <c r="N10" s="33">
        <f>C32*'E Balans VL '!Y20/100/3.6*1000000</f>
        <v>659.4957837172467</v>
      </c>
      <c r="O10" s="33"/>
      <c r="P10" s="33"/>
      <c r="R10" s="32"/>
    </row>
    <row r="11" spans="1:18">
      <c r="A11" s="6" t="s">
        <v>39</v>
      </c>
      <c r="B11" s="37">
        <f t="shared" si="0"/>
        <v>282.44610145663205</v>
      </c>
      <c r="C11" s="33"/>
      <c r="D11" s="37">
        <f>IF( ISERROR(IND_textiel_gas_kWh/1000),0,IND_textiel_gas_kWh/1000)*0.903</f>
        <v>0</v>
      </c>
      <c r="E11" s="33">
        <f>C33*'E Balans VL '!I21/100/3.6*1000000</f>
        <v>0.24269744451779168</v>
      </c>
      <c r="F11" s="33">
        <f>C33*'E Balans VL '!L21/100/3.6*1000000+C33*'E Balans VL '!N21/100/3.6*1000000</f>
        <v>5.9217756628042659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71.863591676554805</v>
      </c>
      <c r="C12" s="33"/>
      <c r="D12" s="37">
        <f>IF( ISERROR(IND_min_gas_kWh/1000),0,IND_min_gas_kWh/1000)*0.903</f>
        <v>0</v>
      </c>
      <c r="E12" s="33">
        <f>C34*'E Balans VL '!I22/100/3.6*1000000</f>
        <v>1.1760519095605337</v>
      </c>
      <c r="F12" s="33">
        <f>C34*'E Balans VL '!L22/100/3.6*1000000+C34*'E Balans VL '!N22/100/3.6*1000000</f>
        <v>10.968851039973314</v>
      </c>
      <c r="G12" s="34"/>
      <c r="H12" s="33"/>
      <c r="I12" s="33"/>
      <c r="J12" s="40">
        <f>C34*'E Balans VL '!D22/100/3.6*1000000+C34*'E Balans VL '!E22/100/3.6*1000000</f>
        <v>2.5717511414325251</v>
      </c>
      <c r="K12" s="33"/>
      <c r="L12" s="33"/>
      <c r="M12" s="33"/>
      <c r="N12" s="33">
        <f>C34*'E Balans VL '!Y22/100/3.6*1000000</f>
        <v>39.382773461811134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8.9717570465587997</v>
      </c>
      <c r="C15" s="33"/>
      <c r="D15" s="37">
        <f>IF( ISERROR(IND_rest_gas_kWh/1000),0,IND_rest_gas_kWh/1000)*0.903</f>
        <v>54.775921109594321</v>
      </c>
      <c r="E15" s="33">
        <f>C37*'E Balans VL '!I15/100/3.6*1000000</f>
        <v>0.52818966443982407</v>
      </c>
      <c r="F15" s="33">
        <f>C37*'E Balans VL '!L15/100/3.6*1000000+C37*'E Balans VL '!N15/100/3.6*1000000</f>
        <v>1.3686732089543552</v>
      </c>
      <c r="G15" s="34"/>
      <c r="H15" s="33"/>
      <c r="I15" s="33"/>
      <c r="J15" s="40">
        <f>C37*'E Balans VL '!D15/100/3.6*1000000+C37*'E Balans VL '!E15/100/3.6*1000000</f>
        <v>4.871231464981636E-2</v>
      </c>
      <c r="K15" s="33"/>
      <c r="L15" s="33"/>
      <c r="M15" s="33"/>
      <c r="N15" s="33">
        <f>C37*'E Balans VL '!Y15/100/3.6*1000000</f>
        <v>0.28345175290049268</v>
      </c>
      <c r="O15" s="33"/>
      <c r="P15" s="33"/>
      <c r="R15" s="32"/>
    </row>
    <row r="16" spans="1:18">
      <c r="A16" s="16" t="s">
        <v>467</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21344.514416313476</v>
      </c>
      <c r="C18" s="21">
        <f>C5+C16</f>
        <v>0</v>
      </c>
      <c r="D18" s="21">
        <f>MAX((D5+D16),0)</f>
        <v>21153.678276272985</v>
      </c>
      <c r="E18" s="21">
        <f>MAX((E5+E16),0)</f>
        <v>55.406360967320424</v>
      </c>
      <c r="F18" s="21">
        <f>MAX((F5+F16),0)</f>
        <v>2009.9615392872565</v>
      </c>
      <c r="G18" s="21"/>
      <c r="H18" s="21"/>
      <c r="I18" s="21"/>
      <c r="J18" s="21">
        <f>MAX((J5+J16),0)</f>
        <v>4.2769377705074412</v>
      </c>
      <c r="K18" s="21"/>
      <c r="L18" s="21">
        <f>MAX((L5+L16),0)</f>
        <v>0</v>
      </c>
      <c r="M18" s="21"/>
      <c r="N18" s="21">
        <f>MAX((N5+N16),0)</f>
        <v>838.99404413143645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0.17558730525253854</v>
      </c>
      <c r="C20" s="25">
        <f ca="1">'EF ele_warmte'!B22</f>
        <v>5.4864941191334164E-3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3747.8257682844437</v>
      </c>
      <c r="C22" s="23">
        <f ca="1">C18*C20</f>
        <v>0</v>
      </c>
      <c r="D22" s="23">
        <f>D18*D20</f>
        <v>4273.0430118071436</v>
      </c>
      <c r="E22" s="23">
        <f>E18*E20</f>
        <v>12.577243939581736</v>
      </c>
      <c r="F22" s="23">
        <f>F18*F20</f>
        <v>536.65973098969755</v>
      </c>
      <c r="G22" s="23"/>
      <c r="H22" s="23"/>
      <c r="I22" s="23"/>
      <c r="J22" s="23">
        <f>J18*J20</f>
        <v>1.514035970759634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2022.25597418898</v>
      </c>
      <c r="C30" s="39">
        <f>IF(ISERROR(B30*3.6/1000000/'E Balans VL '!Z18*100),0,B30*3.6/1000000/'E Balans VL '!Z18*100)</f>
        <v>0.12177470965755313</v>
      </c>
      <c r="D30" s="233" t="s">
        <v>835</v>
      </c>
    </row>
    <row r="31" spans="1:18" ht="30">
      <c r="A31" s="6" t="s">
        <v>32</v>
      </c>
      <c r="B31" s="37">
        <f>IF( ISERROR(IND_ander_ele_kWh/1000),0,IND_ander_ele_kWh/1000)</f>
        <v>2379.2447276981502</v>
      </c>
      <c r="C31" s="39">
        <f>IF(ISERROR(B31*3.6/1000000/'E Balans VL '!Z19*100),0,B31*3.6/1000000/'E Balans VL '!Z19*100)</f>
        <v>9.6935355809853699E-2</v>
      </c>
      <c r="D31" s="233" t="s">
        <v>835</v>
      </c>
    </row>
    <row r="32" spans="1:18" ht="30">
      <c r="A32" s="168" t="s">
        <v>40</v>
      </c>
      <c r="B32" s="37">
        <f>IF( ISERROR(IND_voed_ele_kWh/1000),0,IND_voed_ele_kWh/1000)</f>
        <v>16579.732264246599</v>
      </c>
      <c r="C32" s="39">
        <f>IF(ISERROR(B32*3.6/1000000/'E Balans VL '!Z20*100),0,B32*3.6/1000000/'E Balans VL '!Z20*100)</f>
        <v>0.47938678158764059</v>
      </c>
      <c r="D32" s="233" t="s">
        <v>835</v>
      </c>
    </row>
    <row r="33" spans="1:5" ht="30">
      <c r="A33" s="168" t="s">
        <v>39</v>
      </c>
      <c r="B33" s="37">
        <f>IF( ISERROR(IND_textiel_ele_kWh/1000),0,IND_textiel_ele_kWh/1000)</f>
        <v>282.44610145663205</v>
      </c>
      <c r="C33" s="39">
        <f>IF(ISERROR(B33*3.6/1000000/'E Balans VL '!Z21*100),0,B33*3.6/1000000/'E Balans VL '!Z21*100)</f>
        <v>4.6449271678046251E-2</v>
      </c>
      <c r="D33" s="233" t="s">
        <v>835</v>
      </c>
    </row>
    <row r="34" spans="1:5" ht="30">
      <c r="A34" s="168" t="s">
        <v>36</v>
      </c>
      <c r="B34" s="37">
        <f>IF( ISERROR(IND_min_ele_kWh/1000),0,IND_min_ele_kWh/1000)</f>
        <v>71.863591676554805</v>
      </c>
      <c r="C34" s="39">
        <f>IF(ISERROR(B34*3.6/1000000/'E Balans VL '!Z22*100),0,B34*3.6/1000000/'E Balans VL '!Z22*100)</f>
        <v>3.0685085871526855E-2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8.9717570465587997</v>
      </c>
      <c r="C37" s="39">
        <f>IF(ISERROR(B37*3.6/1000000/'E Balans VL '!Z15*100),0,B37*3.6/1000000/'E Balans VL '!Z15*100)</f>
        <v>7.3664920754566536E-5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2008.5897464790401</v>
      </c>
      <c r="C5" s="17">
        <f>'Eigen informatie GS &amp; warmtenet'!B62</f>
        <v>0</v>
      </c>
      <c r="D5" s="30">
        <f>IF(ISERROR(SUM(LB_lb_gas_kWh,LB_rest_gas_kWh)/1000),0,SUM(LB_lb_gas_kWh,LB_rest_gas_kWh)/1000)*0.903</f>
        <v>242.20075899396764</v>
      </c>
      <c r="E5" s="17">
        <f>B17*'E Balans VL '!I25/3.6*1000000/100</f>
        <v>57.529409495326405</v>
      </c>
      <c r="F5" s="17">
        <f>B17*('E Balans VL '!L25/3.6*1000000+'E Balans VL '!N25/3.6*1000000)/100</f>
        <v>6358.1575745779401</v>
      </c>
      <c r="G5" s="18"/>
      <c r="H5" s="17"/>
      <c r="I5" s="17"/>
      <c r="J5" s="17">
        <f>('E Balans VL '!D25+'E Balans VL '!E25)/3.6*1000000*landbouw!B17/100</f>
        <v>510.72129800704005</v>
      </c>
      <c r="K5" s="17"/>
      <c r="L5" s="17">
        <f>L6*(-1)</f>
        <v>0</v>
      </c>
      <c r="M5" s="17"/>
      <c r="N5" s="17">
        <f>N6*(-1)</f>
        <v>0</v>
      </c>
      <c r="O5" s="17"/>
      <c r="P5" s="17"/>
      <c r="R5" s="32"/>
    </row>
    <row r="6" spans="1:18">
      <c r="A6" s="16" t="s">
        <v>467</v>
      </c>
      <c r="B6" s="17" t="s">
        <v>204</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2008.5897464790401</v>
      </c>
      <c r="C8" s="21">
        <f>C5+C6</f>
        <v>0</v>
      </c>
      <c r="D8" s="21">
        <f>MAX((D5+D6),0)</f>
        <v>242.20075899396764</v>
      </c>
      <c r="E8" s="21">
        <f>MAX((E5+E6),0)</f>
        <v>57.529409495326405</v>
      </c>
      <c r="F8" s="21">
        <f>MAX((F5+F6),0)</f>
        <v>6358.1575745779401</v>
      </c>
      <c r="G8" s="21"/>
      <c r="H8" s="21"/>
      <c r="I8" s="21"/>
      <c r="J8" s="21">
        <f>MAX((J5+J6),0)</f>
        <v>510.72129800704005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0.17558730525253854</v>
      </c>
      <c r="C10" s="31">
        <f ca="1">'EF ele_warmte'!B22</f>
        <v>5.4864941191334164E-3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352.6828609421342</v>
      </c>
      <c r="C12" s="23">
        <f ca="1">C8*C10</f>
        <v>0</v>
      </c>
      <c r="D12" s="23">
        <f>D8*D10</f>
        <v>48.924553316781463</v>
      </c>
      <c r="E12" s="23">
        <f>E8*E10</f>
        <v>13.059175955439095</v>
      </c>
      <c r="F12" s="23">
        <f>F8*F10</f>
        <v>1697.6280724123101</v>
      </c>
      <c r="G12" s="23"/>
      <c r="H12" s="23"/>
      <c r="I12" s="23"/>
      <c r="J12" s="23">
        <f>J8*J10</f>
        <v>180.79533949449217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0.27814411402514538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282.47967306018933</v>
      </c>
      <c r="C26" s="243">
        <f>B26*'GWP N2O_CH4'!B5</f>
        <v>5932.0731342639756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215.93191637189247</v>
      </c>
      <c r="C27" s="243">
        <f>B27*'GWP N2O_CH4'!B5</f>
        <v>4534.5702438097414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4.271650695023963</v>
      </c>
      <c r="C28" s="243">
        <f>B28*'GWP N2O_CH4'!B4</f>
        <v>1324.2117154574285</v>
      </c>
      <c r="D28" s="50"/>
    </row>
    <row r="29" spans="1:4">
      <c r="A29" s="41" t="s">
        <v>266</v>
      </c>
      <c r="B29" s="243">
        <f>B34*'ha_N2O bodem landbouw'!B4</f>
        <v>16.439711935194868</v>
      </c>
      <c r="C29" s="243">
        <f>B29*'GWP N2O_CH4'!B4</f>
        <v>5096.3106999104093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3.7348083255865903E-3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3.0838105332823477E-4</v>
      </c>
      <c r="C5" s="432" t="s">
        <v>204</v>
      </c>
      <c r="D5" s="417">
        <f>SUM(D6:D11)</f>
        <v>6.6699399321342345E-4</v>
      </c>
      <c r="E5" s="417">
        <f>SUM(E6:E11)</f>
        <v>2.5483844468564374E-4</v>
      </c>
      <c r="F5" s="430" t="s">
        <v>204</v>
      </c>
      <c r="G5" s="417">
        <f>SUM(G6:G11)</f>
        <v>9.4841792663911517E-2</v>
      </c>
      <c r="H5" s="417">
        <f>SUM(H6:H11)</f>
        <v>3.2449962264210368E-2</v>
      </c>
      <c r="I5" s="432" t="s">
        <v>204</v>
      </c>
      <c r="J5" s="432" t="s">
        <v>204</v>
      </c>
      <c r="K5" s="432" t="s">
        <v>204</v>
      </c>
      <c r="L5" s="432" t="s">
        <v>204</v>
      </c>
      <c r="M5" s="417">
        <f>SUM(M6:M11)</f>
        <v>7.7460849596476993E-3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5.8507030060609899E-5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9.7547967791468946E-5</v>
      </c>
      <c r="E6" s="884">
        <f>vkm_GW_PW*SUMIFS(TableVerdeelsleutelVkm[LPG],TableVerdeelsleutelVkm[Voertuigtype],"Lichte voertuigen")*SUMIFS(TableECFTransport[EnergieConsumptieFactor (PJ per km)],TableECFTransport[Index],CONCATENATE($A6,"_LPG_LPG"))</f>
        <v>3.8673801740780584E-5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1.1622448926030047E-2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4.7839230734477677E-3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1.0064825383204455E-3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1.3497491628470031E-7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5.3504907576638417E-3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3.9478877217836237E-8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3.0721613085366603E-4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2.4937932616019785E-4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5.6944602542195451E-4</v>
      </c>
      <c r="E8" s="420">
        <f>vkm_NGW_PW*SUMIFS(TableVerdeelsleutelVkm[LPG],TableVerdeelsleutelVkm[Voertuigtype],"Lichte voertuigen")*SUMIFS(TableECFTransport[EnergieConsumptieFactor (PJ per km)],TableECFTransport[Index],CONCATENATE($A8,"_LPG_LPG"))</f>
        <v>2.1616464294486317E-4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5.9505820531767548E-2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2.7665872714317939E-2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5.3780126240587298E-3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3.5972219114230657E-7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1.8363032448450087E-2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1.2699756743833142E-7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1.0543736664148584E-3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85.66140370228743</v>
      </c>
      <c r="C14" s="21"/>
      <c r="D14" s="21">
        <f t="shared" ref="D14:M14" si="0">((D5)*10^9/3600)+D12</f>
        <v>185.27610922595096</v>
      </c>
      <c r="E14" s="21">
        <f t="shared" si="0"/>
        <v>70.788456857123265</v>
      </c>
      <c r="F14" s="21"/>
      <c r="G14" s="21">
        <f t="shared" si="0"/>
        <v>26344.942406642091</v>
      </c>
      <c r="H14" s="21">
        <f t="shared" si="0"/>
        <v>9013.8784067251017</v>
      </c>
      <c r="I14" s="21"/>
      <c r="J14" s="21"/>
      <c r="K14" s="21"/>
      <c r="L14" s="21"/>
      <c r="M14" s="21">
        <f t="shared" si="0"/>
        <v>2151.6902665688053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0.17558730525253854</v>
      </c>
      <c r="C16" s="56">
        <f ca="1">'EF ele_warmte'!B22</f>
        <v>5.4864941191334164E-3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15.041055040234479</v>
      </c>
      <c r="C18" s="23"/>
      <c r="D18" s="23">
        <f t="shared" ref="D18:M18" si="1">D14*D16</f>
        <v>37.425774063642095</v>
      </c>
      <c r="E18" s="23">
        <f t="shared" si="1"/>
        <v>16.068979706566981</v>
      </c>
      <c r="F18" s="23"/>
      <c r="G18" s="23">
        <f t="shared" si="1"/>
        <v>7034.0996225734389</v>
      </c>
      <c r="H18" s="23">
        <f t="shared" si="1"/>
        <v>2244.4557232745501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6.3185708518668945E-5</v>
      </c>
      <c r="C50" s="315">
        <f t="shared" ref="C50:P50" si="2">SUM(C51:C52)</f>
        <v>0</v>
      </c>
      <c r="D50" s="315">
        <f t="shared" si="2"/>
        <v>0</v>
      </c>
      <c r="E50" s="315">
        <f t="shared" si="2"/>
        <v>0</v>
      </c>
      <c r="F50" s="315">
        <f t="shared" si="2"/>
        <v>0</v>
      </c>
      <c r="G50" s="315">
        <f t="shared" si="2"/>
        <v>3.9556163770441324E-3</v>
      </c>
      <c r="H50" s="315">
        <f t="shared" si="2"/>
        <v>0</v>
      </c>
      <c r="I50" s="315">
        <f t="shared" si="2"/>
        <v>0</v>
      </c>
      <c r="J50" s="315">
        <f t="shared" si="2"/>
        <v>0</v>
      </c>
      <c r="K50" s="315">
        <f t="shared" si="2"/>
        <v>0</v>
      </c>
      <c r="L50" s="315">
        <f t="shared" si="2"/>
        <v>0</v>
      </c>
      <c r="M50" s="315">
        <f t="shared" si="2"/>
        <v>2.2712273371417615E-4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6.3185708518668945E-5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3.9556163770441324E-3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2.2712273371417615E-4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17.551585699630262</v>
      </c>
      <c r="C54" s="21">
        <f t="shared" ref="C54:P54" si="3">(C50)*10^9/3600</f>
        <v>0</v>
      </c>
      <c r="D54" s="21">
        <f t="shared" si="3"/>
        <v>0</v>
      </c>
      <c r="E54" s="21">
        <f t="shared" si="3"/>
        <v>0</v>
      </c>
      <c r="F54" s="21">
        <f t="shared" si="3"/>
        <v>0</v>
      </c>
      <c r="G54" s="21">
        <f t="shared" si="3"/>
        <v>1098.7823269567034</v>
      </c>
      <c r="H54" s="21">
        <f t="shared" si="3"/>
        <v>0</v>
      </c>
      <c r="I54" s="21">
        <f t="shared" si="3"/>
        <v>0</v>
      </c>
      <c r="J54" s="21">
        <f t="shared" si="3"/>
        <v>0</v>
      </c>
      <c r="K54" s="21">
        <f t="shared" si="3"/>
        <v>0</v>
      </c>
      <c r="L54" s="21">
        <f t="shared" si="3"/>
        <v>0</v>
      </c>
      <c r="M54" s="21">
        <f t="shared" si="3"/>
        <v>63.089648253937817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0.17558730525253854</v>
      </c>
      <c r="C56" s="56">
        <f ca="1">'EF ele_warmte'!B22</f>
        <v>5.4864941191334164E-3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3.0818356359070691</v>
      </c>
      <c r="C58" s="23">
        <f t="shared" ref="C58:P58" ca="1" si="4">C54*C56</f>
        <v>0</v>
      </c>
      <c r="D58" s="23">
        <f t="shared" si="4"/>
        <v>0</v>
      </c>
      <c r="E58" s="23">
        <f t="shared" si="4"/>
        <v>0</v>
      </c>
      <c r="F58" s="23">
        <f t="shared" si="4"/>
        <v>0</v>
      </c>
      <c r="G58" s="23">
        <f t="shared" si="4"/>
        <v>293.3748812974398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6400.2798269633777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6845.5</v>
      </c>
      <c r="C8" s="543">
        <f>B50</f>
        <v>185.92968065607826</v>
      </c>
      <c r="D8" s="544"/>
      <c r="E8" s="544">
        <f>E50</f>
        <v>0</v>
      </c>
      <c r="F8" s="545"/>
      <c r="G8" s="546"/>
      <c r="H8" s="544">
        <f>I50</f>
        <v>0</v>
      </c>
      <c r="I8" s="544">
        <f>G50+F50</f>
        <v>0</v>
      </c>
      <c r="J8" s="544">
        <f>H50+D50+C50</f>
        <v>7867.0432934153441</v>
      </c>
      <c r="K8" s="544"/>
      <c r="L8" s="544"/>
      <c r="M8" s="544"/>
      <c r="N8" s="547"/>
      <c r="O8" s="548">
        <f>C8*$C$12+D8*$D$12+E8*$E$12+F8*$F$12+G8*$G$12+H8*$H$12+I8*$I$12+J8*$J$12</f>
        <v>37.557795492527809</v>
      </c>
      <c r="P8" s="1256"/>
      <c r="Q8" s="1257"/>
      <c r="S8" s="538"/>
      <c r="T8" s="1244"/>
      <c r="U8" s="1244"/>
    </row>
    <row r="9" spans="1:21" s="529" customFormat="1" ht="17.45" customHeight="1" thickBot="1">
      <c r="A9" s="549" t="s">
        <v>237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13245.779826963379</v>
      </c>
      <c r="C10" s="558">
        <f t="shared" ref="C10:L10" si="0">SUM(C8:C9)</f>
        <v>185.92968065607826</v>
      </c>
      <c r="D10" s="558">
        <f t="shared" si="0"/>
        <v>0</v>
      </c>
      <c r="E10" s="558">
        <f t="shared" si="0"/>
        <v>0</v>
      </c>
      <c r="F10" s="558">
        <f t="shared" si="0"/>
        <v>0</v>
      </c>
      <c r="G10" s="558">
        <f t="shared" si="0"/>
        <v>0</v>
      </c>
      <c r="H10" s="558">
        <f t="shared" si="0"/>
        <v>0</v>
      </c>
      <c r="I10" s="558">
        <f t="shared" si="0"/>
        <v>0</v>
      </c>
      <c r="J10" s="558">
        <f t="shared" si="0"/>
        <v>7867.0432934153441</v>
      </c>
      <c r="K10" s="558">
        <f t="shared" si="0"/>
        <v>0</v>
      </c>
      <c r="L10" s="558">
        <f t="shared" si="0"/>
        <v>0</v>
      </c>
      <c r="M10" s="959"/>
      <c r="N10" s="959"/>
      <c r="O10" s="559">
        <f>SUM(O4:O9)</f>
        <v>37.557795492527809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9779.3185328185318</v>
      </c>
      <c r="C17" s="574">
        <f>B51</f>
        <v>265.61472088832329</v>
      </c>
      <c r="D17" s="575"/>
      <c r="E17" s="575">
        <f>E51</f>
        <v>0</v>
      </c>
      <c r="F17" s="576"/>
      <c r="G17" s="577"/>
      <c r="H17" s="574">
        <f>I51</f>
        <v>0</v>
      </c>
      <c r="I17" s="575">
        <f>G51+F51</f>
        <v>0</v>
      </c>
      <c r="J17" s="575">
        <f>H51+D51+C51</f>
        <v>11238.670992298941</v>
      </c>
      <c r="K17" s="575"/>
      <c r="L17" s="575"/>
      <c r="M17" s="575"/>
      <c r="N17" s="960"/>
      <c r="O17" s="578">
        <f>C17*$C$22+E17*$E$22+H17*$H$22+I17*$I$22+J17*$J$22+D17*$D$22+F17*$F$22+G17*$G$22+K17*$K$22+L17*$L$22</f>
        <v>53.654173619441309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9779.3185328185318</v>
      </c>
      <c r="C20" s="557">
        <f>SUM(C17:C19)</f>
        <v>265.61472088832329</v>
      </c>
      <c r="D20" s="557">
        <f t="shared" ref="D20:L20" si="1">SUM(D17:D19)</f>
        <v>0</v>
      </c>
      <c r="E20" s="557">
        <f t="shared" si="1"/>
        <v>0</v>
      </c>
      <c r="F20" s="557">
        <f t="shared" si="1"/>
        <v>0</v>
      </c>
      <c r="G20" s="557">
        <f t="shared" si="1"/>
        <v>0</v>
      </c>
      <c r="H20" s="557">
        <f t="shared" si="1"/>
        <v>0</v>
      </c>
      <c r="I20" s="557">
        <f t="shared" si="1"/>
        <v>0</v>
      </c>
      <c r="J20" s="557">
        <f t="shared" si="1"/>
        <v>11238.670992298941</v>
      </c>
      <c r="K20" s="557">
        <f t="shared" si="1"/>
        <v>0</v>
      </c>
      <c r="L20" s="557">
        <f t="shared" si="1"/>
        <v>0</v>
      </c>
      <c r="M20" s="557"/>
      <c r="N20" s="557"/>
      <c r="O20" s="583">
        <f>SUM(O17:O19)</f>
        <v>53.654173619441309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36012</v>
      </c>
      <c r="C28" s="785">
        <v>8890</v>
      </c>
      <c r="D28" s="635"/>
      <c r="E28" s="634"/>
      <c r="F28" s="634"/>
      <c r="G28" s="634" t="s">
        <v>868</v>
      </c>
      <c r="H28" s="634" t="s">
        <v>869</v>
      </c>
      <c r="I28" s="634"/>
      <c r="J28" s="784"/>
      <c r="K28" s="784"/>
      <c r="L28" s="634" t="s">
        <v>870</v>
      </c>
      <c r="M28" s="634">
        <v>1486</v>
      </c>
      <c r="N28" s="634">
        <v>6687</v>
      </c>
      <c r="O28" s="634">
        <v>9552.8571428571431</v>
      </c>
      <c r="P28" s="634">
        <v>0</v>
      </c>
      <c r="Q28" s="634">
        <v>19105.714285714286</v>
      </c>
      <c r="R28" s="634">
        <v>0</v>
      </c>
      <c r="S28" s="634">
        <v>0</v>
      </c>
      <c r="T28" s="634">
        <v>0</v>
      </c>
      <c r="U28" s="634">
        <v>0</v>
      </c>
      <c r="V28" s="634">
        <v>0</v>
      </c>
      <c r="W28" s="634">
        <v>0</v>
      </c>
      <c r="X28" s="634">
        <v>1500</v>
      </c>
      <c r="Y28" s="634" t="s">
        <v>50</v>
      </c>
      <c r="Z28" s="636" t="s">
        <v>149</v>
      </c>
    </row>
    <row r="29" spans="1:26" s="588" customFormat="1" ht="12.75" hidden="1">
      <c r="A29" s="587"/>
      <c r="B29" s="785">
        <v>36012</v>
      </c>
      <c r="C29" s="785">
        <v>8890</v>
      </c>
      <c r="D29" s="635"/>
      <c r="E29" s="634"/>
      <c r="F29" s="634"/>
      <c r="G29" s="634" t="s">
        <v>871</v>
      </c>
      <c r="H29" s="634" t="s">
        <v>872</v>
      </c>
      <c r="I29" s="634"/>
      <c r="J29" s="784"/>
      <c r="K29" s="784"/>
      <c r="L29" s="634" t="s">
        <v>873</v>
      </c>
      <c r="M29" s="634">
        <v>1.7</v>
      </c>
      <c r="N29" s="634">
        <v>8.5</v>
      </c>
      <c r="O29" s="634">
        <v>12.175675675675675</v>
      </c>
      <c r="P29" s="634">
        <v>22.972972972972972</v>
      </c>
      <c r="Q29" s="634">
        <v>0</v>
      </c>
      <c r="R29" s="634">
        <v>0</v>
      </c>
      <c r="S29" s="634">
        <v>0</v>
      </c>
      <c r="T29" s="634">
        <v>0</v>
      </c>
      <c r="U29" s="634">
        <v>0</v>
      </c>
      <c r="V29" s="634">
        <v>0</v>
      </c>
      <c r="W29" s="634">
        <v>0</v>
      </c>
      <c r="X29" s="634">
        <v>1200</v>
      </c>
      <c r="Y29" s="634" t="s">
        <v>52</v>
      </c>
      <c r="Z29" s="636" t="s">
        <v>149</v>
      </c>
    </row>
    <row r="30" spans="1:26" s="588" customFormat="1" ht="63.75" hidden="1">
      <c r="A30" s="587"/>
      <c r="B30" s="785">
        <v>36012</v>
      </c>
      <c r="C30" s="785">
        <v>8890</v>
      </c>
      <c r="D30" s="635"/>
      <c r="E30" s="634"/>
      <c r="F30" s="634"/>
      <c r="G30" s="634" t="s">
        <v>874</v>
      </c>
      <c r="H30" s="634" t="s">
        <v>869</v>
      </c>
      <c r="I30" s="634"/>
      <c r="J30" s="784"/>
      <c r="K30" s="784"/>
      <c r="L30" s="634" t="s">
        <v>873</v>
      </c>
      <c r="M30" s="634">
        <v>50</v>
      </c>
      <c r="N30" s="634">
        <v>150</v>
      </c>
      <c r="O30" s="634">
        <v>214.28571428571428</v>
      </c>
      <c r="P30" s="634">
        <v>428.57142857142861</v>
      </c>
      <c r="Q30" s="634">
        <v>0</v>
      </c>
      <c r="R30" s="634">
        <v>0</v>
      </c>
      <c r="S30" s="634">
        <v>0</v>
      </c>
      <c r="T30" s="634">
        <v>0</v>
      </c>
      <c r="U30" s="634">
        <v>0</v>
      </c>
      <c r="V30" s="634">
        <v>0</v>
      </c>
      <c r="W30" s="634">
        <v>0</v>
      </c>
      <c r="X30" s="634">
        <v>1600</v>
      </c>
      <c r="Y30" s="634" t="s">
        <v>49</v>
      </c>
      <c r="Z30" s="636" t="s">
        <v>149</v>
      </c>
    </row>
    <row r="31" spans="1:26" s="568" customFormat="1" hidden="1">
      <c r="A31" s="590" t="s">
        <v>269</v>
      </c>
      <c r="B31" s="591"/>
      <c r="C31" s="591"/>
      <c r="D31" s="591"/>
      <c r="E31" s="591"/>
      <c r="F31" s="591"/>
      <c r="G31" s="591"/>
      <c r="H31" s="591"/>
      <c r="I31" s="591"/>
      <c r="J31" s="591"/>
      <c r="K31" s="591"/>
      <c r="L31" s="592"/>
      <c r="M31" s="592">
        <f>SUM(M28:M30)</f>
        <v>1537.7</v>
      </c>
      <c r="N31" s="592">
        <f>SUM(N28:N30)</f>
        <v>6845.5</v>
      </c>
      <c r="O31" s="592">
        <f>SUM(O28:O30)</f>
        <v>9779.3185328185318</v>
      </c>
      <c r="P31" s="592">
        <f>SUM(P28:P30)</f>
        <v>451.54440154440158</v>
      </c>
      <c r="Q31" s="592">
        <f>SUM(Q28:Q30)</f>
        <v>19105.714285714286</v>
      </c>
      <c r="R31" s="592">
        <f>SUM(R28:R30)</f>
        <v>0</v>
      </c>
      <c r="S31" s="592">
        <f>SUM(S28:S30)</f>
        <v>0</v>
      </c>
      <c r="T31" s="592">
        <f>SUM(T28:T30)</f>
        <v>0</v>
      </c>
      <c r="U31" s="592">
        <f>SUM(U28:U30)</f>
        <v>0</v>
      </c>
      <c r="V31" s="592">
        <f>SUM(V28:V30)</f>
        <v>0</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1537.7</v>
      </c>
      <c r="N33" s="592">
        <f ca="1">SUMIF($Z$28:AD30,"tertiair",N28:N30)</f>
        <v>6845.5</v>
      </c>
      <c r="O33" s="592">
        <f ca="1">SUMIF($Z$28:AE30,"tertiair",O28:O30)</f>
        <v>9779.3185328185318</v>
      </c>
      <c r="P33" s="592">
        <f ca="1">SUMIF($Z$28:AF30,"tertiair",P28:P30)</f>
        <v>451.54440154440158</v>
      </c>
      <c r="Q33" s="592">
        <f ca="1">SUMIF($Z$28:AG30,"tertiair",Q28:Q30)</f>
        <v>19105.714285714286</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0</v>
      </c>
      <c r="N34" s="597">
        <f>SUMIF($Z$28:$Z$30,"landbouw",N28:N30)</f>
        <v>0</v>
      </c>
      <c r="O34" s="597">
        <f>SUMIF($Z$28:$Z$30,"landbouw",O28:O30)</f>
        <v>0</v>
      </c>
      <c r="P34" s="597">
        <f>SUMIF($Z$28:$Z$30,"landbouw",P28:P30)</f>
        <v>0</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12.75" hidden="1">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hidden="1">
      <c r="A38" s="590" t="s">
        <v>269</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276</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277</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278</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271</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272</v>
      </c>
      <c r="C46" s="614" t="s">
        <v>273</v>
      </c>
      <c r="D46" s="614"/>
      <c r="E46" s="614"/>
      <c r="F46" s="614"/>
      <c r="G46" s="614"/>
      <c r="H46" s="614"/>
      <c r="I46" s="615"/>
      <c r="J46" s="614"/>
      <c r="K46" s="614"/>
      <c r="L46" s="614"/>
      <c r="M46" s="614"/>
      <c r="N46" s="614"/>
      <c r="O46" s="614"/>
      <c r="P46" s="609"/>
    </row>
    <row r="47" spans="1:27">
      <c r="A47" s="611" t="s">
        <v>269</v>
      </c>
      <c r="B47" s="616">
        <f>IF(ISERROR(O31/(O31+N31)),0,O31/(O31+N31))</f>
        <v>0.58823610696943762</v>
      </c>
      <c r="C47" s="617">
        <f>IF(ISERROR(N31/(O31+N31)),0,N31/(N31+O31))</f>
        <v>0.41176389303056232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511</v>
      </c>
      <c r="C49" s="624" t="s">
        <v>96</v>
      </c>
      <c r="D49" s="624" t="s">
        <v>97</v>
      </c>
      <c r="E49" s="624" t="s">
        <v>98</v>
      </c>
      <c r="F49" s="624" t="s">
        <v>99</v>
      </c>
      <c r="G49" s="624" t="s">
        <v>100</v>
      </c>
      <c r="H49" s="624" t="s">
        <v>101</v>
      </c>
      <c r="I49" s="625" t="s">
        <v>102</v>
      </c>
      <c r="J49" s="614"/>
      <c r="K49" s="614"/>
      <c r="L49" s="622"/>
      <c r="M49" s="622"/>
      <c r="N49" s="622"/>
      <c r="O49" s="609"/>
      <c r="P49" s="609"/>
    </row>
    <row r="50" spans="1:16">
      <c r="A50" s="613" t="s">
        <v>274</v>
      </c>
      <c r="B50" s="626">
        <f t="shared" ref="B50:I50" si="2">$C$47*P31</f>
        <v>185.92968065607826</v>
      </c>
      <c r="C50" s="626">
        <f t="shared" si="2"/>
        <v>7867.0432934153441</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275</v>
      </c>
      <c r="B51" s="629">
        <f t="shared" ref="B51:I51" si="3">$B$47*P31</f>
        <v>265.61472088832329</v>
      </c>
      <c r="C51" s="629">
        <f t="shared" si="3"/>
        <v>11238.670992298941</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2021-11-11T12:17:58Z</dcterms:modified>
</cp:coreProperties>
</file>