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CA09C9B-E97A-4256-80B2-01D83E30E77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D10"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9" i="20"/>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<sst xmlns="http://schemas.openxmlformats.org/spreadsheetml/2006/main" count="2422" uniqueCount="871">
  <si>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</si>
  <si>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</si>
  <si>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</si>
  <si>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</si>
  <si>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</si>
  <si>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</si>
  <si>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</si>
  <si>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</si>
  <si>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</si>
  <si>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</si>
  <si>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</si>
  <si>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</si>
  <si>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</si>
  <si>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</si>
  <si>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</si>
  <si>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</si>
  <si>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</si>
  <si>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</si>
  <si>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</si>
  <si>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</si>
  <si>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</si>
  <si>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</si>
  <si>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</si>
  <si>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</si>
  <si>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</si>
  <si>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</si>
  <si>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</si>
  <si>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</si>
  <si>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</si>
  <si>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</si>
  <si>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</si>
  <si>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</si>
  <si>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</si>
  <si>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</si>
  <si>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</si>
  <si>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</si>
  <si>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</si>
  <si>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</si>
  <si>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</si>
  <si>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</si>
  <si>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</si>
  <si>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</si>
  <si>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</si>
  <si>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</si>
  <si>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</si>
  <si>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</si>
  <si>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</si>
  <si>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</si>
  <si>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</si>
  <si>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</si>
  <si>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</si>
  <si>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</si>
  <si>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</si>
  <si>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</si>
  <si>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</si>
  <si>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</si>
  <si>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</si>
  <si>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</si>
  <si>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</si>
  <si>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</si>
  <si>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</si>
  <si>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</si>
  <si>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</si>
  <si>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</si>
  <si>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</si>
  <si>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</si>
  <si>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</si>
  <si>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</si>
  <si>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</si>
  <si>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</si>
  <si>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</si>
  <si>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</si>
  <si>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</si>
  <si>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</si>
  <si>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</si>
  <si>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</si>
  <si>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</si>
  <si>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</si>
  <si>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</si>
  <si>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</si>
  <si>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</si>
  <si>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</si>
  <si>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</si>
  <si>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</si>
  <si>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</si>
  <si>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</si>
  <si>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</si>
  <si>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</si>
  <si>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</si>
  <si>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</si>
  <si>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</si>
  <si>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</si>
  <si>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</si>
  <si>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</si>
  <si>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</si>
  <si>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</si>
  <si>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</si>
  <si>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</si>
  <si>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</si>
  <si>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</si>
  <si>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</si>
  <si>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</si>
  <si>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</si>
  <si>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</si>
  <si>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</si>
  <si>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</si>
  <si>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</si>
  <si>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</si>
  <si>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</si>
  <si>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</si>
  <si>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</si>
  <si>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</si>
  <si>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</si>
  <si>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</si>
  <si>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</si>
  <si>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</si>
  <si>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</si>
  <si>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</si>
  <si>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</si>
  <si>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</si>
  <si>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</si>
  <si>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</si>
  <si>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</si>
  <si>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</si>
  <si>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</si>
  <si>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</si>
  <si>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</si>
  <si>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</si>
  <si>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</si>
  <si>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</si>
  <si>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</si>
  <si>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</si>
  <si>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</si>
  <si>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</si>
  <si>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</si>
  <si>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</si>
  <si>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</si>
  <si>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</si>
  <si>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</si>
  <si>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</si>
  <si>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</si>
  <si>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</si>
  <si>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</si>
  <si>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</si>
  <si>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</si>
  <si>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</si>
  <si>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</si>
  <si>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</si>
  <si>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</si>
  <si>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</si>
  <si>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</si>
  <si>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</si>
  <si>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</si>
  <si>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</si>
  <si>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</si>
  <si>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</si>
  <si>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</si>
  <si>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</si>
  <si>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</si>
  <si>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</si>
  <si>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</si>
  <si>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</si>
  <si>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</si>
  <si>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</si>
  <si>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</si>
  <si>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</si>
  <si>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</si>
  <si>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</si>
  <si>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</si>
  <si>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</si>
  <si>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</si>
  <si>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</si>
  <si>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</si>
  <si>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</si>
  <si>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</si>
  <si>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</si>
  <si>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</si>
  <si>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</si>
  <si>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</si>
  <si>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</si>
  <si>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</si>
  <si>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</si>
  <si>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</si>
  <si>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</si>
  <si>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</si>
  <si>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</si>
  <si>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</si>
  <si>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</si>
  <si>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</si>
  <si>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</si>
  <si>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</si>
  <si>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</si>
  <si>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</si>
  <si>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</si>
  <si>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</si>
  <si>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</si>
  <si>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</si>
  <si>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</si>
  <si>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</si>
  <si>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</si>
  <si>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</si>
  <si>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</si>
  <si>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</si>
  <si>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</si>
  <si>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</si>
  <si>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</si>
  <si>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</si>
  <si>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</si>
  <si>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</si>
  <si>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</si>
  <si>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</si>
  <si>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</si>
  <si>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</si>
  <si>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</si>
  <si>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</si>
  <si>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</si>
  <si>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</si>
  <si>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</si>
  <si>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</si>
  <si>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</si>
  <si>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</si>
  <si>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</si>
  <si>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</si>
  <si>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</si>
  <si>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</si>
  <si>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</si>
  <si>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</si>
  <si>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</si>
  <si>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</si>
  <si>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</si>
  <si>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</si>
  <si>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</si>
  <si>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</si>
  <si>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</si>
  <si>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</si>
  <si>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</si>
  <si>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</si>
  <si>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</si>
  <si>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</si>
  <si>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</si>
  <si>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</si>
  <si>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</si>
  <si>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</si>
  <si>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</si>
  <si>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</si>
  <si>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</si>
  <si>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</si>
  <si>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</si>
  <si>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</si>
  <si>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</si>
  <si>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</si>
  <si>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</si>
  <si>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</si>
  <si>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</si>
  <si>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</si>
  <si>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</si>
  <si>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</si>
  <si>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</si>
  <si>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</si>
  <si>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</si>
  <si>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</si>
  <si>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</si>
  <si>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</si>
  <si>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</si>
  <si>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</si>
  <si>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</si>
  <si>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</si>
  <si>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</si>
  <si>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</si>
  <si>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</si>
  <si>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</si>
  <si>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</si>
  <si>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</si>
  <si>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</si>
  <si>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</si>
  <si>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</si>
  <si>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</si>
  <si>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</si>
  <si>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</si>
  <si>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</si>
  <si>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</si>
  <si>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</si>
  <si>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</si>
  <si>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</si>
  <si>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</si>
  <si>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</si>
  <si>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</si>
  <si>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</si>
  <si>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</si>
  <si>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</si>
  <si>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</si>
  <si>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</si>
  <si>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</si>
  <si>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</si>
  <si>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</si>
  <si>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</si>
  <si>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</si>
  <si>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</si>
  <si>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</si>
  <si>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</si>
  <si>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</si>
  <si>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</si>
  <si>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</si>
  <si>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</si>
  <si>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</si>
  <si>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</si>
  <si>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</si>
  <si>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</si>
  <si>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</si>
  <si>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</si>
  <si>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</si>
  <si>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</si>
  <si>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</si>
  <si>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</si>
  <si>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</si>
  <si>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</si>
  <si>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</si>
  <si>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</si>
  <si>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</si>
  <si>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</si>
  <si>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</si>
  <si>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</si>
  <si>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</si>
  <si>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</si>
  <si>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</si>
  <si>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</si>
  <si>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</si>
  <si>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</si>
  <si>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</si>
  <si>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</si>
  <si>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</si>
  <si>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</si>
  <si>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</si>
  <si>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</si>
  <si>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</si>
  <si>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</si>
  <si>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</si>
  <si>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</si>
  <si>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</si>
  <si>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</si>
  <si>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</si>
  <si>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</si>
  <si>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</si>
  <si>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</si>
  <si>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</si>
  <si>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</si>
  <si>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</si>
  <si>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</si>
  <si>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</si>
  <si>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</si>
  <si>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</si>
  <si>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</si>
  <si>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</si>
  <si>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</si>
  <si>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</si>
  <si>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</si>
  <si>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</si>
  <si>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</si>
  <si>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</si>
  <si>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</si>
  <si>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</si>
  <si>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</si>
  <si>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</si>
  <si>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</si>
  <si>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</si>
  <si>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</si>
  <si>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</si>
  <si>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</si>
  <si>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</si>
  <si>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</si>
  <si>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</si>
  <si>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</si>
  <si>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</si>
  <si>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</si>
  <si>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</si>
  <si>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</si>
  <si>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</si>
  <si>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</si>
  <si>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</si>
  <si>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</si>
  <si>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</si>
  <si>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</si>
  <si>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</si>
  <si>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</si>
  <si>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</si>
  <si>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</si>
  <si>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</si>
  <si>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</si>
  <si>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</si>
  <si>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</si>
  <si>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</si>
  <si>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</si>
  <si>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</si>
  <si>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</si>
  <si>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</si>
  <si>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</si>
  <si>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</si>
  <si>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</si>
  <si>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</si>
  <si>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</si>
  <si>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</si>
  <si>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</si>
  <si>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</si>
  <si>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</si>
  <si>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</si>
  <si>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</si>
  <si>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</si>
  <si>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</si>
  <si>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</si>
  <si>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</si>
  <si>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</si>
  <si>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</si>
  <si>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</si>
  <si>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</si>
  <si>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</si>
  <si>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</si>
  <si>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</si>
  <si>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</si>
  <si>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</si>
  <si>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</si>
  <si>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</si>
  <si>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</si>
  <si>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</si>
  <si>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</si>
  <si>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</si>
  <si>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</si>
  <si>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</si>
  <si>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</si>
  <si>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</si>
  <si>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</si>
  <si>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</si>
  <si>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</si>
  <si>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</si>
  <si>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</si>
  <si>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</si>
  <si>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</si>
  <si>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</si>
  <si>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</si>
  <si>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</si>
  <si>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</si>
  <si>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</si>
  <si>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</si>
  <si>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</si>
  <si>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</si>
  <si>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</si>
  <si>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</si>
  <si>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</si>
  <si>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</si>
  <si>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</si>
  <si>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</si>
  <si>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</si>
  <si>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</si>
  <si>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</si>
  <si>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</si>
  <si>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</si>
  <si>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</si>
  <si>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</si>
  <si>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</si>
  <si>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</si>
  <si>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</si>
  <si>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</si>
  <si>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</si>
  <si>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</si>
  <si>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</si>
  <si>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</si>
  <si>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</si>
  <si>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</si>
  <si>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</si>
  <si>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</si>
  <si>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</si>
  <si>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</si>
  <si>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</si>
  <si>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</si>
  <si>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</si>
  <si>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</si>
  <si>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</si>
  <si>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</si>
  <si>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</si>
  <si>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</si>
  <si>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</si>
  <si>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</si>
  <si>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</si>
  <si>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</si>
  <si>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</si>
  <si>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</si>
  <si>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</si>
  <si>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</si>
  <si>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</si>
  <si>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</si>
  <si>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</si>
  <si>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</si>
  <si>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</si>
  <si>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</si>
  <si>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</si>
  <si>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</si>
  <si>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</si>
  <si>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</si>
  <si>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</si>
  <si>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</si>
  <si>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</si>
  <si>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</si>
  <si>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</si>
  <si>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</si>
  <si>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</si>
  <si>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</si>
  <si>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</si>
  <si>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</si>
  <si>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</si>
  <si>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</si>
  <si>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</si>
  <si>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</si>
  <si>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</si>
  <si>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</si>
  <si>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</si>
  <si>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</si>
  <si>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</si>
  <si>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</si>
  <si>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</si>
  <si>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</si>
  <si>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</si>
  <si>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</si>
  <si>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</si>
  <si>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</si>
  <si>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</si>
  <si>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</si>
  <si>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</si>
  <si>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</si>
  <si>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</si>
  <si>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</si>
  <si>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</si>
  <si>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</si>
  <si>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</si>
  <si>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</si>
  <si>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</si>
  <si>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</si>
  <si>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</si>
  <si>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</si>
  <si>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</si>
  <si>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</si>
  <si>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</si>
  <si>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</si>
  <si>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</si>
  <si>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</si>
  <si>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</si>
  <si>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</si>
  <si>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</si>
  <si>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</si>
  <si>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</si>
  <si>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</si>
  <si>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</si>
  <si>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</si>
  <si>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</si>
  <si>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</si>
  <si>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</si>
  <si>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</si>
  <si>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</si>
  <si>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</si>
  <si>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</si>
  <si>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</si>
  <si>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</si>
  <si>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</si>
  <si>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</si>
  <si>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</si>
  <si>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</si>
  <si>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</si>
  <si>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</si>
  <si>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</si>
  <si>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</si>
  <si>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</si>
  <si>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</si>
  <si>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</si>
  <si>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</si>
  <si>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</si>
  <si>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</si>
  <si>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</si>
  <si>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</si>
  <si>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</si>
  <si>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</si>
  <si>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</si>
  <si>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</si>
  <si>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</si>
  <si>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</si>
  <si>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</si>
  <si>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</si>
  <si>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</si>
  <si>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</si>
  <si>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</si>
  <si>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</si>
  <si>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</si>
  <si>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</si>
  <si>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</si>
  <si>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</si>
  <si>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</si>
  <si>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</si>
  <si>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</si>
  <si>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</si>
  <si>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</si>
  <si>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</si>
  <si>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</si>
  <si>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</si>
  <si>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</si>
  <si>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</si>
  <si>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</si>
  <si>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</si>
  <si>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</si>
  <si>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</si>
  <si>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</si>
  <si>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</si>
  <si>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</si>
  <si>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</si>
  <si>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</si>
  <si>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</si>
  <si>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</si>
  <si>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</si>
  <si>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</si>
  <si>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</si>
  <si>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</si>
  <si>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</si>
  <si>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</si>
  <si>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</si>
  <si>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</si>
  <si>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</si>
  <si>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</si>
  <si>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</si>
  <si>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</si>
  <si>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</si>
  <si>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</si>
  <si>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</si>
  <si>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</si>
  <si>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</si>
  <si>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</si>
  <si>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</si>
  <si>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</si>
  <si>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</si>
  <si>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</si>
  <si>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</si>
  <si>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</si>
  <si>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</si>
  <si>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</si>
  <si>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</si>
  <si>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</si>
  <si>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</si>
  <si>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</si>
  <si>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</si>
  <si>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</si>
  <si>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</si>
  <si>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</si>
  <si>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</si>
  <si>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</si>
  <si>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</si>
  <si>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</si>
  <si>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</si>
  <si>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</si>
  <si>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</si>
  <si>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</si>
  <si>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</si>
  <si>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</si>
  <si>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</si>
  <si>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</si>
  <si>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</si>
  <si>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</si>
  <si>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</si>
  <si>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</si>
  <si>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</si>
  <si>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</si>
  <si>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</si>
  <si>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</si>
  <si>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</si>
  <si>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</si>
  <si>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</si>
  <si>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</si>
  <si>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</si>
  <si>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</si>
  <si>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</si>
  <si>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</si>
  <si>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</si>
  <si>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</si>
  <si>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</si>
  <si>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</si>
  <si>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</si>
  <si>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</si>
  <si>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</si>
  <si>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</si>
  <si>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</si>
  <si>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</si>
  <si>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</si>
  <si>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</si>
  <si>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</si>
  <si>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</si>
  <si>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</si>
  <si>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</si>
  <si>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</si>
  <si>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</si>
  <si>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</si>
  <si>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</si>
  <si>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</si>
  <si>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</si>
  <si>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</si>
  <si>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</si>
  <si>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</si>
  <si>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</si>
  <si>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</si>
  <si>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</si>
  <si>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</si>
  <si>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</si>
  <si>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</si>
  <si>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</si>
  <si>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</si>
  <si>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</si>
  <si>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</si>
  <si>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</si>
  <si>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</si>
  <si>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</si>
  <si>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</si>
  <si>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</si>
  <si>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</si>
  <si>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</si>
  <si>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</si>
  <si>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</si>
  <si>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</si>
  <si>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</si>
  <si>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</si>
  <si>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</si>
  <si>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</si>
  <si>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</si>
  <si>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</si>
  <si>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</si>
  <si>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</si>
  <si>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</si>
  <si>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</si>
  <si>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</si>
  <si>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</si>
  <si>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</si>
  <si>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</si>
  <si>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</si>
  <si>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</si>
  <si>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</si>
  <si>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</si>
  <si>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</si>
  <si>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</si>
  <si>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</si>
  <si>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</si>
  <si>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</si>
  <si>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</si>
  <si>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</si>
  <si>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</si>
  <si>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</si>
  <si>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</si>
  <si>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</si>
  <si>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</si>
  <si>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</si>
  <si>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</si>
  <si>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</si>
  <si>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</si>
  <si>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</si>
  <si>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</si>
  <si>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</si>
  <si>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</si>
  <si>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</si>
  <si>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</si>
  <si>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</si>
  <si>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</si>
  <si>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</si>
  <si>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</si>
  <si>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</si>
  <si>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</si>
  <si>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</si>
  <si>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</si>
  <si>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</si>
  <si>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</si>
  <si>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</si>
  <si>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</si>
  <si>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</si>
  <si>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</si>
  <si>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</si>
  <si>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</si>
  <si>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</si>
  <si>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</si>
  <si>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</si>
  <si>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</si>
  <si>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</si>
  <si>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</si>
  <si>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</si>
  <si>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</si>
  <si>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</si>
  <si>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</si>
  <si>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</si>
  <si>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</si>
  <si>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</si>
  <si>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</si>
  <si>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</si>
  <si>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</si>
  <si>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</si>
  <si>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</si>
  <si>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</si>
  <si>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</si>
  <si>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</si>
  <si>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</si>
  <si>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</si>
  <si>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</si>
  <si>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</si>
  <si>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</si>
  <si>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</si>
  <si>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</si>
  <si>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</si>
  <si>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</si>
  <si>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</si>
  <si>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</si>
  <si>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</si>
  <si>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</si>
  <si>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</si>
  <si>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</si>
  <si>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</si>
  <si>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</si>
  <si>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</si>
  <si>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</si>
  <si>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</si>
  <si>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</si>
  <si>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</si>
  <si>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</si>
  <si>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</si>
  <si>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</si>
  <si>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</si>
  <si>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</si>
  <si>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</si>
  <si>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</si>
  <si>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</si>
  <si>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</si>
  <si>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</si>
  <si>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</si>
  <si>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</si>
  <si>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</si>
  <si>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</si>
  <si>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</si>
  <si>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</si>
  <si>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</si>
  <si>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</si>
  <si>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</si>
  <si>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</si>
  <si>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</si>
  <si>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</si>
  <si>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</si>
  <si>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</si>
  <si>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</si>
  <si>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</si>
  <si>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</si>
  <si>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</si>
  <si>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</si>
  <si>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</si>
  <si>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</si>
  <si>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</si>
  <si>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</si>
  <si>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</si>
  <si>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</si>
  <si>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</si>
  <si>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</si>
  <si>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</si>
  <si>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</si>
  <si>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</si>
  <si>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</si>
  <si>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</si>
  <si>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</si>
  <si>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</si>
  <si>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</si>
  <si>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35014</t>
  </si>
  <si>
    <t>OUDENBURG</t>
  </si>
  <si>
    <t>referentietaak LNE (2017); Jaarverslag De Lijn</t>
  </si>
  <si>
    <t>waterkracht</t>
  </si>
  <si>
    <t>Brandstofcel</t>
  </si>
  <si>
    <t>brandstofcel</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</si>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</sst>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15C46E9-DAEF-4D71-889E-FA86E3B731E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77542.670029237459</c:v>
                </c:pt>
                <c:pt idx="1">
                  <c:v>18570.451674477437</c:v>
                </c:pt>
                <c:pt idx="2">
                  <c:v>684.17703700000004</c:v>
                </c:pt>
                <c:pt idx="3">
                  <c:v>6853.9706417835378</c:v>
                </c:pt>
                <c:pt idx="4">
                  <c:v>3987.6482133072213</c:v>
                </c:pt>
                <c:pt idx="5">
                  <c:v>150649.80437464445</c:v>
                </c:pt>
                <c:pt idx="6">
                  <c:v>965.60677959759528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77542.670029237459</c:v>
                </c:pt>
                <c:pt idx="1">
                  <c:v>18570.451674477437</c:v>
                </c:pt>
                <c:pt idx="2">
                  <c:v>684.17703700000004</c:v>
                </c:pt>
                <c:pt idx="3">
                  <c:v>6853.9706417835378</c:v>
                </c:pt>
                <c:pt idx="4">
                  <c:v>3987.6482133072213</c:v>
                </c:pt>
                <c:pt idx="5">
                  <c:v>150649.80437464445</c:v>
                </c:pt>
                <c:pt idx="6">
                  <c:v>965.60677959759528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15091.234588508039</c:v>
                </c:pt>
                <c:pt idx="1">
                  <c:v>3576.248949733772</c:v>
                </c:pt>
                <c:pt idx="2">
                  <c:v>119.77525344129032</c:v>
                </c:pt>
                <c:pt idx="3">
                  <c:v>1710.004274833962</c:v>
                </c:pt>
                <c:pt idx="4">
                  <c:v>783.56962792356978</c:v>
                </c:pt>
                <c:pt idx="5">
                  <c:v>37413.985250102785</c:v>
                </c:pt>
                <c:pt idx="6">
                  <c:v>242.70479942874641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15091.234588508039</c:v>
                </c:pt>
                <c:pt idx="1">
                  <c:v>3576.248949733772</c:v>
                </c:pt>
                <c:pt idx="2">
                  <c:v>119.77525344129032</c:v>
                </c:pt>
                <c:pt idx="3">
                  <c:v>1710.004274833962</c:v>
                </c:pt>
                <c:pt idx="4">
                  <c:v>783.56962792356978</c:v>
                </c:pt>
                <c:pt idx="5">
                  <c:v>37413.985250102785</c:v>
                </c:pt>
                <c:pt idx="6">
                  <c:v>242.70479942874641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35014</v>
      </c>
      <c r="B6" s="384"/>
      <c r="C6" s="385"/>
    </row>
    <row r="7" spans="1:7" s="382" customFormat="1" ht="15.75" customHeight="1">
      <c r="A7" s="386" t="str">
        <f>txtMunicipality</f>
        <v>OUDENBURG</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7198.1313729999993</v>
      </c>
      <c r="D10" s="681">
        <f ca="1">tertiair!C16</f>
        <v>48.702702702702702</v>
      </c>
      <c r="E10" s="681">
        <f ca="1">tertiair!D16</f>
        <v>10410.219853303108</v>
      </c>
      <c r="F10" s="681">
        <f>tertiair!E16</f>
        <v>33.704617410404261</v>
      </c>
      <c r="G10" s="681">
        <f ca="1">tertiair!F16</f>
        <v>1177.6647830858017</v>
      </c>
      <c r="H10" s="681">
        <f>tertiair!G16</f>
        <v>0</v>
      </c>
      <c r="I10" s="681">
        <f>tertiair!H16</f>
        <v>0</v>
      </c>
      <c r="J10" s="681">
        <f>tertiair!I16</f>
        <v>0</v>
      </c>
      <c r="K10" s="681">
        <f>tertiair!J16</f>
        <v>7.1385614712090161E-3</v>
      </c>
      <c r="L10" s="681">
        <f>tertiair!K16</f>
        <v>0</v>
      </c>
      <c r="M10" s="681">
        <f ca="1">tertiair!L16</f>
        <v>0</v>
      </c>
      <c r="N10" s="681">
        <f>tertiair!M16</f>
        <v>0</v>
      </c>
      <c r="O10" s="681">
        <f ca="1">tertiair!N16</f>
        <v>276.22270603512175</v>
      </c>
      <c r="P10" s="681">
        <f>tertiair!O16</f>
        <v>4.8972607658411542</v>
      </c>
      <c r="Q10" s="682">
        <f>tertiair!P16</f>
        <v>105.07827661299004</v>
      </c>
      <c r="R10" s="684">
        <f ca="1">SUM(C10:Q10)</f>
        <v>19254.628711477435</v>
      </c>
      <c r="S10" s="67"/>
    </row>
    <row r="11" spans="1:19" s="443" customFormat="1">
      <c r="A11" s="802" t="s">
        <v>214</v>
      </c>
      <c r="B11" s="807"/>
      <c r="C11" s="681">
        <f>huishoudens!B8</f>
        <v>16598.238204950147</v>
      </c>
      <c r="D11" s="681">
        <f>huishoudens!C8</f>
        <v>0</v>
      </c>
      <c r="E11" s="681">
        <f>huishoudens!D8</f>
        <v>38316.387807866588</v>
      </c>
      <c r="F11" s="681">
        <f>huishoudens!E8</f>
        <v>726.36761017833021</v>
      </c>
      <c r="G11" s="681">
        <f>huishoudens!F8</f>
        <v>15912.2485210907</v>
      </c>
      <c r="H11" s="681">
        <f>huishoudens!G8</f>
        <v>0</v>
      </c>
      <c r="I11" s="681">
        <f>huishoudens!H8</f>
        <v>0</v>
      </c>
      <c r="J11" s="681">
        <f>huishoudens!I8</f>
        <v>0</v>
      </c>
      <c r="K11" s="681">
        <f>huishoudens!J8</f>
        <v>90.685644704118815</v>
      </c>
      <c r="L11" s="681">
        <f>huishoudens!K8</f>
        <v>0</v>
      </c>
      <c r="M11" s="681">
        <f>huishoudens!L8</f>
        <v>0</v>
      </c>
      <c r="N11" s="681">
        <f>huishoudens!M8</f>
        <v>0</v>
      </c>
      <c r="O11" s="681">
        <f>huishoudens!N8</f>
        <v>5193.0636745570846</v>
      </c>
      <c r="P11" s="681">
        <f>huishoudens!O8</f>
        <v>273.78623427541038</v>
      </c>
      <c r="Q11" s="682">
        <f>huishoudens!P8</f>
        <v>431.89233161508594</v>
      </c>
      <c r="R11" s="684">
        <f>SUM(C11:Q11)</f>
        <v>77542.670029237459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1635.1966560000003</v>
      </c>
      <c r="D13" s="681">
        <f>industrie!C18</f>
        <v>0</v>
      </c>
      <c r="E13" s="681">
        <f>industrie!D18</f>
        <v>1618.4051768850002</v>
      </c>
      <c r="F13" s="681">
        <f>industrie!E18</f>
        <v>5.6342065398945147</v>
      </c>
      <c r="G13" s="681">
        <f>industrie!F18</f>
        <v>630.22134793616203</v>
      </c>
      <c r="H13" s="681">
        <f>industrie!G18</f>
        <v>0</v>
      </c>
      <c r="I13" s="681">
        <f>industrie!H18</f>
        <v>0</v>
      </c>
      <c r="J13" s="681">
        <f>industrie!I18</f>
        <v>0</v>
      </c>
      <c r="K13" s="681">
        <f>industrie!J18</f>
        <v>2.3686207171206912</v>
      </c>
      <c r="L13" s="681">
        <f>industrie!K18</f>
        <v>0</v>
      </c>
      <c r="M13" s="681">
        <f>industrie!L18</f>
        <v>0</v>
      </c>
      <c r="N13" s="681">
        <f>industrie!M18</f>
        <v>0</v>
      </c>
      <c r="O13" s="681">
        <f>industrie!N18</f>
        <v>95.822205229043462</v>
      </c>
      <c r="P13" s="681">
        <f>industrie!O18</f>
        <v>0</v>
      </c>
      <c r="Q13" s="682">
        <f>industrie!P18</f>
        <v>0</v>
      </c>
      <c r="R13" s="684">
        <f>SUM(C13:Q13)</f>
        <v>3987.6482133072213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25431.566233950147</v>
      </c>
      <c r="D16" s="717">
        <f t="shared" ref="D16:R16" ca="1" si="0">SUM(D9:D15)</f>
        <v>48.702702702702702</v>
      </c>
      <c r="E16" s="717">
        <f t="shared" ca="1" si="0"/>
        <v>50345.012838054688</v>
      </c>
      <c r="F16" s="717">
        <f t="shared" si="0"/>
        <v>765.70643412862898</v>
      </c>
      <c r="G16" s="717">
        <f t="shared" ca="1" si="0"/>
        <v>17720.134652112665</v>
      </c>
      <c r="H16" s="717">
        <f t="shared" si="0"/>
        <v>0</v>
      </c>
      <c r="I16" s="717">
        <f t="shared" si="0"/>
        <v>0</v>
      </c>
      <c r="J16" s="717">
        <f t="shared" si="0"/>
        <v>0</v>
      </c>
      <c r="K16" s="717">
        <f t="shared" si="0"/>
        <v>93.061403982710715</v>
      </c>
      <c r="L16" s="717">
        <f t="shared" si="0"/>
        <v>0</v>
      </c>
      <c r="M16" s="717">
        <f t="shared" ca="1" si="0"/>
        <v>0</v>
      </c>
      <c r="N16" s="717">
        <f t="shared" si="0"/>
        <v>0</v>
      </c>
      <c r="O16" s="717">
        <f t="shared" ca="1" si="0"/>
        <v>5565.10858582125</v>
      </c>
      <c r="P16" s="717">
        <f t="shared" si="0"/>
        <v>278.68349504125155</v>
      </c>
      <c r="Q16" s="717">
        <f t="shared" si="0"/>
        <v>536.970608228076</v>
      </c>
      <c r="R16" s="717">
        <f t="shared" ca="1" si="0"/>
        <v>100784.94695402212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14.36967236025952</v>
      </c>
      <c r="D19" s="681">
        <f>transport!C54</f>
        <v>0</v>
      </c>
      <c r="E19" s="681">
        <f>transport!D54</f>
        <v>0</v>
      </c>
      <c r="F19" s="681">
        <f>transport!E54</f>
        <v>0</v>
      </c>
      <c r="G19" s="681">
        <f>transport!F54</f>
        <v>0</v>
      </c>
      <c r="H19" s="681">
        <f>transport!G54</f>
        <v>899.58493231434841</v>
      </c>
      <c r="I19" s="681">
        <f>transport!H54</f>
        <v>0</v>
      </c>
      <c r="J19" s="681">
        <f>transport!I54</f>
        <v>0</v>
      </c>
      <c r="K19" s="681">
        <f>transport!J54</f>
        <v>0</v>
      </c>
      <c r="L19" s="681">
        <f>transport!K54</f>
        <v>0</v>
      </c>
      <c r="M19" s="681">
        <f>transport!L54</f>
        <v>0</v>
      </c>
      <c r="N19" s="681">
        <f>transport!M54</f>
        <v>51.652174922987342</v>
      </c>
      <c r="O19" s="681">
        <f>transport!N54</f>
        <v>0</v>
      </c>
      <c r="P19" s="681">
        <f>transport!O54</f>
        <v>0</v>
      </c>
      <c r="Q19" s="682">
        <f>transport!P54</f>
        <v>0</v>
      </c>
      <c r="R19" s="684">
        <f>SUM(C19:Q19)</f>
        <v>965.60677959759528</v>
      </c>
      <c r="S19" s="67"/>
    </row>
    <row r="20" spans="1:19" s="443" customFormat="1">
      <c r="A20" s="802" t="s">
        <v>296</v>
      </c>
      <c r="B20" s="807"/>
      <c r="C20" s="681">
        <f>transport!B14</f>
        <v>341.22886161524315</v>
      </c>
      <c r="D20" s="681">
        <f>transport!C14</f>
        <v>0</v>
      </c>
      <c r="E20" s="681">
        <f>transport!D14</f>
        <v>523.5806757014642</v>
      </c>
      <c r="F20" s="681">
        <f>transport!E14</f>
        <v>235.69337138505892</v>
      </c>
      <c r="G20" s="681">
        <f>transport!F14</f>
        <v>0</v>
      </c>
      <c r="H20" s="681">
        <f>transport!G14</f>
        <v>114622.6395912023</v>
      </c>
      <c r="I20" s="681">
        <f>transport!H14</f>
        <v>26468.825928983239</v>
      </c>
      <c r="J20" s="681">
        <f>transport!I14</f>
        <v>0</v>
      </c>
      <c r="K20" s="681">
        <f>transport!J14</f>
        <v>0</v>
      </c>
      <c r="L20" s="681">
        <f>transport!K14</f>
        <v>0</v>
      </c>
      <c r="M20" s="681">
        <f>transport!L14</f>
        <v>0</v>
      </c>
      <c r="N20" s="681">
        <f>transport!M14</f>
        <v>8457.8359457571478</v>
      </c>
      <c r="O20" s="681">
        <f>transport!N14</f>
        <v>0</v>
      </c>
      <c r="P20" s="681">
        <f>transport!O14</f>
        <v>0</v>
      </c>
      <c r="Q20" s="682">
        <f>transport!P14</f>
        <v>0</v>
      </c>
      <c r="R20" s="684">
        <f>SUM(C20:Q20)</f>
        <v>150649.80437464445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355.59853397550268</v>
      </c>
      <c r="D22" s="805">
        <f t="shared" ref="D22:R22" si="1">SUM(D18:D21)</f>
        <v>0</v>
      </c>
      <c r="E22" s="805">
        <f t="shared" si="1"/>
        <v>523.5806757014642</v>
      </c>
      <c r="F22" s="805">
        <f t="shared" si="1"/>
        <v>235.69337138505892</v>
      </c>
      <c r="G22" s="805">
        <f t="shared" si="1"/>
        <v>0</v>
      </c>
      <c r="H22" s="805">
        <f t="shared" si="1"/>
        <v>115522.22452351665</v>
      </c>
      <c r="I22" s="805">
        <f t="shared" si="1"/>
        <v>26468.825928983239</v>
      </c>
      <c r="J22" s="805">
        <f t="shared" si="1"/>
        <v>0</v>
      </c>
      <c r="K22" s="805">
        <f t="shared" si="1"/>
        <v>0</v>
      </c>
      <c r="L22" s="805">
        <f t="shared" si="1"/>
        <v>0</v>
      </c>
      <c r="M22" s="805">
        <f t="shared" si="1"/>
        <v>0</v>
      </c>
      <c r="N22" s="805">
        <f t="shared" si="1"/>
        <v>8509.4881206801347</v>
      </c>
      <c r="O22" s="805">
        <f t="shared" si="1"/>
        <v>0</v>
      </c>
      <c r="P22" s="805">
        <f t="shared" si="1"/>
        <v>0</v>
      </c>
      <c r="Q22" s="805">
        <f t="shared" si="1"/>
        <v>0</v>
      </c>
      <c r="R22" s="805">
        <f t="shared" si="1"/>
        <v>151615.41115424203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1491.856507</v>
      </c>
      <c r="D24" s="681">
        <f>+landbouw!C8</f>
        <v>0</v>
      </c>
      <c r="E24" s="681">
        <f>+landbouw!D8</f>
        <v>217.60551430800001</v>
      </c>
      <c r="F24" s="681">
        <f>+landbouw!E8</f>
        <v>42.729295043907513</v>
      </c>
      <c r="G24" s="681">
        <f>+landbouw!F8</f>
        <v>4722.4470635643665</v>
      </c>
      <c r="H24" s="681">
        <f>+landbouw!G8</f>
        <v>0</v>
      </c>
      <c r="I24" s="681">
        <f>+landbouw!H8</f>
        <v>0</v>
      </c>
      <c r="J24" s="681">
        <f>+landbouw!I8</f>
        <v>0</v>
      </c>
      <c r="K24" s="681">
        <f>+landbouw!J8</f>
        <v>379.33226186726409</v>
      </c>
      <c r="L24" s="681">
        <f>+landbouw!K8</f>
        <v>0</v>
      </c>
      <c r="M24" s="681">
        <f>+landbouw!L8</f>
        <v>0</v>
      </c>
      <c r="N24" s="681">
        <f>+landbouw!M8</f>
        <v>0</v>
      </c>
      <c r="O24" s="681">
        <f>+landbouw!N8</f>
        <v>0</v>
      </c>
      <c r="P24" s="681">
        <f>+landbouw!O8</f>
        <v>0</v>
      </c>
      <c r="Q24" s="682">
        <f>+landbouw!P8</f>
        <v>0</v>
      </c>
      <c r="R24" s="684">
        <f>SUM(C24:Q24)</f>
        <v>6853.9706417835378</v>
      </c>
      <c r="S24" s="67"/>
    </row>
    <row r="25" spans="1:19" s="443" customFormat="1" ht="15" thickBot="1">
      <c r="A25" s="824" t="s">
        <v>690</v>
      </c>
      <c r="B25" s="937"/>
      <c r="C25" s="938">
        <f>IF(Onbekend_ele_kWh="---",0,Onbekend_ele_kWh)/1000+IF(REST_rest_ele_kWh="---",0,REST_rest_ele_kWh)/1000</f>
        <v>978.93462099999999</v>
      </c>
      <c r="D25" s="938"/>
      <c r="E25" s="938">
        <f>IF(onbekend_gas_kWh="---",0,onbekend_gas_kWh)/1000+IF(REST_rest_gas_kWh="---",0,REST_rest_gas_kWh)/1000</f>
        <v>668.10006599999997</v>
      </c>
      <c r="F25" s="938"/>
      <c r="G25" s="938"/>
      <c r="H25" s="938"/>
      <c r="I25" s="938"/>
      <c r="J25" s="938"/>
      <c r="K25" s="938"/>
      <c r="L25" s="938"/>
      <c r="M25" s="938"/>
      <c r="N25" s="938"/>
      <c r="O25" s="938"/>
      <c r="P25" s="938"/>
      <c r="Q25" s="939"/>
      <c r="R25" s="684">
        <f>SUM(C25:Q25)</f>
        <v>1647.0346869999998</v>
      </c>
      <c r="S25" s="67"/>
    </row>
    <row r="26" spans="1:19" s="443" customFormat="1" ht="15.75" thickBot="1">
      <c r="A26" s="689" t="s">
        <v>691</v>
      </c>
      <c r="B26" s="810"/>
      <c r="C26" s="805">
        <f>SUM(C24:C25)</f>
        <v>2470.7911279999998</v>
      </c>
      <c r="D26" s="805">
        <f t="shared" ref="D26:R26" si="2">SUM(D24:D25)</f>
        <v>0</v>
      </c>
      <c r="E26" s="805">
        <f t="shared" si="2"/>
        <v>885.70558030799998</v>
      </c>
      <c r="F26" s="805">
        <f t="shared" si="2"/>
        <v>42.729295043907513</v>
      </c>
      <c r="G26" s="805">
        <f t="shared" si="2"/>
        <v>4722.4470635643665</v>
      </c>
      <c r="H26" s="805">
        <f t="shared" si="2"/>
        <v>0</v>
      </c>
      <c r="I26" s="805">
        <f t="shared" si="2"/>
        <v>0</v>
      </c>
      <c r="J26" s="805">
        <f t="shared" si="2"/>
        <v>0</v>
      </c>
      <c r="K26" s="805">
        <f t="shared" si="2"/>
        <v>379.33226186726409</v>
      </c>
      <c r="L26" s="805">
        <f t="shared" si="2"/>
        <v>0</v>
      </c>
      <c r="M26" s="805">
        <f t="shared" si="2"/>
        <v>0</v>
      </c>
      <c r="N26" s="805">
        <f t="shared" si="2"/>
        <v>0</v>
      </c>
      <c r="O26" s="805">
        <f t="shared" si="2"/>
        <v>0</v>
      </c>
      <c r="P26" s="805">
        <f t="shared" si="2"/>
        <v>0</v>
      </c>
      <c r="Q26" s="805">
        <f t="shared" si="2"/>
        <v>0</v>
      </c>
      <c r="R26" s="805">
        <f t="shared" si="2"/>
        <v>8501.0053287835381</v>
      </c>
      <c r="S26" s="67"/>
    </row>
    <row r="27" spans="1:19" s="443" customFormat="1" ht="17.25" thickTop="1" thickBot="1">
      <c r="A27" s="690" t="s">
        <v>109</v>
      </c>
      <c r="B27" s="797"/>
      <c r="C27" s="691">
        <f ca="1">C22+C16+C26</f>
        <v>28257.95589592565</v>
      </c>
      <c r="D27" s="691">
        <f t="shared" ref="D27:R27" ca="1" si="3">D22+D16+D26</f>
        <v>48.702702702702702</v>
      </c>
      <c r="E27" s="691">
        <f t="shared" ca="1" si="3"/>
        <v>51754.299094064154</v>
      </c>
      <c r="F27" s="691">
        <f t="shared" si="3"/>
        <v>1044.1291005575954</v>
      </c>
      <c r="G27" s="691">
        <f t="shared" ca="1" si="3"/>
        <v>22442.581715677032</v>
      </c>
      <c r="H27" s="691">
        <f t="shared" si="3"/>
        <v>115522.22452351665</v>
      </c>
      <c r="I27" s="691">
        <f t="shared" si="3"/>
        <v>26468.825928983239</v>
      </c>
      <c r="J27" s="691">
        <f t="shared" si="3"/>
        <v>0</v>
      </c>
      <c r="K27" s="691">
        <f t="shared" si="3"/>
        <v>472.39366584997481</v>
      </c>
      <c r="L27" s="691">
        <f t="shared" si="3"/>
        <v>0</v>
      </c>
      <c r="M27" s="691">
        <f t="shared" ca="1" si="3"/>
        <v>0</v>
      </c>
      <c r="N27" s="691">
        <f t="shared" si="3"/>
        <v>8509.4881206801347</v>
      </c>
      <c r="O27" s="691">
        <f t="shared" ca="1" si="3"/>
        <v>5565.10858582125</v>
      </c>
      <c r="P27" s="691">
        <f t="shared" si="3"/>
        <v>278.68349504125155</v>
      </c>
      <c r="Q27" s="691">
        <f t="shared" si="3"/>
        <v>536.970608228076</v>
      </c>
      <c r="R27" s="691">
        <f t="shared" ca="1" si="3"/>
        <v>260901.36343704769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1260.138769469952</v>
      </c>
      <c r="D40" s="681">
        <f ca="1">tertiair!C20</f>
        <v>10.93105105105105</v>
      </c>
      <c r="E40" s="681">
        <f ca="1">tertiair!D20</f>
        <v>2102.8644103672277</v>
      </c>
      <c r="F40" s="681">
        <f>tertiair!E20</f>
        <v>7.6509481521617673</v>
      </c>
      <c r="G40" s="681">
        <f ca="1">tertiair!F20</f>
        <v>314.43649708390905</v>
      </c>
      <c r="H40" s="681">
        <f>tertiair!G20</f>
        <v>0</v>
      </c>
      <c r="I40" s="681">
        <f>tertiair!H20</f>
        <v>0</v>
      </c>
      <c r="J40" s="681">
        <f>tertiair!I20</f>
        <v>0</v>
      </c>
      <c r="K40" s="681">
        <f>tertiair!J20</f>
        <v>2.5270507608079916E-3</v>
      </c>
      <c r="L40" s="681">
        <f>tertiair!K20</f>
        <v>0</v>
      </c>
      <c r="M40" s="681">
        <f ca="1">tertiair!L20</f>
        <v>0</v>
      </c>
      <c r="N40" s="681">
        <f>tertiair!M20</f>
        <v>0</v>
      </c>
      <c r="O40" s="681">
        <f ca="1">tertiair!N20</f>
        <v>0</v>
      </c>
      <c r="P40" s="681">
        <f>tertiair!O20</f>
        <v>0</v>
      </c>
      <c r="Q40" s="764">
        <f>tertiair!P20</f>
        <v>0</v>
      </c>
      <c r="R40" s="843">
        <f t="shared" ca="1" si="4"/>
        <v>3696.0242031750622</v>
      </c>
    </row>
    <row r="41" spans="1:18">
      <c r="A41" s="815" t="s">
        <v>214</v>
      </c>
      <c r="B41" s="822"/>
      <c r="C41" s="681">
        <f ca="1">huishoudens!B12</f>
        <v>2905.7657304520312</v>
      </c>
      <c r="D41" s="681">
        <f ca="1">huishoudens!C12</f>
        <v>0</v>
      </c>
      <c r="E41" s="681">
        <f>huishoudens!D12</f>
        <v>7739.9103371890515</v>
      </c>
      <c r="F41" s="681">
        <f>huishoudens!E12</f>
        <v>164.88544751048096</v>
      </c>
      <c r="G41" s="681">
        <f>huishoudens!F12</f>
        <v>4248.5703551312172</v>
      </c>
      <c r="H41" s="681">
        <f>huishoudens!G12</f>
        <v>0</v>
      </c>
      <c r="I41" s="681">
        <f>huishoudens!H12</f>
        <v>0</v>
      </c>
      <c r="J41" s="681">
        <f>huishoudens!I12</f>
        <v>0</v>
      </c>
      <c r="K41" s="681">
        <f>huishoudens!J12</f>
        <v>32.102718225258059</v>
      </c>
      <c r="L41" s="681">
        <f>huishoudens!K12</f>
        <v>0</v>
      </c>
      <c r="M41" s="681">
        <f>huishoudens!L12</f>
        <v>0</v>
      </c>
      <c r="N41" s="681">
        <f>huishoudens!M12</f>
        <v>0</v>
      </c>
      <c r="O41" s="681">
        <f>huishoudens!N12</f>
        <v>0</v>
      </c>
      <c r="P41" s="681">
        <f>huishoudens!O12</f>
        <v>0</v>
      </c>
      <c r="Q41" s="764">
        <f>huishoudens!P12</f>
        <v>0</v>
      </c>
      <c r="R41" s="843">
        <f t="shared" ca="1" si="4"/>
        <v>15091.234588508039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286.2652256754277</v>
      </c>
      <c r="D43" s="681">
        <f ca="1">industrie!C22</f>
        <v>0</v>
      </c>
      <c r="E43" s="681">
        <f>industrie!D22</f>
        <v>326.91784573077007</v>
      </c>
      <c r="F43" s="681">
        <f>industrie!E22</f>
        <v>1.2789648845560548</v>
      </c>
      <c r="G43" s="681">
        <f>industrie!F22</f>
        <v>168.26909989895526</v>
      </c>
      <c r="H43" s="681">
        <f>industrie!G22</f>
        <v>0</v>
      </c>
      <c r="I43" s="681">
        <f>industrie!H22</f>
        <v>0</v>
      </c>
      <c r="J43" s="681">
        <f>industrie!I22</f>
        <v>0</v>
      </c>
      <c r="K43" s="681">
        <f>industrie!J22</f>
        <v>0.83849173386072462</v>
      </c>
      <c r="L43" s="681">
        <f>industrie!K22</f>
        <v>0</v>
      </c>
      <c r="M43" s="681">
        <f>industrie!L22</f>
        <v>0</v>
      </c>
      <c r="N43" s="681">
        <f>industrie!M22</f>
        <v>0</v>
      </c>
      <c r="O43" s="681">
        <f>industrie!N22</f>
        <v>0</v>
      </c>
      <c r="P43" s="681">
        <f>industrie!O22</f>
        <v>0</v>
      </c>
      <c r="Q43" s="764">
        <f>industrie!P22</f>
        <v>0</v>
      </c>
      <c r="R43" s="842">
        <f t="shared" ca="1" si="4"/>
        <v>783.56962792356978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4452.1697255974104</v>
      </c>
      <c r="D46" s="717">
        <f t="shared" ref="D46:Q46" ca="1" si="5">SUM(D39:D45)</f>
        <v>10.93105105105105</v>
      </c>
      <c r="E46" s="717">
        <f t="shared" ca="1" si="5"/>
        <v>10169.692593287049</v>
      </c>
      <c r="F46" s="717">
        <f t="shared" si="5"/>
        <v>173.81536054719876</v>
      </c>
      <c r="G46" s="717">
        <f t="shared" ca="1" si="5"/>
        <v>4731.2759521140815</v>
      </c>
      <c r="H46" s="717">
        <f t="shared" si="5"/>
        <v>0</v>
      </c>
      <c r="I46" s="717">
        <f t="shared" si="5"/>
        <v>0</v>
      </c>
      <c r="J46" s="717">
        <f t="shared" si="5"/>
        <v>0</v>
      </c>
      <c r="K46" s="717">
        <f t="shared" si="5"/>
        <v>32.943737009879598</v>
      </c>
      <c r="L46" s="717">
        <f t="shared" si="5"/>
        <v>0</v>
      </c>
      <c r="M46" s="717">
        <f t="shared" ca="1" si="5"/>
        <v>0</v>
      </c>
      <c r="N46" s="717">
        <f t="shared" si="5"/>
        <v>0</v>
      </c>
      <c r="O46" s="717">
        <f t="shared" ca="1" si="5"/>
        <v>0</v>
      </c>
      <c r="P46" s="717">
        <f t="shared" si="5"/>
        <v>0</v>
      </c>
      <c r="Q46" s="717">
        <f t="shared" si="5"/>
        <v>0</v>
      </c>
      <c r="R46" s="717">
        <f ca="1">SUM(R39:R45)</f>
        <v>19570.828419606674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2.5156225008153674</v>
      </c>
      <c r="D49" s="681">
        <f ca="1">transport!C58</f>
        <v>0</v>
      </c>
      <c r="E49" s="681">
        <f>transport!D58</f>
        <v>0</v>
      </c>
      <c r="F49" s="681">
        <f>transport!E58</f>
        <v>0</v>
      </c>
      <c r="G49" s="681">
        <f>transport!F58</f>
        <v>0</v>
      </c>
      <c r="H49" s="681">
        <f>transport!G58</f>
        <v>240.18917692793104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242.70479942874641</v>
      </c>
    </row>
    <row r="50" spans="1:18">
      <c r="A50" s="818" t="s">
        <v>296</v>
      </c>
      <c r="B50" s="828"/>
      <c r="C50" s="687">
        <f ca="1">transport!B18</f>
        <v>59.737131138835231</v>
      </c>
      <c r="D50" s="687">
        <f>transport!C18</f>
        <v>0</v>
      </c>
      <c r="E50" s="687">
        <f>transport!D18</f>
        <v>105.76329649169577</v>
      </c>
      <c r="F50" s="687">
        <f>transport!E18</f>
        <v>53.502395304408374</v>
      </c>
      <c r="G50" s="687">
        <f>transport!F18</f>
        <v>0</v>
      </c>
      <c r="H50" s="687">
        <f>transport!G18</f>
        <v>30604.244770851015</v>
      </c>
      <c r="I50" s="687">
        <f>transport!H18</f>
        <v>6590.7376563168264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37413.985250102785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62.252753639650599</v>
      </c>
      <c r="D52" s="717">
        <f t="shared" ref="D52:Q52" ca="1" si="6">SUM(D48:D51)</f>
        <v>0</v>
      </c>
      <c r="E52" s="717">
        <f t="shared" si="6"/>
        <v>105.76329649169577</v>
      </c>
      <c r="F52" s="717">
        <f t="shared" si="6"/>
        <v>53.502395304408374</v>
      </c>
      <c r="G52" s="717">
        <f t="shared" si="6"/>
        <v>0</v>
      </c>
      <c r="H52" s="717">
        <f t="shared" si="6"/>
        <v>30844.433947778947</v>
      </c>
      <c r="I52" s="717">
        <f t="shared" si="6"/>
        <v>6590.7376563168264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37656.690049531535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261.17142429608185</v>
      </c>
      <c r="D54" s="687">
        <f ca="1">+landbouw!C12</f>
        <v>0</v>
      </c>
      <c r="E54" s="687">
        <f>+landbouw!D12</f>
        <v>43.956313890216002</v>
      </c>
      <c r="F54" s="687">
        <f>+landbouw!E12</f>
        <v>9.699549974967006</v>
      </c>
      <c r="G54" s="687">
        <f>+landbouw!F12</f>
        <v>1260.8933659716859</v>
      </c>
      <c r="H54" s="687">
        <f>+landbouw!G12</f>
        <v>0</v>
      </c>
      <c r="I54" s="687">
        <f>+landbouw!H12</f>
        <v>0</v>
      </c>
      <c r="J54" s="687">
        <f>+landbouw!I12</f>
        <v>0</v>
      </c>
      <c r="K54" s="687">
        <f>+landbouw!J12</f>
        <v>134.28362070101147</v>
      </c>
      <c r="L54" s="687">
        <f>+landbouw!K12</f>
        <v>0</v>
      </c>
      <c r="M54" s="687">
        <f>+landbouw!L12</f>
        <v>0</v>
      </c>
      <c r="N54" s="687">
        <f>+landbouw!M12</f>
        <v>0</v>
      </c>
      <c r="O54" s="687">
        <f>+landbouw!N12</f>
        <v>0</v>
      </c>
      <c r="P54" s="687">
        <f>+landbouw!O12</f>
        <v>0</v>
      </c>
      <c r="Q54" s="688">
        <f>+landbouw!P12</f>
        <v>0</v>
      </c>
      <c r="R54" s="716">
        <f ca="1">SUM(C54:Q54)</f>
        <v>1710.004274833962</v>
      </c>
    </row>
    <row r="55" spans="1:18" ht="15" thickBot="1">
      <c r="A55" s="818" t="s">
        <v>690</v>
      </c>
      <c r="B55" s="828"/>
      <c r="C55" s="687">
        <f ca="1">C25*'EF ele_warmte'!B12</f>
        <v>171.37690391782101</v>
      </c>
      <c r="D55" s="687"/>
      <c r="E55" s="687">
        <f>E25*EF_CO2_aardgas</f>
        <v>134.956213332</v>
      </c>
      <c r="F55" s="687"/>
      <c r="G55" s="687"/>
      <c r="H55" s="687"/>
      <c r="I55" s="687"/>
      <c r="J55" s="687"/>
      <c r="K55" s="687"/>
      <c r="L55" s="687"/>
      <c r="M55" s="687"/>
      <c r="N55" s="687"/>
      <c r="O55" s="687"/>
      <c r="P55" s="687"/>
      <c r="Q55" s="688"/>
      <c r="R55" s="716">
        <f ca="1">SUM(C55:Q55)</f>
        <v>306.33311724982104</v>
      </c>
    </row>
    <row r="56" spans="1:18" ht="15.75" thickBot="1">
      <c r="A56" s="816" t="s">
        <v>691</v>
      </c>
      <c r="B56" s="829"/>
      <c r="C56" s="717">
        <f ca="1">SUM(C54:C55)</f>
        <v>432.54832821390289</v>
      </c>
      <c r="D56" s="717">
        <f t="shared" ref="D56:Q56" ca="1" si="7">SUM(D54:D55)</f>
        <v>0</v>
      </c>
      <c r="E56" s="717">
        <f t="shared" si="7"/>
        <v>178.912527222216</v>
      </c>
      <c r="F56" s="717">
        <f t="shared" si="7"/>
        <v>9.699549974967006</v>
      </c>
      <c r="G56" s="717">
        <f t="shared" si="7"/>
        <v>1260.8933659716859</v>
      </c>
      <c r="H56" s="717">
        <f t="shared" si="7"/>
        <v>0</v>
      </c>
      <c r="I56" s="717">
        <f t="shared" si="7"/>
        <v>0</v>
      </c>
      <c r="J56" s="717">
        <f t="shared" si="7"/>
        <v>0</v>
      </c>
      <c r="K56" s="717">
        <f t="shared" si="7"/>
        <v>134.28362070101147</v>
      </c>
      <c r="L56" s="717">
        <f t="shared" si="7"/>
        <v>0</v>
      </c>
      <c r="M56" s="717">
        <f t="shared" si="7"/>
        <v>0</v>
      </c>
      <c r="N56" s="717">
        <f t="shared" si="7"/>
        <v>0</v>
      </c>
      <c r="O56" s="717">
        <f t="shared" si="7"/>
        <v>0</v>
      </c>
      <c r="P56" s="717">
        <f t="shared" si="7"/>
        <v>0</v>
      </c>
      <c r="Q56" s="718">
        <f t="shared" si="7"/>
        <v>0</v>
      </c>
      <c r="R56" s="719">
        <f ca="1">SUM(R54:R55)</f>
        <v>2016.337392083783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4946.9708074509645</v>
      </c>
      <c r="D61" s="725">
        <f t="shared" ref="D61:Q61" ca="1" si="8">D46+D52+D56</f>
        <v>10.93105105105105</v>
      </c>
      <c r="E61" s="725">
        <f t="shared" ca="1" si="8"/>
        <v>10454.36841700096</v>
      </c>
      <c r="F61" s="725">
        <f t="shared" si="8"/>
        <v>237.01730582657413</v>
      </c>
      <c r="G61" s="725">
        <f t="shared" ca="1" si="8"/>
        <v>5992.1693180857674</v>
      </c>
      <c r="H61" s="725">
        <f t="shared" si="8"/>
        <v>30844.433947778947</v>
      </c>
      <c r="I61" s="725">
        <f t="shared" si="8"/>
        <v>6590.7376563168264</v>
      </c>
      <c r="J61" s="725">
        <f t="shared" si="8"/>
        <v>0</v>
      </c>
      <c r="K61" s="725">
        <f t="shared" si="8"/>
        <v>167.22735771089106</v>
      </c>
      <c r="L61" s="725">
        <f t="shared" si="8"/>
        <v>0</v>
      </c>
      <c r="M61" s="725">
        <f t="shared" ca="1" si="8"/>
        <v>0</v>
      </c>
      <c r="N61" s="725">
        <f t="shared" si="8"/>
        <v>0</v>
      </c>
      <c r="O61" s="725">
        <f t="shared" ca="1" si="8"/>
        <v>0</v>
      </c>
      <c r="P61" s="725">
        <f t="shared" si="8"/>
        <v>0</v>
      </c>
      <c r="Q61" s="725">
        <f t="shared" si="8"/>
        <v>0</v>
      </c>
      <c r="R61" s="725">
        <f ca="1">R46+R52+R56</f>
        <v>59243.855861221993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0.17506470834871107</v>
      </c>
      <c r="D63" s="771">
        <f t="shared" ca="1" si="9"/>
        <v>0.22444444444444442</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5874.0025188222407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34</v>
      </c>
      <c r="D76" s="946">
        <f>'lokale energieproductie'!C8</f>
        <v>37.777777777777771</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7.6311111111111103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5874.0025188222407</v>
      </c>
      <c r="C78" s="743">
        <f>SUM(C72:C77)</f>
        <v>34</v>
      </c>
      <c r="D78" s="744">
        <f t="shared" ref="D78:H78" si="10">SUM(D76:D77)</f>
        <v>37.777777777777771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7.6311111111111103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48.702702702702702</v>
      </c>
      <c r="D87" s="767">
        <f>'lokale energieproductie'!C17</f>
        <v>54.114114114114102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10.93105105105105</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48.702702702702702</v>
      </c>
      <c r="D90" s="743">
        <f t="shared" ref="D90:H90" si="12">SUM(D87:D89)</f>
        <v>54.114114114114102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10.93105105105105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16598.238204950147</v>
      </c>
      <c r="C4" s="447">
        <f>huishoudens!C8</f>
        <v>0</v>
      </c>
      <c r="D4" s="447">
        <f>huishoudens!D8</f>
        <v>38316.387807866588</v>
      </c>
      <c r="E4" s="447">
        <f>huishoudens!E8</f>
        <v>726.36761017833021</v>
      </c>
      <c r="F4" s="447">
        <f>huishoudens!F8</f>
        <v>15912.2485210907</v>
      </c>
      <c r="G4" s="447">
        <f>huishoudens!G8</f>
        <v>0</v>
      </c>
      <c r="H4" s="447">
        <f>huishoudens!H8</f>
        <v>0</v>
      </c>
      <c r="I4" s="447">
        <f>huishoudens!I8</f>
        <v>0</v>
      </c>
      <c r="J4" s="447">
        <f>huishoudens!J8</f>
        <v>90.685644704118815</v>
      </c>
      <c r="K4" s="447">
        <f>huishoudens!K8</f>
        <v>0</v>
      </c>
      <c r="L4" s="447">
        <f>huishoudens!L8</f>
        <v>0</v>
      </c>
      <c r="M4" s="447">
        <f>huishoudens!M8</f>
        <v>0</v>
      </c>
      <c r="N4" s="447">
        <f>huishoudens!N8</f>
        <v>5193.0636745570846</v>
      </c>
      <c r="O4" s="447">
        <f>huishoudens!O8</f>
        <v>273.78623427541038</v>
      </c>
      <c r="P4" s="448">
        <f>huishoudens!P8</f>
        <v>431.89233161508594</v>
      </c>
      <c r="Q4" s="449">
        <f>SUM(B4:P4)</f>
        <v>77542.670029237459</v>
      </c>
    </row>
    <row r="5" spans="1:17">
      <c r="A5" s="446" t="s">
        <v>149</v>
      </c>
      <c r="B5" s="447">
        <f ca="1">tertiair!B16</f>
        <v>6513.9543359999989</v>
      </c>
      <c r="C5" s="447">
        <f ca="1">tertiair!C16</f>
        <v>48.702702702702702</v>
      </c>
      <c r="D5" s="447">
        <f ca="1">tertiair!D16</f>
        <v>10410.219853303108</v>
      </c>
      <c r="E5" s="447">
        <f>tertiair!E16</f>
        <v>33.704617410404261</v>
      </c>
      <c r="F5" s="447">
        <f ca="1">tertiair!F16</f>
        <v>1177.6647830858017</v>
      </c>
      <c r="G5" s="447">
        <f>tertiair!G16</f>
        <v>0</v>
      </c>
      <c r="H5" s="447">
        <f>tertiair!H16</f>
        <v>0</v>
      </c>
      <c r="I5" s="447">
        <f>tertiair!I16</f>
        <v>0</v>
      </c>
      <c r="J5" s="447">
        <f>tertiair!J16</f>
        <v>7.1385614712090161E-3</v>
      </c>
      <c r="K5" s="447">
        <f>tertiair!K16</f>
        <v>0</v>
      </c>
      <c r="L5" s="447">
        <f ca="1">tertiair!L16</f>
        <v>0</v>
      </c>
      <c r="M5" s="447">
        <f>tertiair!M16</f>
        <v>0</v>
      </c>
      <c r="N5" s="447">
        <f ca="1">tertiair!N16</f>
        <v>276.22270603512175</v>
      </c>
      <c r="O5" s="447">
        <f>tertiair!O16</f>
        <v>4.8972607658411542</v>
      </c>
      <c r="P5" s="448">
        <f>tertiair!P16</f>
        <v>105.07827661299004</v>
      </c>
      <c r="Q5" s="446">
        <f t="shared" ref="Q5:Q14" ca="1" si="0">SUM(B5:P5)</f>
        <v>18570.451674477437</v>
      </c>
    </row>
    <row r="6" spans="1:17">
      <c r="A6" s="446" t="s">
        <v>187</v>
      </c>
      <c r="B6" s="447">
        <f>'openbare verlichting'!B8</f>
        <v>684.17703700000004</v>
      </c>
      <c r="C6" s="447"/>
      <c r="D6" s="447"/>
      <c r="E6" s="447"/>
      <c r="F6" s="447"/>
      <c r="G6" s="447"/>
      <c r="H6" s="447"/>
      <c r="I6" s="447"/>
      <c r="J6" s="447"/>
      <c r="K6" s="447"/>
      <c r="L6" s="447"/>
      <c r="M6" s="447"/>
      <c r="N6" s="447"/>
      <c r="O6" s="447"/>
      <c r="P6" s="448"/>
      <c r="Q6" s="446">
        <f t="shared" si="0"/>
        <v>684.17703700000004</v>
      </c>
    </row>
    <row r="7" spans="1:17">
      <c r="A7" s="446" t="s">
        <v>105</v>
      </c>
      <c r="B7" s="447">
        <f>landbouw!B8</f>
        <v>1491.856507</v>
      </c>
      <c r="C7" s="447">
        <f>landbouw!C8</f>
        <v>0</v>
      </c>
      <c r="D7" s="447">
        <f>landbouw!D8</f>
        <v>217.60551430800001</v>
      </c>
      <c r="E7" s="447">
        <f>landbouw!E8</f>
        <v>42.729295043907513</v>
      </c>
      <c r="F7" s="447">
        <f>landbouw!F8</f>
        <v>4722.4470635643665</v>
      </c>
      <c r="G7" s="447">
        <f>landbouw!G8</f>
        <v>0</v>
      </c>
      <c r="H7" s="447">
        <f>landbouw!H8</f>
        <v>0</v>
      </c>
      <c r="I7" s="447">
        <f>landbouw!I8</f>
        <v>0</v>
      </c>
      <c r="J7" s="447">
        <f>landbouw!J8</f>
        <v>379.33226186726409</v>
      </c>
      <c r="K7" s="447">
        <f>landbouw!K8</f>
        <v>0</v>
      </c>
      <c r="L7" s="447">
        <f>landbouw!L8</f>
        <v>0</v>
      </c>
      <c r="M7" s="447">
        <f>landbouw!M8</f>
        <v>0</v>
      </c>
      <c r="N7" s="447">
        <f>landbouw!N8</f>
        <v>0</v>
      </c>
      <c r="O7" s="447">
        <f>landbouw!O8</f>
        <v>0</v>
      </c>
      <c r="P7" s="448">
        <f>landbouw!P8</f>
        <v>0</v>
      </c>
      <c r="Q7" s="446">
        <f t="shared" si="0"/>
        <v>6853.9706417835378</v>
      </c>
    </row>
    <row r="8" spans="1:17">
      <c r="A8" s="446" t="s">
        <v>611</v>
      </c>
      <c r="B8" s="447">
        <f>industrie!B18</f>
        <v>1635.1966560000003</v>
      </c>
      <c r="C8" s="447">
        <f>industrie!C18</f>
        <v>0</v>
      </c>
      <c r="D8" s="447">
        <f>industrie!D18</f>
        <v>1618.4051768850002</v>
      </c>
      <c r="E8" s="447">
        <f>industrie!E18</f>
        <v>5.6342065398945147</v>
      </c>
      <c r="F8" s="447">
        <f>industrie!F18</f>
        <v>630.22134793616203</v>
      </c>
      <c r="G8" s="447">
        <f>industrie!G18</f>
        <v>0</v>
      </c>
      <c r="H8" s="447">
        <f>industrie!H18</f>
        <v>0</v>
      </c>
      <c r="I8" s="447">
        <f>industrie!I18</f>
        <v>0</v>
      </c>
      <c r="J8" s="447">
        <f>industrie!J18</f>
        <v>2.3686207171206912</v>
      </c>
      <c r="K8" s="447">
        <f>industrie!K18</f>
        <v>0</v>
      </c>
      <c r="L8" s="447">
        <f>industrie!L18</f>
        <v>0</v>
      </c>
      <c r="M8" s="447">
        <f>industrie!M18</f>
        <v>0</v>
      </c>
      <c r="N8" s="447">
        <f>industrie!N18</f>
        <v>95.822205229043462</v>
      </c>
      <c r="O8" s="447">
        <f>industrie!O18</f>
        <v>0</v>
      </c>
      <c r="P8" s="448">
        <f>industrie!P18</f>
        <v>0</v>
      </c>
      <c r="Q8" s="446">
        <f t="shared" si="0"/>
        <v>3987.6482133072213</v>
      </c>
    </row>
    <row r="9" spans="1:17" s="452" customFormat="1">
      <c r="A9" s="450" t="s">
        <v>537</v>
      </c>
      <c r="B9" s="451">
        <f>transport!B14</f>
        <v>341.22886161524315</v>
      </c>
      <c r="C9" s="451">
        <f>transport!C14</f>
        <v>0</v>
      </c>
      <c r="D9" s="451">
        <f>transport!D14</f>
        <v>523.5806757014642</v>
      </c>
      <c r="E9" s="451">
        <f>transport!E14</f>
        <v>235.69337138505892</v>
      </c>
      <c r="F9" s="451">
        <f>transport!F14</f>
        <v>0</v>
      </c>
      <c r="G9" s="451">
        <f>transport!G14</f>
        <v>114622.6395912023</v>
      </c>
      <c r="H9" s="451">
        <f>transport!H14</f>
        <v>26468.825928983239</v>
      </c>
      <c r="I9" s="451">
        <f>transport!I14</f>
        <v>0</v>
      </c>
      <c r="J9" s="451">
        <f>transport!J14</f>
        <v>0</v>
      </c>
      <c r="K9" s="451">
        <f>transport!K14</f>
        <v>0</v>
      </c>
      <c r="L9" s="451">
        <f>transport!L14</f>
        <v>0</v>
      </c>
      <c r="M9" s="451">
        <f>transport!M14</f>
        <v>8457.8359457571478</v>
      </c>
      <c r="N9" s="451">
        <f>transport!N14</f>
        <v>0</v>
      </c>
      <c r="O9" s="451">
        <f>transport!O14</f>
        <v>0</v>
      </c>
      <c r="P9" s="451">
        <f>transport!P14</f>
        <v>0</v>
      </c>
      <c r="Q9" s="450">
        <f>SUM(B9:P9)</f>
        <v>150649.80437464445</v>
      </c>
    </row>
    <row r="10" spans="1:17">
      <c r="A10" s="446" t="s">
        <v>527</v>
      </c>
      <c r="B10" s="447">
        <f>transport!B54</f>
        <v>14.36967236025952</v>
      </c>
      <c r="C10" s="447">
        <f>transport!C54</f>
        <v>0</v>
      </c>
      <c r="D10" s="447">
        <f>transport!D54</f>
        <v>0</v>
      </c>
      <c r="E10" s="447">
        <f>transport!E54</f>
        <v>0</v>
      </c>
      <c r="F10" s="447">
        <f>transport!F54</f>
        <v>0</v>
      </c>
      <c r="G10" s="447">
        <f>transport!G54</f>
        <v>899.58493231434841</v>
      </c>
      <c r="H10" s="447">
        <f>transport!H54</f>
        <v>0</v>
      </c>
      <c r="I10" s="447">
        <f>transport!I54</f>
        <v>0</v>
      </c>
      <c r="J10" s="447">
        <f>transport!J54</f>
        <v>0</v>
      </c>
      <c r="K10" s="447">
        <f>transport!K54</f>
        <v>0</v>
      </c>
      <c r="L10" s="447">
        <f>transport!L54</f>
        <v>0</v>
      </c>
      <c r="M10" s="447">
        <f>transport!M54</f>
        <v>51.652174922987342</v>
      </c>
      <c r="N10" s="447">
        <f>transport!N54</f>
        <v>0</v>
      </c>
      <c r="O10" s="447">
        <f>transport!O54</f>
        <v>0</v>
      </c>
      <c r="P10" s="448">
        <f>transport!P54</f>
        <v>0</v>
      </c>
      <c r="Q10" s="446">
        <f t="shared" si="0"/>
        <v>965.60677959759528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978.93462099999999</v>
      </c>
      <c r="C14" s="454"/>
      <c r="D14" s="454">
        <f>'SEAP template'!E25</f>
        <v>668.10006599999997</v>
      </c>
      <c r="E14" s="454"/>
      <c r="F14" s="454"/>
      <c r="G14" s="454"/>
      <c r="H14" s="454"/>
      <c r="I14" s="454"/>
      <c r="J14" s="454"/>
      <c r="K14" s="454"/>
      <c r="L14" s="454"/>
      <c r="M14" s="454"/>
      <c r="N14" s="454"/>
      <c r="O14" s="454"/>
      <c r="P14" s="455"/>
      <c r="Q14" s="446">
        <f t="shared" si="0"/>
        <v>1647.0346869999998</v>
      </c>
    </row>
    <row r="15" spans="1:17" s="458" customFormat="1">
      <c r="A15" s="456" t="s">
        <v>531</v>
      </c>
      <c r="B15" s="457">
        <f ca="1">SUM(B4:B14)</f>
        <v>28257.95589592565</v>
      </c>
      <c r="C15" s="457">
        <f t="shared" ref="C15:Q15" ca="1" si="1">SUM(C4:C14)</f>
        <v>48.702702702702702</v>
      </c>
      <c r="D15" s="457">
        <f t="shared" ca="1" si="1"/>
        <v>51754.299094064154</v>
      </c>
      <c r="E15" s="457">
        <f t="shared" si="1"/>
        <v>1044.1291005575954</v>
      </c>
      <c r="F15" s="457">
        <f t="shared" ca="1" si="1"/>
        <v>22442.581715677032</v>
      </c>
      <c r="G15" s="457">
        <f t="shared" si="1"/>
        <v>115522.22452351665</v>
      </c>
      <c r="H15" s="457">
        <f t="shared" si="1"/>
        <v>26468.825928983239</v>
      </c>
      <c r="I15" s="457">
        <f t="shared" si="1"/>
        <v>0</v>
      </c>
      <c r="J15" s="457">
        <f t="shared" si="1"/>
        <v>472.39366584997481</v>
      </c>
      <c r="K15" s="457">
        <f t="shared" si="1"/>
        <v>0</v>
      </c>
      <c r="L15" s="457">
        <f t="shared" ca="1" si="1"/>
        <v>0</v>
      </c>
      <c r="M15" s="457">
        <f t="shared" si="1"/>
        <v>8509.4881206801347</v>
      </c>
      <c r="N15" s="457">
        <f t="shared" ca="1" si="1"/>
        <v>5565.10858582125</v>
      </c>
      <c r="O15" s="457">
        <f t="shared" si="1"/>
        <v>278.68349504125155</v>
      </c>
      <c r="P15" s="457">
        <f t="shared" si="1"/>
        <v>536.970608228076</v>
      </c>
      <c r="Q15" s="457">
        <f t="shared" ca="1" si="1"/>
        <v>260901.36343704769</v>
      </c>
    </row>
    <row r="17" spans="1:17">
      <c r="A17" s="459" t="s">
        <v>532</v>
      </c>
      <c r="B17" s="776">
        <f ca="1">huishoudens!B10</f>
        <v>0.17506470834871107</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2905.7657304520312</v>
      </c>
      <c r="C22" s="447">
        <f t="shared" ref="C22:C32" ca="1" si="3">C4*$C$17</f>
        <v>0</v>
      </c>
      <c r="D22" s="447">
        <f t="shared" ref="D22:D32" si="4">D4*$D$17</f>
        <v>7739.9103371890515</v>
      </c>
      <c r="E22" s="447">
        <f t="shared" ref="E22:E32" si="5">E4*$E$17</f>
        <v>164.88544751048096</v>
      </c>
      <c r="F22" s="447">
        <f t="shared" ref="F22:F32" si="6">F4*$F$17</f>
        <v>4248.5703551312172</v>
      </c>
      <c r="G22" s="447">
        <f t="shared" ref="G22:G32" si="7">G4*$G$17</f>
        <v>0</v>
      </c>
      <c r="H22" s="447">
        <f t="shared" ref="H22:H32" si="8">H4*$H$17</f>
        <v>0</v>
      </c>
      <c r="I22" s="447">
        <f t="shared" ref="I22:I32" si="9">I4*$I$17</f>
        <v>0</v>
      </c>
      <c r="J22" s="447">
        <f t="shared" ref="J22:J32" si="10">J4*$J$17</f>
        <v>32.102718225258059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15091.234588508039</v>
      </c>
    </row>
    <row r="23" spans="1:17">
      <c r="A23" s="446" t="s">
        <v>149</v>
      </c>
      <c r="B23" s="447">
        <f t="shared" ca="1" si="2"/>
        <v>1140.3635160286617</v>
      </c>
      <c r="C23" s="447">
        <f t="shared" ca="1" si="3"/>
        <v>10.93105105105105</v>
      </c>
      <c r="D23" s="447">
        <f t="shared" ca="1" si="4"/>
        <v>2102.8644103672277</v>
      </c>
      <c r="E23" s="447">
        <f t="shared" si="5"/>
        <v>7.6509481521617673</v>
      </c>
      <c r="F23" s="447">
        <f t="shared" ca="1" si="6"/>
        <v>314.43649708390905</v>
      </c>
      <c r="G23" s="447">
        <f t="shared" si="7"/>
        <v>0</v>
      </c>
      <c r="H23" s="447">
        <f t="shared" si="8"/>
        <v>0</v>
      </c>
      <c r="I23" s="447">
        <f t="shared" si="9"/>
        <v>0</v>
      </c>
      <c r="J23" s="447">
        <f t="shared" si="10"/>
        <v>2.5270507608079916E-3</v>
      </c>
      <c r="K23" s="447">
        <f t="shared" si="11"/>
        <v>0</v>
      </c>
      <c r="L23" s="447">
        <f t="shared" ca="1" si="12"/>
        <v>0</v>
      </c>
      <c r="M23" s="447">
        <f t="shared" si="13"/>
        <v>0</v>
      </c>
      <c r="N23" s="447">
        <f t="shared" ca="1" si="14"/>
        <v>0</v>
      </c>
      <c r="O23" s="447">
        <f t="shared" si="15"/>
        <v>0</v>
      </c>
      <c r="P23" s="448">
        <f t="shared" si="16"/>
        <v>0</v>
      </c>
      <c r="Q23" s="446">
        <f t="shared" ref="Q23:Q31" ca="1" si="17">SUM(B23:P23)</f>
        <v>3576.248949733772</v>
      </c>
    </row>
    <row r="24" spans="1:17">
      <c r="A24" s="446" t="s">
        <v>187</v>
      </c>
      <c r="B24" s="447">
        <f t="shared" ca="1" si="2"/>
        <v>119.77525344129032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119.77525344129032</v>
      </c>
    </row>
    <row r="25" spans="1:17">
      <c r="A25" s="446" t="s">
        <v>105</v>
      </c>
      <c r="B25" s="447">
        <f t="shared" ca="1" si="2"/>
        <v>261.17142429608185</v>
      </c>
      <c r="C25" s="447">
        <f t="shared" ca="1" si="3"/>
        <v>0</v>
      </c>
      <c r="D25" s="447">
        <f t="shared" si="4"/>
        <v>43.956313890216002</v>
      </c>
      <c r="E25" s="447">
        <f t="shared" si="5"/>
        <v>9.699549974967006</v>
      </c>
      <c r="F25" s="447">
        <f t="shared" si="6"/>
        <v>1260.8933659716859</v>
      </c>
      <c r="G25" s="447">
        <f t="shared" si="7"/>
        <v>0</v>
      </c>
      <c r="H25" s="447">
        <f t="shared" si="8"/>
        <v>0</v>
      </c>
      <c r="I25" s="447">
        <f t="shared" si="9"/>
        <v>0</v>
      </c>
      <c r="J25" s="447">
        <f t="shared" si="10"/>
        <v>134.28362070101147</v>
      </c>
      <c r="K25" s="447">
        <f t="shared" si="11"/>
        <v>0</v>
      </c>
      <c r="L25" s="447">
        <f t="shared" si="12"/>
        <v>0</v>
      </c>
      <c r="M25" s="447">
        <f t="shared" si="13"/>
        <v>0</v>
      </c>
      <c r="N25" s="447">
        <f t="shared" si="14"/>
        <v>0</v>
      </c>
      <c r="O25" s="447">
        <f t="shared" si="15"/>
        <v>0</v>
      </c>
      <c r="P25" s="448">
        <f t="shared" si="16"/>
        <v>0</v>
      </c>
      <c r="Q25" s="446">
        <f t="shared" ca="1" si="17"/>
        <v>1710.004274833962</v>
      </c>
    </row>
    <row r="26" spans="1:17">
      <c r="A26" s="446" t="s">
        <v>611</v>
      </c>
      <c r="B26" s="447">
        <f t="shared" ca="1" si="2"/>
        <v>286.2652256754277</v>
      </c>
      <c r="C26" s="447">
        <f t="shared" ca="1" si="3"/>
        <v>0</v>
      </c>
      <c r="D26" s="447">
        <f t="shared" si="4"/>
        <v>326.91784573077007</v>
      </c>
      <c r="E26" s="447">
        <f t="shared" si="5"/>
        <v>1.2789648845560548</v>
      </c>
      <c r="F26" s="447">
        <f t="shared" si="6"/>
        <v>168.26909989895526</v>
      </c>
      <c r="G26" s="447">
        <f t="shared" si="7"/>
        <v>0</v>
      </c>
      <c r="H26" s="447">
        <f t="shared" si="8"/>
        <v>0</v>
      </c>
      <c r="I26" s="447">
        <f t="shared" si="9"/>
        <v>0</v>
      </c>
      <c r="J26" s="447">
        <f t="shared" si="10"/>
        <v>0.83849173386072462</v>
      </c>
      <c r="K26" s="447">
        <f t="shared" si="11"/>
        <v>0</v>
      </c>
      <c r="L26" s="447">
        <f t="shared" si="12"/>
        <v>0</v>
      </c>
      <c r="M26" s="447">
        <f t="shared" si="13"/>
        <v>0</v>
      </c>
      <c r="N26" s="447">
        <f t="shared" si="14"/>
        <v>0</v>
      </c>
      <c r="O26" s="447">
        <f t="shared" si="15"/>
        <v>0</v>
      </c>
      <c r="P26" s="448">
        <f t="shared" si="16"/>
        <v>0</v>
      </c>
      <c r="Q26" s="446">
        <f t="shared" ca="1" si="17"/>
        <v>783.56962792356978</v>
      </c>
    </row>
    <row r="27" spans="1:17" s="452" customFormat="1">
      <c r="A27" s="450" t="s">
        <v>537</v>
      </c>
      <c r="B27" s="770">
        <f t="shared" ca="1" si="2"/>
        <v>59.737131138835231</v>
      </c>
      <c r="C27" s="451">
        <f t="shared" ca="1" si="3"/>
        <v>0</v>
      </c>
      <c r="D27" s="451">
        <f t="shared" si="4"/>
        <v>105.76329649169577</v>
      </c>
      <c r="E27" s="451">
        <f t="shared" si="5"/>
        <v>53.502395304408374</v>
      </c>
      <c r="F27" s="451">
        <f t="shared" si="6"/>
        <v>0</v>
      </c>
      <c r="G27" s="451">
        <f t="shared" si="7"/>
        <v>30604.244770851015</v>
      </c>
      <c r="H27" s="451">
        <f t="shared" si="8"/>
        <v>6590.7376563168264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37413.985250102785</v>
      </c>
    </row>
    <row r="28" spans="1:17" ht="16.5" customHeight="1">
      <c r="A28" s="446" t="s">
        <v>527</v>
      </c>
      <c r="B28" s="447">
        <f t="shared" ca="1" si="2"/>
        <v>2.5156225008153674</v>
      </c>
      <c r="C28" s="447">
        <f t="shared" ca="1" si="3"/>
        <v>0</v>
      </c>
      <c r="D28" s="447">
        <f t="shared" si="4"/>
        <v>0</v>
      </c>
      <c r="E28" s="447">
        <f t="shared" si="5"/>
        <v>0</v>
      </c>
      <c r="F28" s="447">
        <f t="shared" si="6"/>
        <v>0</v>
      </c>
      <c r="G28" s="447">
        <f t="shared" si="7"/>
        <v>240.18917692793104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242.70479942874641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171.37690391782101</v>
      </c>
      <c r="C32" s="447">
        <f t="shared" ca="1" si="3"/>
        <v>0</v>
      </c>
      <c r="D32" s="447">
        <f t="shared" si="4"/>
        <v>134.956213332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306.33311724982104</v>
      </c>
    </row>
    <row r="33" spans="1:17" s="458" customFormat="1">
      <c r="A33" s="456" t="s">
        <v>531</v>
      </c>
      <c r="B33" s="457">
        <f ca="1">SUM(B22:B32)</f>
        <v>4946.9708074509645</v>
      </c>
      <c r="C33" s="457">
        <f t="shared" ref="C33:Q33" ca="1" si="19">SUM(C22:C32)</f>
        <v>10.93105105105105</v>
      </c>
      <c r="D33" s="457">
        <f t="shared" ca="1" si="19"/>
        <v>10454.36841700096</v>
      </c>
      <c r="E33" s="457">
        <f t="shared" si="19"/>
        <v>237.01730582657413</v>
      </c>
      <c r="F33" s="457">
        <f t="shared" ca="1" si="19"/>
        <v>5992.1693180857674</v>
      </c>
      <c r="G33" s="457">
        <f t="shared" si="19"/>
        <v>30844.433947778947</v>
      </c>
      <c r="H33" s="457">
        <f t="shared" si="19"/>
        <v>6590.7376563168264</v>
      </c>
      <c r="I33" s="457">
        <f t="shared" si="19"/>
        <v>0</v>
      </c>
      <c r="J33" s="457">
        <f t="shared" si="19"/>
        <v>167.22735771089108</v>
      </c>
      <c r="K33" s="457">
        <f t="shared" si="19"/>
        <v>0</v>
      </c>
      <c r="L33" s="457">
        <f t="shared" ca="1" si="19"/>
        <v>0</v>
      </c>
      <c r="M33" s="457">
        <f t="shared" si="19"/>
        <v>0</v>
      </c>
      <c r="N33" s="457">
        <f t="shared" ca="1" si="19"/>
        <v>0</v>
      </c>
      <c r="O33" s="457">
        <f t="shared" si="19"/>
        <v>0</v>
      </c>
      <c r="P33" s="457">
        <f t="shared" si="19"/>
        <v>0</v>
      </c>
      <c r="Q33" s="457">
        <f t="shared" ca="1" si="19"/>
        <v>59243.855861221993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5874.0025188222407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34</v>
      </c>
      <c r="D8" s="1014">
        <f>'SEAP template'!D76</f>
        <v>37.777777777777771</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7.6311111111111103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5874.0025188222407</v>
      </c>
      <c r="C10" s="1016">
        <f>SUM(C4:C9)</f>
        <v>34</v>
      </c>
      <c r="D10" s="1016">
        <f t="shared" ref="D10:H10" si="0">SUM(D8:D9)</f>
        <v>37.777777777777771</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7.6311111111111103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0.17506470834871107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48.702702702702702</v>
      </c>
      <c r="D17" s="1015">
        <f>'SEAP template'!D87</f>
        <v>54.114114114114102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10.93105105105105</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48.702702702702702</v>
      </c>
      <c r="D20" s="1016">
        <f t="shared" ref="D20:H20" si="2">SUM(D17:D19)</f>
        <v>54.114114114114102</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10.93105105105105</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0.17506470834871107</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0.17506470834871107</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0.17506470834871107</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4060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2471.3200000000002</v>
      </c>
      <c r="C14" s="326"/>
      <c r="D14" s="326"/>
      <c r="E14" s="326"/>
      <c r="F14" s="326"/>
    </row>
    <row r="15" spans="1:6">
      <c r="A15" s="1310" t="s">
        <v>177</v>
      </c>
      <c r="B15" s="1311">
        <v>29</v>
      </c>
      <c r="C15" s="326"/>
      <c r="D15" s="326"/>
      <c r="E15" s="326"/>
      <c r="F15" s="326"/>
    </row>
    <row r="16" spans="1:6">
      <c r="A16" s="1310" t="s">
        <v>6</v>
      </c>
      <c r="B16" s="1311">
        <v>899</v>
      </c>
      <c r="C16" s="326"/>
      <c r="D16" s="326"/>
      <c r="E16" s="326"/>
      <c r="F16" s="326"/>
    </row>
    <row r="17" spans="1:6">
      <c r="A17" s="1310" t="s">
        <v>7</v>
      </c>
      <c r="B17" s="1311">
        <v>553</v>
      </c>
      <c r="C17" s="326"/>
      <c r="D17" s="326"/>
      <c r="E17" s="326"/>
      <c r="F17" s="326"/>
    </row>
    <row r="18" spans="1:6">
      <c r="A18" s="1310" t="s">
        <v>8</v>
      </c>
      <c r="B18" s="1311">
        <v>845</v>
      </c>
      <c r="C18" s="326"/>
      <c r="D18" s="326"/>
      <c r="E18" s="326"/>
      <c r="F18" s="326"/>
    </row>
    <row r="19" spans="1:6">
      <c r="A19" s="1310" t="s">
        <v>9</v>
      </c>
      <c r="B19" s="1311">
        <v>797</v>
      </c>
      <c r="C19" s="326"/>
      <c r="D19" s="326"/>
      <c r="E19" s="326"/>
      <c r="F19" s="326"/>
    </row>
    <row r="20" spans="1:6">
      <c r="A20" s="1310" t="s">
        <v>10</v>
      </c>
      <c r="B20" s="1311">
        <v>541</v>
      </c>
      <c r="C20" s="326"/>
      <c r="D20" s="326"/>
      <c r="E20" s="326"/>
      <c r="F20" s="326"/>
    </row>
    <row r="21" spans="1:6">
      <c r="A21" s="1310" t="s">
        <v>11</v>
      </c>
      <c r="B21" s="1311">
        <v>4184</v>
      </c>
      <c r="C21" s="326"/>
      <c r="D21" s="326"/>
      <c r="E21" s="326"/>
      <c r="F21" s="326"/>
    </row>
    <row r="22" spans="1:6">
      <c r="A22" s="1310" t="s">
        <v>12</v>
      </c>
      <c r="B22" s="1311">
        <v>11957</v>
      </c>
      <c r="C22" s="326"/>
      <c r="D22" s="326"/>
      <c r="E22" s="326"/>
      <c r="F22" s="326"/>
    </row>
    <row r="23" spans="1:6">
      <c r="A23" s="1310" t="s">
        <v>13</v>
      </c>
      <c r="B23" s="1311">
        <v>50</v>
      </c>
      <c r="C23" s="326"/>
      <c r="D23" s="326"/>
      <c r="E23" s="326"/>
      <c r="F23" s="326"/>
    </row>
    <row r="24" spans="1:6">
      <c r="A24" s="1310" t="s">
        <v>14</v>
      </c>
      <c r="B24" s="1311">
        <v>55</v>
      </c>
      <c r="C24" s="326"/>
      <c r="D24" s="326"/>
      <c r="E24" s="326"/>
      <c r="F24" s="326"/>
    </row>
    <row r="25" spans="1:6">
      <c r="A25" s="1310" t="s">
        <v>15</v>
      </c>
      <c r="B25" s="1311">
        <v>954</v>
      </c>
      <c r="C25" s="326"/>
      <c r="D25" s="326"/>
      <c r="E25" s="326"/>
      <c r="F25" s="326"/>
    </row>
    <row r="26" spans="1:6">
      <c r="A26" s="1310" t="s">
        <v>16</v>
      </c>
      <c r="B26" s="1311">
        <v>617</v>
      </c>
      <c r="C26" s="326"/>
      <c r="D26" s="326"/>
      <c r="E26" s="326"/>
      <c r="F26" s="326"/>
    </row>
    <row r="27" spans="1:6">
      <c r="A27" s="1310" t="s">
        <v>17</v>
      </c>
      <c r="B27" s="1311">
        <v>1673</v>
      </c>
      <c r="C27" s="326"/>
      <c r="D27" s="326"/>
      <c r="E27" s="326"/>
      <c r="F27" s="326"/>
    </row>
    <row r="28" spans="1:6">
      <c r="A28" s="1310" t="s">
        <v>18</v>
      </c>
      <c r="B28" s="1312">
        <v>71465</v>
      </c>
      <c r="C28" s="326"/>
      <c r="D28" s="326"/>
      <c r="E28" s="326"/>
      <c r="F28" s="326"/>
    </row>
    <row r="29" spans="1:6">
      <c r="A29" s="1310" t="s">
        <v>678</v>
      </c>
      <c r="B29" s="1312">
        <v>60</v>
      </c>
      <c r="C29" s="326"/>
      <c r="D29" s="326"/>
      <c r="E29" s="326"/>
      <c r="F29" s="326"/>
    </row>
    <row r="30" spans="1:6">
      <c r="A30" s="1305" t="s">
        <v>679</v>
      </c>
      <c r="B30" s="1313">
        <v>17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10</v>
      </c>
      <c r="F36" s="1311">
        <v>20223.271000000001</v>
      </c>
    </row>
    <row r="37" spans="1:6">
      <c r="A37" s="1310" t="s">
        <v>24</v>
      </c>
      <c r="B37" s="1310" t="s">
        <v>27</v>
      </c>
      <c r="C37" s="1311">
        <v>0</v>
      </c>
      <c r="D37" s="1311">
        <v>0</v>
      </c>
      <c r="E37" s="1311">
        <v>0</v>
      </c>
      <c r="F37" s="1311">
        <v>0</v>
      </c>
    </row>
    <row r="38" spans="1:6">
      <c r="A38" s="1310" t="s">
        <v>24</v>
      </c>
      <c r="B38" s="1310" t="s">
        <v>28</v>
      </c>
      <c r="C38" s="1311">
        <v>1</v>
      </c>
      <c r="D38" s="1311">
        <v>24782.915000000001</v>
      </c>
      <c r="E38" s="1311">
        <v>1</v>
      </c>
      <c r="F38" s="1311">
        <v>1226.912</v>
      </c>
    </row>
    <row r="39" spans="1:6">
      <c r="A39" s="1310" t="s">
        <v>29</v>
      </c>
      <c r="B39" s="1310" t="s">
        <v>30</v>
      </c>
      <c r="C39" s="1311">
        <v>3026</v>
      </c>
      <c r="D39" s="1311">
        <v>42432323.153783597</v>
      </c>
      <c r="E39" s="1311">
        <v>3991</v>
      </c>
      <c r="F39" s="1311">
        <v>13520656.448999999</v>
      </c>
    </row>
    <row r="40" spans="1:6">
      <c r="A40" s="1310" t="s">
        <v>29</v>
      </c>
      <c r="B40" s="1310" t="s">
        <v>28</v>
      </c>
      <c r="C40" s="1311">
        <v>0</v>
      </c>
      <c r="D40" s="1311">
        <v>0</v>
      </c>
      <c r="E40" s="1311">
        <v>0</v>
      </c>
      <c r="F40" s="1311">
        <v>0</v>
      </c>
    </row>
    <row r="41" spans="1:6">
      <c r="A41" s="1310" t="s">
        <v>31</v>
      </c>
      <c r="B41" s="1310" t="s">
        <v>32</v>
      </c>
      <c r="C41" s="1311">
        <v>66</v>
      </c>
      <c r="D41" s="1311">
        <v>992035.92</v>
      </c>
      <c r="E41" s="1311">
        <v>158</v>
      </c>
      <c r="F41" s="1311">
        <v>937516.00100000005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51216.73</v>
      </c>
    </row>
    <row r="45" spans="1:6">
      <c r="A45" s="1310" t="s">
        <v>31</v>
      </c>
      <c r="B45" s="1310" t="s">
        <v>36</v>
      </c>
      <c r="C45" s="1311">
        <v>4</v>
      </c>
      <c r="D45" s="1311">
        <v>63114.052000000003</v>
      </c>
      <c r="E45" s="1311">
        <v>4</v>
      </c>
      <c r="F45" s="1311">
        <v>64421.38</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40338.67</v>
      </c>
    </row>
    <row r="48" spans="1:6">
      <c r="A48" s="1310" t="s">
        <v>31</v>
      </c>
      <c r="B48" s="1310" t="s">
        <v>28</v>
      </c>
      <c r="C48" s="1311">
        <v>3</v>
      </c>
      <c r="D48" s="1311">
        <v>51933.394</v>
      </c>
      <c r="E48" s="1311">
        <v>1</v>
      </c>
      <c r="F48" s="1311">
        <v>2443.8229999999999</v>
      </c>
    </row>
    <row r="49" spans="1:6">
      <c r="A49" s="1310" t="s">
        <v>31</v>
      </c>
      <c r="B49" s="1310" t="s">
        <v>39</v>
      </c>
      <c r="C49" s="1311">
        <v>0</v>
      </c>
      <c r="D49" s="1311">
        <v>0</v>
      </c>
      <c r="E49" s="1311">
        <v>0</v>
      </c>
      <c r="F49" s="1311">
        <v>0</v>
      </c>
    </row>
    <row r="50" spans="1:6">
      <c r="A50" s="1310" t="s">
        <v>31</v>
      </c>
      <c r="B50" s="1310" t="s">
        <v>40</v>
      </c>
      <c r="C50" s="1311">
        <v>8</v>
      </c>
      <c r="D50" s="1311">
        <v>685170.429</v>
      </c>
      <c r="E50" s="1311">
        <v>15</v>
      </c>
      <c r="F50" s="1311">
        <v>539260.05200000003</v>
      </c>
    </row>
    <row r="51" spans="1:6">
      <c r="A51" s="1310" t="s">
        <v>41</v>
      </c>
      <c r="B51" s="1310" t="s">
        <v>42</v>
      </c>
      <c r="C51" s="1311">
        <v>12</v>
      </c>
      <c r="D51" s="1311">
        <v>240980.636</v>
      </c>
      <c r="E51" s="1311">
        <v>83</v>
      </c>
      <c r="F51" s="1311">
        <v>1491856.507</v>
      </c>
    </row>
    <row r="52" spans="1:6">
      <c r="A52" s="1310" t="s">
        <v>41</v>
      </c>
      <c r="B52" s="1310" t="s">
        <v>28</v>
      </c>
      <c r="C52" s="1311">
        <v>0</v>
      </c>
      <c r="D52" s="1311">
        <v>0</v>
      </c>
      <c r="E52" s="1311">
        <v>0</v>
      </c>
      <c r="F52" s="1311">
        <v>0</v>
      </c>
    </row>
    <row r="53" spans="1:6">
      <c r="A53" s="1310" t="s">
        <v>43</v>
      </c>
      <c r="B53" s="1310" t="s">
        <v>44</v>
      </c>
      <c r="C53" s="1311">
        <v>42</v>
      </c>
      <c r="D53" s="1311">
        <v>668100.06599999999</v>
      </c>
      <c r="E53" s="1311">
        <v>115</v>
      </c>
      <c r="F53" s="1311">
        <v>978934.62100000004</v>
      </c>
    </row>
    <row r="54" spans="1:6">
      <c r="A54" s="1310" t="s">
        <v>45</v>
      </c>
      <c r="B54" s="1310" t="s">
        <v>46</v>
      </c>
      <c r="C54" s="1311">
        <v>0</v>
      </c>
      <c r="D54" s="1311">
        <v>0</v>
      </c>
      <c r="E54" s="1311">
        <v>1</v>
      </c>
      <c r="F54" s="1311">
        <v>684177.03700000001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2319593.2519999999</v>
      </c>
      <c r="E57" s="1311">
        <v>62</v>
      </c>
      <c r="F57" s="1311">
        <v>705797.90300000005</v>
      </c>
    </row>
    <row r="58" spans="1:6">
      <c r="A58" s="1310" t="s">
        <v>48</v>
      </c>
      <c r="B58" s="1310" t="s">
        <v>50</v>
      </c>
      <c r="C58" s="1311">
        <v>17</v>
      </c>
      <c r="D58" s="1311">
        <v>448517.66800000001</v>
      </c>
      <c r="E58" s="1311">
        <v>28</v>
      </c>
      <c r="F58" s="1311">
        <v>327626.71000000002</v>
      </c>
    </row>
    <row r="59" spans="1:6">
      <c r="A59" s="1310" t="s">
        <v>48</v>
      </c>
      <c r="B59" s="1310" t="s">
        <v>51</v>
      </c>
      <c r="C59" s="1311">
        <v>70</v>
      </c>
      <c r="D59" s="1311">
        <v>3408379.37</v>
      </c>
      <c r="E59" s="1311">
        <v>119</v>
      </c>
      <c r="F59" s="1311">
        <v>3024035.2990000001</v>
      </c>
    </row>
    <row r="60" spans="1:6">
      <c r="A60" s="1310" t="s">
        <v>48</v>
      </c>
      <c r="B60" s="1310" t="s">
        <v>52</v>
      </c>
      <c r="C60" s="1311">
        <v>42</v>
      </c>
      <c r="D60" s="1311">
        <v>1476803.0989999999</v>
      </c>
      <c r="E60" s="1311">
        <v>48</v>
      </c>
      <c r="F60" s="1311">
        <v>681806.94799999997</v>
      </c>
    </row>
    <row r="61" spans="1:6">
      <c r="A61" s="1310" t="s">
        <v>48</v>
      </c>
      <c r="B61" s="1310" t="s">
        <v>53</v>
      </c>
      <c r="C61" s="1311">
        <v>131</v>
      </c>
      <c r="D61" s="1311">
        <v>3558855.2620000001</v>
      </c>
      <c r="E61" s="1311">
        <v>194</v>
      </c>
      <c r="F61" s="1311">
        <v>1600383.335</v>
      </c>
    </row>
    <row r="62" spans="1:6">
      <c r="A62" s="1310" t="s">
        <v>48</v>
      </c>
      <c r="B62" s="1310" t="s">
        <v>54</v>
      </c>
      <c r="C62" s="1311">
        <v>12</v>
      </c>
      <c r="D62" s="1311">
        <v>418096.91399999999</v>
      </c>
      <c r="E62" s="1311">
        <v>17</v>
      </c>
      <c r="F62" s="1311">
        <v>140304.141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256844.49299999999</v>
      </c>
    </row>
    <row r="67" spans="1:6">
      <c r="A67" s="1310" t="s">
        <v>55</v>
      </c>
      <c r="B67" s="1310" t="s">
        <v>58</v>
      </c>
      <c r="C67" s="1311">
        <v>0</v>
      </c>
      <c r="D67" s="1311">
        <v>0</v>
      </c>
      <c r="E67" s="1311">
        <v>0</v>
      </c>
      <c r="F67" s="1311">
        <v>0</v>
      </c>
    </row>
    <row r="68" spans="1:6">
      <c r="A68" s="1305" t="s">
        <v>55</v>
      </c>
      <c r="B68" s="1305" t="s">
        <v>59</v>
      </c>
      <c r="C68" s="1313">
        <v>3</v>
      </c>
      <c r="D68" s="1313">
        <v>122469.742</v>
      </c>
      <c r="E68" s="1313">
        <v>9</v>
      </c>
      <c r="F68" s="1313">
        <v>48815.601000000002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40338257</v>
      </c>
      <c r="E73" s="445"/>
      <c r="F73" s="326"/>
    </row>
    <row r="74" spans="1:6">
      <c r="A74" s="1310" t="s">
        <v>63</v>
      </c>
      <c r="B74" s="1310" t="s">
        <v>632</v>
      </c>
      <c r="C74" s="1323" t="s">
        <v>634</v>
      </c>
      <c r="D74" s="1311">
        <v>2888961.1561555276</v>
      </c>
      <c r="E74" s="445"/>
      <c r="F74" s="326"/>
    </row>
    <row r="75" spans="1:6">
      <c r="A75" s="1310" t="s">
        <v>64</v>
      </c>
      <c r="B75" s="1310" t="s">
        <v>631</v>
      </c>
      <c r="C75" s="1323" t="s">
        <v>635</v>
      </c>
      <c r="D75" s="1311">
        <v>10479121</v>
      </c>
      <c r="E75" s="445"/>
      <c r="F75" s="326"/>
    </row>
    <row r="76" spans="1:6">
      <c r="A76" s="1310" t="s">
        <v>64</v>
      </c>
      <c r="B76" s="1310" t="s">
        <v>632</v>
      </c>
      <c r="C76" s="1323" t="s">
        <v>636</v>
      </c>
      <c r="D76" s="1311">
        <v>478994.15615552751</v>
      </c>
      <c r="E76" s="445"/>
      <c r="F76" s="326"/>
    </row>
    <row r="77" spans="1:6">
      <c r="A77" s="1310" t="s">
        <v>65</v>
      </c>
      <c r="B77" s="1310" t="s">
        <v>631</v>
      </c>
      <c r="C77" s="1323" t="s">
        <v>637</v>
      </c>
      <c r="D77" s="1311">
        <v>102485163</v>
      </c>
      <c r="E77" s="445"/>
      <c r="F77" s="326"/>
    </row>
    <row r="78" spans="1:6">
      <c r="A78" s="1305" t="s">
        <v>65</v>
      </c>
      <c r="B78" s="1305" t="s">
        <v>632</v>
      </c>
      <c r="C78" s="1305" t="s">
        <v>638</v>
      </c>
      <c r="D78" s="1313">
        <v>15652834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268025.68768894498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3077.5817559501479</v>
      </c>
      <c r="C91" s="326"/>
      <c r="D91" s="326"/>
      <c r="E91" s="326"/>
      <c r="F91" s="326"/>
    </row>
    <row r="92" spans="1:6">
      <c r="A92" s="1305" t="s">
        <v>68</v>
      </c>
      <c r="B92" s="1306">
        <v>2796.4207628720933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1911</v>
      </c>
      <c r="C97" s="326"/>
      <c r="D97" s="326"/>
      <c r="E97" s="326"/>
      <c r="F97" s="326"/>
    </row>
    <row r="98" spans="1:6">
      <c r="A98" s="1310" t="s">
        <v>71</v>
      </c>
      <c r="B98" s="1311">
        <v>1</v>
      </c>
      <c r="C98" s="326"/>
      <c r="D98" s="326"/>
      <c r="E98" s="326"/>
      <c r="F98" s="326"/>
    </row>
    <row r="99" spans="1:6">
      <c r="A99" s="1310" t="s">
        <v>72</v>
      </c>
      <c r="B99" s="1311">
        <v>56</v>
      </c>
      <c r="C99" s="326"/>
      <c r="D99" s="326"/>
      <c r="E99" s="326"/>
      <c r="F99" s="326"/>
    </row>
    <row r="100" spans="1:6">
      <c r="A100" s="1310" t="s">
        <v>73</v>
      </c>
      <c r="B100" s="1311">
        <v>349</v>
      </c>
      <c r="C100" s="326"/>
      <c r="D100" s="326"/>
      <c r="E100" s="326"/>
      <c r="F100" s="326"/>
    </row>
    <row r="101" spans="1:6">
      <c r="A101" s="1310" t="s">
        <v>74</v>
      </c>
      <c r="B101" s="1311">
        <v>78</v>
      </c>
      <c r="C101" s="326"/>
      <c r="D101" s="326"/>
      <c r="E101" s="326"/>
      <c r="F101" s="326"/>
    </row>
    <row r="102" spans="1:6">
      <c r="A102" s="1310" t="s">
        <v>75</v>
      </c>
      <c r="B102" s="1311">
        <v>71</v>
      </c>
      <c r="C102" s="326"/>
      <c r="D102" s="326"/>
      <c r="E102" s="326"/>
      <c r="F102" s="326"/>
    </row>
    <row r="103" spans="1:6">
      <c r="A103" s="1310" t="s">
        <v>76</v>
      </c>
      <c r="B103" s="1311">
        <v>104</v>
      </c>
      <c r="C103" s="326"/>
      <c r="D103" s="326"/>
      <c r="E103" s="326"/>
      <c r="F103" s="326"/>
    </row>
    <row r="104" spans="1:6">
      <c r="A104" s="1310" t="s">
        <v>77</v>
      </c>
      <c r="B104" s="1311">
        <v>807</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27</v>
      </c>
      <c r="C123" s="1311">
        <v>53</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83</v>
      </c>
      <c r="C129" s="326"/>
      <c r="D129" s="326"/>
      <c r="E129" s="326"/>
      <c r="F129" s="326"/>
    </row>
    <row r="130" spans="1:6">
      <c r="A130" s="1310" t="s">
        <v>284</v>
      </c>
      <c r="B130" s="1311">
        <v>1</v>
      </c>
      <c r="C130" s="326"/>
      <c r="D130" s="326"/>
      <c r="E130" s="326"/>
      <c r="F130" s="326"/>
    </row>
    <row r="131" spans="1:6">
      <c r="A131" s="1310" t="s">
        <v>285</v>
      </c>
      <c r="B131" s="1311">
        <v>2</v>
      </c>
      <c r="C131" s="326"/>
      <c r="D131" s="326"/>
      <c r="E131" s="326"/>
      <c r="F131" s="326"/>
    </row>
    <row r="132" spans="1:6">
      <c r="A132" s="1305" t="s">
        <v>286</v>
      </c>
      <c r="B132" s="1306">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28257.95589592565</v>
      </c>
      <c r="C3" s="43" t="s">
        <v>163</v>
      </c>
      <c r="D3" s="43"/>
      <c r="E3" s="154"/>
      <c r="F3" s="43"/>
      <c r="G3" s="43"/>
      <c r="H3" s="43"/>
      <c r="I3" s="43"/>
      <c r="J3" s="43"/>
      <c r="K3" s="96"/>
    </row>
    <row r="4" spans="1:11">
      <c r="A4" s="352" t="s">
        <v>164</v>
      </c>
      <c r="B4" s="49">
        <f>IF(ISERROR('SEAP template'!B78+'SEAP template'!C78),0,'SEAP template'!B78+'SEAP template'!C78)</f>
        <v>5908.0025188222407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7.6311111111111103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0.17506470834871107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10.93105105105105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48.702702702702702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684.17703700000004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684.17703700000004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0.17506470834871107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119.77525344129032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13520.656448999998</v>
      </c>
      <c r="C5" s="17">
        <f>IF(ISERROR('Eigen informatie GS &amp; warmtenet'!B59),0,'Eigen informatie GS &amp; warmtenet'!B59)</f>
        <v>0</v>
      </c>
      <c r="D5" s="30">
        <f>(SUM(HH_hh_gas_kWh,HH_rest_gas_kWh)/1000)*0.903</f>
        <v>38316.387807866588</v>
      </c>
      <c r="E5" s="17">
        <f>B32*B41</f>
        <v>726.36761017833021</v>
      </c>
      <c r="F5" s="17">
        <f>B36*B45</f>
        <v>15912.2485210907</v>
      </c>
      <c r="G5" s="18"/>
      <c r="H5" s="17"/>
      <c r="I5" s="17"/>
      <c r="J5" s="17">
        <f>B35*B44+C35*C44</f>
        <v>90.685644704118815</v>
      </c>
      <c r="K5" s="17"/>
      <c r="L5" s="17"/>
      <c r="M5" s="17"/>
      <c r="N5" s="17">
        <f>B34*B43+C34*C43</f>
        <v>5193.0636745570846</v>
      </c>
      <c r="O5" s="17">
        <f>B52*B53*B54</f>
        <v>273.78623427541038</v>
      </c>
      <c r="P5" s="17">
        <f>B60*B61*B62/1000-B60*B61*B62/1000/B63</f>
        <v>431.89233161508594</v>
      </c>
    </row>
    <row r="6" spans="1:16">
      <c r="A6" s="16" t="s">
        <v>597</v>
      </c>
      <c r="B6" s="778">
        <f>kWh_PV_kleiner_dan_10kW</f>
        <v>3077.5817559501479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16598.238204950147</v>
      </c>
      <c r="C8" s="21">
        <f>C5</f>
        <v>0</v>
      </c>
      <c r="D8" s="21">
        <f>D5</f>
        <v>38316.387807866588</v>
      </c>
      <c r="E8" s="21">
        <f>E5</f>
        <v>726.36761017833021</v>
      </c>
      <c r="F8" s="21">
        <f>F5</f>
        <v>15912.2485210907</v>
      </c>
      <c r="G8" s="21"/>
      <c r="H8" s="21"/>
      <c r="I8" s="21"/>
      <c r="J8" s="21">
        <f>J5</f>
        <v>90.685644704118815</v>
      </c>
      <c r="K8" s="21"/>
      <c r="L8" s="21">
        <f>L5</f>
        <v>0</v>
      </c>
      <c r="M8" s="21">
        <f>M5</f>
        <v>0</v>
      </c>
      <c r="N8" s="21">
        <f>N5</f>
        <v>5193.0636745570846</v>
      </c>
      <c r="O8" s="21">
        <f>O5</f>
        <v>273.78623427541038</v>
      </c>
      <c r="P8" s="21">
        <f>P5</f>
        <v>431.89233161508594</v>
      </c>
    </row>
    <row r="9" spans="1:16">
      <c r="B9" s="19"/>
      <c r="C9" s="19"/>
      <c r="D9" s="254"/>
      <c r="E9" s="19"/>
      <c r="F9" s="19"/>
      <c r="G9" s="19"/>
      <c r="H9" s="19"/>
      <c r="I9" s="19"/>
      <c r="J9" s="19"/>
      <c r="K9" s="19"/>
      <c r="L9" s="19"/>
      <c r="M9" s="19"/>
      <c r="N9" s="19"/>
      <c r="O9" s="19"/>
      <c r="P9" s="19"/>
    </row>
    <row r="10" spans="1:16">
      <c r="A10" s="24" t="s">
        <v>207</v>
      </c>
      <c r="B10" s="25">
        <f ca="1">'EF ele_warmte'!B12</f>
        <v>0.17506470834871107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2905.7657304520312</v>
      </c>
      <c r="C12" s="23">
        <f ca="1">C10*C8</f>
        <v>0</v>
      </c>
      <c r="D12" s="23">
        <f>D8*D10</f>
        <v>7739.9103371890515</v>
      </c>
      <c r="E12" s="23">
        <f>E10*E8</f>
        <v>164.88544751048096</v>
      </c>
      <c r="F12" s="23">
        <f>F10*F8</f>
        <v>4248.5703551312172</v>
      </c>
      <c r="G12" s="23"/>
      <c r="H12" s="23"/>
      <c r="I12" s="23"/>
      <c r="J12" s="23">
        <f>J10*J8</f>
        <v>32.102718225258059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4060</v>
      </c>
      <c r="C26" s="36"/>
      <c r="D26" s="225"/>
    </row>
    <row r="27" spans="1:5" s="15" customFormat="1">
      <c r="A27" s="227" t="s">
        <v>860</v>
      </c>
      <c r="B27" s="37">
        <f>SUM(HH_hh_gas_aantal,HH_rest_gas_aantal)</f>
        <v>3026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2874.7</v>
      </c>
      <c r="C31" s="34" t="s">
        <v>104</v>
      </c>
      <c r="D31" s="171"/>
    </row>
    <row r="32" spans="1:5">
      <c r="A32" s="168" t="s">
        <v>72</v>
      </c>
      <c r="B32" s="33">
        <f>IF((B21*($B$26-($B$27-0.05*$B$27)-$B$60))&lt;0,0,(B21*($B$26-($B$27-0.05*$B$27)-$B$60)))</f>
        <v>18.165989865469477</v>
      </c>
      <c r="C32" s="34" t="s">
        <v>104</v>
      </c>
      <c r="D32" s="171"/>
    </row>
    <row r="33" spans="1:6">
      <c r="A33" s="168" t="s">
        <v>73</v>
      </c>
      <c r="B33" s="33">
        <f>IF((B22*($B$26-($B$27-0.05*$B$27)-$B$60))&lt;0,0,B22*($B$26-($B$27-0.05*$B$27)-$B$60))</f>
        <v>294.97969727740372</v>
      </c>
      <c r="C33" s="34" t="s">
        <v>104</v>
      </c>
      <c r="D33" s="171"/>
    </row>
    <row r="34" spans="1:6">
      <c r="A34" s="168" t="s">
        <v>74</v>
      </c>
      <c r="B34" s="33">
        <f>IF((B24*($B$26-($B$27-0.05*$B$27)-$B$60))&lt;0,0,B24*($B$26-($B$27-0.05*$B$27)-$B$60))</f>
        <v>56.551555523286133</v>
      </c>
      <c r="C34" s="33">
        <f>B26*C24</f>
        <v>831.91811561456939</v>
      </c>
      <c r="D34" s="230"/>
    </row>
    <row r="35" spans="1:6">
      <c r="A35" s="168" t="s">
        <v>76</v>
      </c>
      <c r="B35" s="33">
        <f>IF((B19*($B$26-($B$27-0.05*$B$27)-$B$60))&lt;0,0,B19*($B$26-($B$27-0.05*$B$27)-$B$60))</f>
        <v>7.8967124856143176</v>
      </c>
      <c r="C35" s="33">
        <f>B35/2</f>
        <v>3.9483562428071588</v>
      </c>
      <c r="D35" s="230"/>
    </row>
    <row r="36" spans="1:6">
      <c r="A36" s="168" t="s">
        <v>77</v>
      </c>
      <c r="B36" s="33">
        <f>IF((B18*($B$26-($B$27-0.05*$B$27)-$B$60))&lt;0,0,B18*($B$26-($B$27-0.05*$B$27)-$B$60))</f>
        <v>766.70604484822627</v>
      </c>
      <c r="C36" s="34" t="s">
        <v>104</v>
      </c>
      <c r="D36" s="171"/>
    </row>
    <row r="37" spans="1:6">
      <c r="A37" s="168" t="s">
        <v>78</v>
      </c>
      <c r="B37" s="33">
        <f>B60</f>
        <v>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6479.9543359999989</v>
      </c>
      <c r="C5" s="17">
        <f>IF(ISERROR('Eigen informatie GS &amp; warmtenet'!B60),0,'Eigen informatie GS &amp; warmtenet'!B60)</f>
        <v>0</v>
      </c>
      <c r="D5" s="30">
        <f>SUM(D6:D12)</f>
        <v>10502.111745194999</v>
      </c>
      <c r="E5" s="17">
        <f>SUM(E6:E12)</f>
        <v>33.704617410404261</v>
      </c>
      <c r="F5" s="17">
        <f>SUM(F6:F12)</f>
        <v>1177.6647830858017</v>
      </c>
      <c r="G5" s="18"/>
      <c r="H5" s="17"/>
      <c r="I5" s="17"/>
      <c r="J5" s="17">
        <f>SUM(J6:J12)</f>
        <v>7.1385614712090161E-3</v>
      </c>
      <c r="K5" s="17"/>
      <c r="L5" s="17"/>
      <c r="M5" s="17"/>
      <c r="N5" s="17">
        <f>SUM(N6:N12)</f>
        <v>276.22270603512175</v>
      </c>
      <c r="O5" s="17">
        <f>B38*B39*B40</f>
        <v>4.8972607658411542</v>
      </c>
      <c r="P5" s="17">
        <f>B46*B47*B48/1000-B46*B47*B48/1000/B49</f>
        <v>105.07827661299004</v>
      </c>
      <c r="R5" s="32"/>
    </row>
    <row r="6" spans="1:18">
      <c r="A6" s="32" t="s">
        <v>53</v>
      </c>
      <c r="B6" s="37">
        <f>B26</f>
        <v>1600.383335</v>
      </c>
      <c r="C6" s="33"/>
      <c r="D6" s="37">
        <f>IF(ISERROR(TER_kantoor_gas_kWh/1000),0,TER_kantoor_gas_kWh/1000)*0.903</f>
        <v>3213.6463015859999</v>
      </c>
      <c r="E6" s="33">
        <f>$C$26*'E Balans VL '!I12/100/3.6*1000000</f>
        <v>0.38132417794747903</v>
      </c>
      <c r="F6" s="33">
        <f>$C$26*('E Balans VL '!L12+'E Balans VL '!N12)/100/3.6*1000000</f>
        <v>139.00897023827605</v>
      </c>
      <c r="G6" s="34"/>
      <c r="H6" s="33"/>
      <c r="I6" s="33"/>
      <c r="J6" s="33">
        <f>$C$26*('E Balans VL '!D12+'E Balans VL '!E12)/100/3.6*1000000</f>
        <v>0</v>
      </c>
      <c r="K6" s="33"/>
      <c r="L6" s="33"/>
      <c r="M6" s="33"/>
      <c r="N6" s="33">
        <f>$C$26*'E Balans VL '!Y12/100/3.6*1000000</f>
        <v>2.1391362211746245</v>
      </c>
      <c r="O6" s="33"/>
      <c r="P6" s="33"/>
      <c r="R6" s="32"/>
    </row>
    <row r="7" spans="1:18">
      <c r="A7" s="32" t="s">
        <v>52</v>
      </c>
      <c r="B7" s="37">
        <f t="shared" ref="B7:B12" si="0">B27</f>
        <v>681.80694799999992</v>
      </c>
      <c r="C7" s="33"/>
      <c r="D7" s="37">
        <f>IF(ISERROR(TER_horeca_gas_kWh/1000),0,TER_horeca_gas_kWh/1000)*0.903</f>
        <v>1333.553198397</v>
      </c>
      <c r="E7" s="33">
        <f>$C$27*'E Balans VL '!I9/100/3.6*1000000</f>
        <v>0</v>
      </c>
      <c r="F7" s="33">
        <f>$C$27*('E Balans VL '!L9+'E Balans VL '!N9)/100/3.6*1000000</f>
        <v>55.554927318819203</v>
      </c>
      <c r="G7" s="34"/>
      <c r="H7" s="33"/>
      <c r="I7" s="33"/>
      <c r="J7" s="33">
        <f>$C$27*('E Balans VL '!D9+'E Balans VL '!E9)/100/3.6*1000000</f>
        <v>0</v>
      </c>
      <c r="K7" s="33"/>
      <c r="L7" s="33"/>
      <c r="M7" s="33"/>
      <c r="N7" s="33">
        <f>$C$27*'E Balans VL '!Y9/100/3.6*1000000</f>
        <v>0.18884783115688983</v>
      </c>
      <c r="O7" s="33"/>
      <c r="P7" s="33"/>
      <c r="R7" s="32"/>
    </row>
    <row r="8" spans="1:18">
      <c r="A8" s="6" t="s">
        <v>51</v>
      </c>
      <c r="B8" s="37">
        <f t="shared" si="0"/>
        <v>3024.0352990000001</v>
      </c>
      <c r="C8" s="33"/>
      <c r="D8" s="37">
        <f>IF(ISERROR(TER_handel_gas_kWh/1000),0,TER_handel_gas_kWh/1000)*0.903</f>
        <v>3077.7665711100003</v>
      </c>
      <c r="E8" s="33">
        <f>$C$28*'E Balans VL '!I13/100/3.6*1000000</f>
        <v>24.172972712827129</v>
      </c>
      <c r="F8" s="33">
        <f>$C$28*('E Balans VL '!L13+'E Balans VL '!N13)/100/3.6*1000000</f>
        <v>300.4191084554364</v>
      </c>
      <c r="G8" s="34"/>
      <c r="H8" s="33"/>
      <c r="I8" s="33"/>
      <c r="J8" s="33">
        <f>$C$28*('E Balans VL '!D13+'E Balans VL '!E13)/100/3.6*1000000</f>
        <v>0</v>
      </c>
      <c r="K8" s="33"/>
      <c r="L8" s="33"/>
      <c r="M8" s="33"/>
      <c r="N8" s="33">
        <f>$C$28*'E Balans VL '!Y13/100/3.6*1000000</f>
        <v>1.1296571867390965</v>
      </c>
      <c r="O8" s="33"/>
      <c r="P8" s="33"/>
      <c r="R8" s="32"/>
    </row>
    <row r="9" spans="1:18">
      <c r="A9" s="32" t="s">
        <v>50</v>
      </c>
      <c r="B9" s="37">
        <f t="shared" si="0"/>
        <v>327.62671</v>
      </c>
      <c r="C9" s="33"/>
      <c r="D9" s="37">
        <f>IF(ISERROR(TER_gezond_gas_kWh/1000),0,TER_gezond_gas_kWh/1000)*0.903</f>
        <v>405.01145420400002</v>
      </c>
      <c r="E9" s="33">
        <f>$C$29*'E Balans VL '!I10/100/3.6*1000000</f>
        <v>0</v>
      </c>
      <c r="F9" s="33">
        <f>$C$29*('E Balans VL '!L10+'E Balans VL '!N10)/100/3.6*1000000</f>
        <v>29.868513521981797</v>
      </c>
      <c r="G9" s="34"/>
      <c r="H9" s="33"/>
      <c r="I9" s="33"/>
      <c r="J9" s="33">
        <f>$C$29*('E Balans VL '!D10+'E Balans VL '!E10)/100/3.6*1000000</f>
        <v>0</v>
      </c>
      <c r="K9" s="33"/>
      <c r="L9" s="33"/>
      <c r="M9" s="33"/>
      <c r="N9" s="33">
        <f>$C$29*'E Balans VL '!Y10/100/3.6*1000000</f>
        <v>2.3946576441332361</v>
      </c>
      <c r="O9" s="33"/>
      <c r="P9" s="33"/>
      <c r="R9" s="32"/>
    </row>
    <row r="10" spans="1:18">
      <c r="A10" s="32" t="s">
        <v>49</v>
      </c>
      <c r="B10" s="37">
        <f t="shared" si="0"/>
        <v>705.79790300000002</v>
      </c>
      <c r="C10" s="33"/>
      <c r="D10" s="37">
        <f>IF(ISERROR(TER_ander_gas_kWh/1000),0,TER_ander_gas_kWh/1000)*0.903</f>
        <v>2094.5927065559999</v>
      </c>
      <c r="E10" s="33">
        <f>$C$30*'E Balans VL '!I14/100/3.6*1000000</f>
        <v>9.1503205196296502</v>
      </c>
      <c r="F10" s="33">
        <f>$C$30*('E Balans VL '!L14+'E Balans VL '!N14)/100/3.6*1000000</f>
        <v>647.31577295813588</v>
      </c>
      <c r="G10" s="34"/>
      <c r="H10" s="33"/>
      <c r="I10" s="33"/>
      <c r="J10" s="33">
        <f>$C$30*('E Balans VL '!D14+'E Balans VL '!E14)/100/3.6*1000000</f>
        <v>7.1385614712090161E-3</v>
      </c>
      <c r="K10" s="33"/>
      <c r="L10" s="33"/>
      <c r="M10" s="33"/>
      <c r="N10" s="33">
        <f>$C$30*'E Balans VL '!Y14/100/3.6*1000000</f>
        <v>269.92855474656824</v>
      </c>
      <c r="O10" s="33"/>
      <c r="P10" s="33"/>
      <c r="R10" s="32"/>
    </row>
    <row r="11" spans="1:18">
      <c r="A11" s="32" t="s">
        <v>54</v>
      </c>
      <c r="B11" s="37">
        <f t="shared" si="0"/>
        <v>140.30414100000002</v>
      </c>
      <c r="C11" s="33"/>
      <c r="D11" s="37">
        <f>IF(ISERROR(TER_onderwijs_gas_kWh/1000),0,TER_onderwijs_gas_kWh/1000)*0.903</f>
        <v>377.54151334199997</v>
      </c>
      <c r="E11" s="33">
        <f>$C$31*'E Balans VL '!I11/100/3.6*1000000</f>
        <v>0</v>
      </c>
      <c r="F11" s="33">
        <f>$C$31*('E Balans VL '!L11+'E Balans VL '!N11)/100/3.6*1000000</f>
        <v>5.4974905931524578</v>
      </c>
      <c r="G11" s="34"/>
      <c r="H11" s="33"/>
      <c r="I11" s="33"/>
      <c r="J11" s="33">
        <f>$C$31*('E Balans VL '!D11+'E Balans VL '!E11)/100/3.6*1000000</f>
        <v>0</v>
      </c>
      <c r="K11" s="33"/>
      <c r="L11" s="33"/>
      <c r="M11" s="33"/>
      <c r="N11" s="33">
        <f>$C$31*'E Balans VL '!Y11/100/3.6*1000000</f>
        <v>0.44185240534967191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34</v>
      </c>
      <c r="C13" s="243">
        <f ca="1">'lokale energieproductie'!O38+'lokale energieproductie'!O31</f>
        <v>48.702702702702702</v>
      </c>
      <c r="D13" s="304">
        <f ca="1">('lokale energieproductie'!P31+'lokale energieproductie'!P38)*(-1)</f>
        <v>-91.891891891891888</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6513.9543359999989</v>
      </c>
      <c r="C16" s="21">
        <f t="shared" ca="1" si="1"/>
        <v>48.702702702702702</v>
      </c>
      <c r="D16" s="21">
        <f t="shared" ca="1" si="1"/>
        <v>10410.219853303108</v>
      </c>
      <c r="E16" s="21">
        <f t="shared" si="1"/>
        <v>33.704617410404261</v>
      </c>
      <c r="F16" s="21">
        <f t="shared" ca="1" si="1"/>
        <v>1177.6647830858017</v>
      </c>
      <c r="G16" s="21">
        <f t="shared" si="1"/>
        <v>0</v>
      </c>
      <c r="H16" s="21">
        <f t="shared" si="1"/>
        <v>0</v>
      </c>
      <c r="I16" s="21">
        <f t="shared" si="1"/>
        <v>0</v>
      </c>
      <c r="J16" s="21">
        <f t="shared" si="1"/>
        <v>7.1385614712090161E-3</v>
      </c>
      <c r="K16" s="21">
        <f t="shared" si="1"/>
        <v>0</v>
      </c>
      <c r="L16" s="21">
        <f t="shared" ca="1" si="1"/>
        <v>0</v>
      </c>
      <c r="M16" s="21">
        <f t="shared" si="1"/>
        <v>0</v>
      </c>
      <c r="N16" s="21">
        <f t="shared" ca="1" si="1"/>
        <v>276.22270603512175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0.17506470834871107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1140.3635160286617</v>
      </c>
      <c r="C20" s="23">
        <f t="shared" ref="C20:P20" ca="1" si="2">C16*C18</f>
        <v>10.93105105105105</v>
      </c>
      <c r="D20" s="23">
        <f t="shared" ca="1" si="2"/>
        <v>2102.8644103672277</v>
      </c>
      <c r="E20" s="23">
        <f t="shared" si="2"/>
        <v>7.6509481521617673</v>
      </c>
      <c r="F20" s="23">
        <f t="shared" ca="1" si="2"/>
        <v>314.43649708390905</v>
      </c>
      <c r="G20" s="23">
        <f t="shared" si="2"/>
        <v>0</v>
      </c>
      <c r="H20" s="23">
        <f t="shared" si="2"/>
        <v>0</v>
      </c>
      <c r="I20" s="23">
        <f t="shared" si="2"/>
        <v>0</v>
      </c>
      <c r="J20" s="23">
        <f t="shared" si="2"/>
        <v>2.5270507608079916E-3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1600.383335</v>
      </c>
      <c r="C26" s="39">
        <f>IF(ISERROR(B26*3.6/1000000/'E Balans VL '!Z12*100),0,B26*3.6/1000000/'E Balans VL '!Z12*100)</f>
        <v>4.5914847276906069E-2</v>
      </c>
      <c r="D26" s="233" t="s">
        <v>835</v>
      </c>
      <c r="F26" s="6"/>
    </row>
    <row r="27" spans="1:18" ht="30">
      <c r="A27" s="228" t="s">
        <v>52</v>
      </c>
      <c r="B27" s="33">
        <f>IF(ISERROR(TER_horeca_ele_kWh/1000),0,TER_horeca_ele_kWh/1000)</f>
        <v>681.80694799999992</v>
      </c>
      <c r="C27" s="39">
        <f>IF(ISERROR(B27*3.6/1000000/'E Balans VL '!Z9*100),0,B27*3.6/1000000/'E Balans VL '!Z9*100)</f>
        <v>4.9949418394384666E-2</v>
      </c>
      <c r="D27" s="233" t="s">
        <v>835</v>
      </c>
      <c r="F27" s="6"/>
    </row>
    <row r="28" spans="1:18" ht="30">
      <c r="A28" s="168" t="s">
        <v>51</v>
      </c>
      <c r="B28" s="33">
        <f>IF(ISERROR(TER_handel_ele_kWh/1000),0,TER_handel_ele_kWh/1000)</f>
        <v>3024.0352990000001</v>
      </c>
      <c r="C28" s="39">
        <f>IF(ISERROR(B28*3.6/1000000/'E Balans VL '!Z13*100),0,B28*3.6/1000000/'E Balans VL '!Z13*100)</f>
        <v>9.3445241365715165E-2</v>
      </c>
      <c r="D28" s="233" t="s">
        <v>835</v>
      </c>
      <c r="F28" s="6"/>
    </row>
    <row r="29" spans="1:18" ht="30">
      <c r="A29" s="228" t="s">
        <v>50</v>
      </c>
      <c r="B29" s="33">
        <f>IF(ISERROR(TER_gezond_ele_kWh/1000),0,TER_gezond_ele_kWh/1000)</f>
        <v>327.62671</v>
      </c>
      <c r="C29" s="39">
        <f>IF(ISERROR(B29*3.6/1000000/'E Balans VL '!Z10*100),0,B29*3.6/1000000/'E Balans VL '!Z10*100)</f>
        <v>3.2109432141896176E-2</v>
      </c>
      <c r="D29" s="233" t="s">
        <v>835</v>
      </c>
      <c r="F29" s="6"/>
    </row>
    <row r="30" spans="1:18" ht="30">
      <c r="A30" s="228" t="s">
        <v>49</v>
      </c>
      <c r="B30" s="33">
        <f>IF(ISERROR(TER_ander_ele_kWh/1000),0,TER_ander_ele_kWh/1000)</f>
        <v>705.79790300000002</v>
      </c>
      <c r="C30" s="39">
        <f>IF(ISERROR(B30*3.6/1000000/'E Balans VL '!Z14*100),0,B30*3.6/1000000/'E Balans VL '!Z14*100)</f>
        <v>2.9236429233620541E-2</v>
      </c>
      <c r="D30" s="233" t="s">
        <v>835</v>
      </c>
      <c r="F30" s="6"/>
    </row>
    <row r="31" spans="1:18" ht="30">
      <c r="A31" s="228" t="s">
        <v>54</v>
      </c>
      <c r="B31" s="33">
        <f>IF(ISERROR(TER_onderwijs_ele_kWh/1000),0,TER_onderwijs_ele_kWh/1000)</f>
        <v>140.30414100000002</v>
      </c>
      <c r="C31" s="39">
        <f>IF(ISERROR(B31*3.6/1000000/'E Balans VL '!Z11*100),0,B31*3.6/1000000/'E Balans VL '!Z11*100)</f>
        <v>4.311119691580477E-2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1635.1966560000003</v>
      </c>
      <c r="C5" s="17">
        <f>IF(ISERROR('Eigen informatie GS &amp; warmtenet'!B61),0,'Eigen informatie GS &amp; warmtenet'!B61)</f>
        <v>0</v>
      </c>
      <c r="D5" s="30">
        <f>SUM(D6:D15)</f>
        <v>1618.4051768850002</v>
      </c>
      <c r="E5" s="17">
        <f>SUM(E6:E15)</f>
        <v>5.6342065398945147</v>
      </c>
      <c r="F5" s="17">
        <f>SUM(F6:F15)</f>
        <v>630.22134793616203</v>
      </c>
      <c r="G5" s="18"/>
      <c r="H5" s="17"/>
      <c r="I5" s="17"/>
      <c r="J5" s="17">
        <f>SUM(J6:J15)</f>
        <v>2.3686207171206912</v>
      </c>
      <c r="K5" s="17"/>
      <c r="L5" s="17"/>
      <c r="M5" s="17"/>
      <c r="N5" s="17">
        <f>SUM(N6:N15)</f>
        <v>95.822205229043462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51.216730000000005</v>
      </c>
      <c r="C8" s="33"/>
      <c r="D8" s="37">
        <f>IF( ISERROR(IND_metaal_Gas_kWH/1000),0,IND_metaal_Gas_kWH/1000)*0.903</f>
        <v>0</v>
      </c>
      <c r="E8" s="33">
        <f>C30*'E Balans VL '!I18/100/3.6*1000000</f>
        <v>0.27919038286173603</v>
      </c>
      <c r="F8" s="33">
        <f>C30*'E Balans VL '!L18/100/3.6*1000000+C30*'E Balans VL '!N18/100/3.6*1000000</f>
        <v>3.298361324072201</v>
      </c>
      <c r="G8" s="34"/>
      <c r="H8" s="33"/>
      <c r="I8" s="33"/>
      <c r="J8" s="40">
        <f>C30*'E Balans VL '!D18/100/3.6*1000000+C30*'E Balans VL '!E18/100/3.6*1000000</f>
        <v>4.1952749205188995E-2</v>
      </c>
      <c r="K8" s="33"/>
      <c r="L8" s="33"/>
      <c r="M8" s="33"/>
      <c r="N8" s="33">
        <f>C30*'E Balans VL '!Y18/100/3.6*1000000</f>
        <v>1.1065036077937174</v>
      </c>
      <c r="O8" s="33"/>
      <c r="P8" s="33"/>
      <c r="R8" s="32"/>
    </row>
    <row r="9" spans="1:18">
      <c r="A9" s="6" t="s">
        <v>32</v>
      </c>
      <c r="B9" s="37">
        <f t="shared" si="0"/>
        <v>937.51600100000007</v>
      </c>
      <c r="C9" s="33"/>
      <c r="D9" s="37">
        <f>IF( ISERROR(IND_andere_gas_kWh/1000),0,IND_andere_gas_kWh/1000)*0.903</f>
        <v>895.80843576000007</v>
      </c>
      <c r="E9" s="33">
        <f>C31*'E Balans VL '!I19/100/3.6*1000000</f>
        <v>3.0264613107238896</v>
      </c>
      <c r="F9" s="33">
        <f>C31*'E Balans VL '!L19/100/3.6*1000000+C31*'E Balans VL '!N19/100/3.6*1000000</f>
        <v>606.20520580478876</v>
      </c>
      <c r="G9" s="34"/>
      <c r="H9" s="33"/>
      <c r="I9" s="33"/>
      <c r="J9" s="40">
        <f>C31*'E Balans VL '!D19/100/3.6*1000000+C31*'E Balans VL '!E19/100/3.6*1000000</f>
        <v>0</v>
      </c>
      <c r="K9" s="33"/>
      <c r="L9" s="33"/>
      <c r="M9" s="33"/>
      <c r="N9" s="33">
        <f>C31*'E Balans VL '!Y19/100/3.6*1000000</f>
        <v>37.883938674456338</v>
      </c>
      <c r="O9" s="33"/>
      <c r="P9" s="33"/>
      <c r="R9" s="32"/>
    </row>
    <row r="10" spans="1:18">
      <c r="A10" s="6" t="s">
        <v>40</v>
      </c>
      <c r="B10" s="37">
        <f t="shared" si="0"/>
        <v>539.26005199999997</v>
      </c>
      <c r="C10" s="33"/>
      <c r="D10" s="37">
        <f>IF( ISERROR(IND_voed_gas_kWh/1000),0,IND_voed_gas_kWh/1000)*0.903</f>
        <v>618.70889738699998</v>
      </c>
      <c r="E10" s="33">
        <f>C32*'E Balans VL '!I20/100/3.6*1000000</f>
        <v>1.1304212273723568</v>
      </c>
      <c r="F10" s="33">
        <f>C32*'E Balans VL '!L20/100/3.6*1000000+C32*'E Balans VL '!N20/100/3.6*1000000</f>
        <v>10.50664942945501</v>
      </c>
      <c r="G10" s="34"/>
      <c r="H10" s="33"/>
      <c r="I10" s="33"/>
      <c r="J10" s="40">
        <f>C32*'E Balans VL '!D20/100/3.6*1000000+C32*'E Balans VL '!E20/100/3.6*1000000</f>
        <v>0</v>
      </c>
      <c r="K10" s="33"/>
      <c r="L10" s="33"/>
      <c r="M10" s="33"/>
      <c r="N10" s="33">
        <f>C32*'E Balans VL '!Y20/100/3.6*1000000</f>
        <v>21.450269820584694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64.421379999999999</v>
      </c>
      <c r="C12" s="33"/>
      <c r="D12" s="37">
        <f>IF( ISERROR(IND_min_gas_kWh/1000),0,IND_min_gas_kWh/1000)*0.903</f>
        <v>56.991988956</v>
      </c>
      <c r="E12" s="33">
        <f>C34*'E Balans VL '!I22/100/3.6*1000000</f>
        <v>1.0542596772301616</v>
      </c>
      <c r="F12" s="33">
        <f>C34*'E Balans VL '!L22/100/3.6*1000000+C34*'E Balans VL '!N22/100/3.6*1000000</f>
        <v>9.8329140601533638</v>
      </c>
      <c r="G12" s="34"/>
      <c r="H12" s="33"/>
      <c r="I12" s="33"/>
      <c r="J12" s="40">
        <f>C34*'E Balans VL '!D22/100/3.6*1000000+C34*'E Balans VL '!E22/100/3.6*1000000</f>
        <v>2.3054199446826358</v>
      </c>
      <c r="K12" s="33"/>
      <c r="L12" s="33"/>
      <c r="M12" s="33"/>
      <c r="N12" s="33">
        <f>C34*'E Balans VL '!Y22/100/3.6*1000000</f>
        <v>35.304283510574479</v>
      </c>
      <c r="O12" s="33"/>
      <c r="P12" s="33"/>
      <c r="R12" s="32"/>
    </row>
    <row r="13" spans="1:18">
      <c r="A13" s="6" t="s">
        <v>38</v>
      </c>
      <c r="B13" s="37">
        <f t="shared" si="0"/>
        <v>40.33867</v>
      </c>
      <c r="C13" s="33"/>
      <c r="D13" s="37">
        <f>IF( ISERROR(IND_papier_gas_kWh/1000),0,IND_papier_gas_kWh/1000)*0.903</f>
        <v>0</v>
      </c>
      <c r="E13" s="33">
        <f>C35*'E Balans VL '!I23/100/3.6*1000000</f>
        <v>0</v>
      </c>
      <c r="F13" s="33">
        <f>C35*'E Balans VL '!L23/100/3.6*1000000+C35*'E Balans VL '!N23/100/3.6*1000000</f>
        <v>5.403492020819493E-3</v>
      </c>
      <c r="G13" s="34"/>
      <c r="H13" s="33"/>
      <c r="I13" s="33"/>
      <c r="J13" s="40">
        <f>C35*'E Balans VL '!D23/100/3.6*1000000+C35*'E Balans VL '!E23/100/3.6*1000000</f>
        <v>7.9792427357264564E-3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2.4438230000000001</v>
      </c>
      <c r="C15" s="33"/>
      <c r="D15" s="37">
        <f>IF( ISERROR(IND_rest_gas_kWh/1000),0,IND_rest_gas_kWh/1000)*0.903</f>
        <v>46.895854782000001</v>
      </c>
      <c r="E15" s="33">
        <f>C37*'E Balans VL '!I15/100/3.6*1000000</f>
        <v>0.14387394170637102</v>
      </c>
      <c r="F15" s="33">
        <f>C37*'E Balans VL '!L15/100/3.6*1000000+C37*'E Balans VL '!N15/100/3.6*1000000</f>
        <v>0.37281382567190524</v>
      </c>
      <c r="G15" s="34"/>
      <c r="H15" s="33"/>
      <c r="I15" s="33"/>
      <c r="J15" s="40">
        <f>C37*'E Balans VL '!D15/100/3.6*1000000+C37*'E Balans VL '!E15/100/3.6*1000000</f>
        <v>1.3268780497140049E-2</v>
      </c>
      <c r="K15" s="33"/>
      <c r="L15" s="33"/>
      <c r="M15" s="33"/>
      <c r="N15" s="33">
        <f>C37*'E Balans VL '!Y15/100/3.6*1000000</f>
        <v>7.7209615634234618E-2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1635.1966560000003</v>
      </c>
      <c r="C18" s="21">
        <f>C5+C16</f>
        <v>0</v>
      </c>
      <c r="D18" s="21">
        <f>MAX((D5+D16),0)</f>
        <v>1618.4051768850002</v>
      </c>
      <c r="E18" s="21">
        <f>MAX((E5+E16),0)</f>
        <v>5.6342065398945147</v>
      </c>
      <c r="F18" s="21">
        <f>MAX((F5+F16),0)</f>
        <v>630.22134793616203</v>
      </c>
      <c r="G18" s="21"/>
      <c r="H18" s="21"/>
      <c r="I18" s="21"/>
      <c r="J18" s="21">
        <f>MAX((J5+J16),0)</f>
        <v>2.3686207171206912</v>
      </c>
      <c r="K18" s="21"/>
      <c r="L18" s="21">
        <f>MAX((L5+L16),0)</f>
        <v>0</v>
      </c>
      <c r="M18" s="21"/>
      <c r="N18" s="21">
        <f>MAX((N5+N16),0)</f>
        <v>95.822205229043462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0.17506470834871107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286.2652256754277</v>
      </c>
      <c r="C22" s="23">
        <f ca="1">C18*C20</f>
        <v>0</v>
      </c>
      <c r="D22" s="23">
        <f>D18*D20</f>
        <v>326.91784573077007</v>
      </c>
      <c r="E22" s="23">
        <f>E18*E20</f>
        <v>1.2789648845560548</v>
      </c>
      <c r="F22" s="23">
        <f>F18*F20</f>
        <v>168.26909989895526</v>
      </c>
      <c r="G22" s="23"/>
      <c r="H22" s="23"/>
      <c r="I22" s="23"/>
      <c r="J22" s="23">
        <f>J18*J20</f>
        <v>0.83849173386072462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51.216730000000005</v>
      </c>
      <c r="C30" s="39">
        <f>IF(ISERROR(B30*3.6/1000000/'E Balans VL '!Z18*100),0,B30*3.6/1000000/'E Balans VL '!Z18*100)</f>
        <v>3.0841310422438403E-3</v>
      </c>
      <c r="D30" s="233" t="s">
        <v>835</v>
      </c>
    </row>
    <row r="31" spans="1:18" ht="30">
      <c r="A31" s="6" t="s">
        <v>32</v>
      </c>
      <c r="B31" s="37">
        <f>IF( ISERROR(IND_ander_ele_kWh/1000),0,IND_ander_ele_kWh/1000)</f>
        <v>937.51600100000007</v>
      </c>
      <c r="C31" s="39">
        <f>IF(ISERROR(B31*3.6/1000000/'E Balans VL '!Z19*100),0,B31*3.6/1000000/'E Balans VL '!Z19*100)</f>
        <v>3.819634276222119E-2</v>
      </c>
      <c r="D31" s="233" t="s">
        <v>835</v>
      </c>
    </row>
    <row r="32" spans="1:18" ht="30">
      <c r="A32" s="168" t="s">
        <v>40</v>
      </c>
      <c r="B32" s="37">
        <f>IF( ISERROR(IND_voed_ele_kWh/1000),0,IND_voed_ele_kWh/1000)</f>
        <v>539.26005199999997</v>
      </c>
      <c r="C32" s="39">
        <f>IF(ISERROR(B32*3.6/1000000/'E Balans VL '!Z20*100),0,B32*3.6/1000000/'E Balans VL '!Z20*100)</f>
        <v>1.5592178247928473E-2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64.421379999999999</v>
      </c>
      <c r="C34" s="39">
        <f>IF(ISERROR(B34*3.6/1000000/'E Balans VL '!Z22*100),0,B34*3.6/1000000/'E Balans VL '!Z22*100)</f>
        <v>2.750733064051929E-2</v>
      </c>
      <c r="D34" s="233" t="s">
        <v>835</v>
      </c>
    </row>
    <row r="35" spans="1:5" ht="30">
      <c r="A35" s="168" t="s">
        <v>38</v>
      </c>
      <c r="B35" s="37">
        <f>IF( ISERROR(IND_papier_ele_kWh/1000),0,IND_papier_ele_kWh/1000)</f>
        <v>40.33867</v>
      </c>
      <c r="C35" s="39">
        <f>IF(ISERROR(B35*3.6/1000000/'E Balans VL '!Z22*100),0,B35*3.6/1000000/'E Balans VL '!Z22*100)</f>
        <v>1.7224237253048544E-2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2.4438230000000001</v>
      </c>
      <c r="C37" s="39">
        <f>IF(ISERROR(B37*3.6/1000000/'E Balans VL '!Z15*100),0,B37*3.6/1000000/'E Balans VL '!Z15*100)</f>
        <v>2.0065637834256442E-5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1491.856507</v>
      </c>
      <c r="C5" s="17">
        <f>'Eigen informatie GS &amp; warmtenet'!B62</f>
        <v>0</v>
      </c>
      <c r="D5" s="30">
        <f>IF(ISERROR(SUM(LB_lb_gas_kWh,LB_rest_gas_kWh)/1000),0,SUM(LB_lb_gas_kWh,LB_rest_gas_kWh)/1000)*0.903</f>
        <v>217.60551430800001</v>
      </c>
      <c r="E5" s="17">
        <f>B17*'E Balans VL '!I25/3.6*1000000/100</f>
        <v>42.729295043907513</v>
      </c>
      <c r="F5" s="17">
        <f>B17*('E Balans VL '!L25/3.6*1000000+'E Balans VL '!N25/3.6*1000000)/100</f>
        <v>4722.4470635643665</v>
      </c>
      <c r="G5" s="18"/>
      <c r="H5" s="17"/>
      <c r="I5" s="17"/>
      <c r="J5" s="17">
        <f>('E Balans VL '!D25+'E Balans VL '!E25)/3.6*1000000*landbouw!B17/100</f>
        <v>379.33226186726409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1491.856507</v>
      </c>
      <c r="C8" s="21">
        <f>C5+C6</f>
        <v>0</v>
      </c>
      <c r="D8" s="21">
        <f>MAX((D5+D6),0)</f>
        <v>217.60551430800001</v>
      </c>
      <c r="E8" s="21">
        <f>MAX((E5+E6),0)</f>
        <v>42.729295043907513</v>
      </c>
      <c r="F8" s="21">
        <f>MAX((F5+F6),0)</f>
        <v>4722.4470635643665</v>
      </c>
      <c r="G8" s="21"/>
      <c r="H8" s="21"/>
      <c r="I8" s="21"/>
      <c r="J8" s="21">
        <f>MAX((J5+J6),0)</f>
        <v>379.33226186726409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0.17506470834871107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261.17142429608185</v>
      </c>
      <c r="C12" s="23">
        <f ca="1">C8*C10</f>
        <v>0</v>
      </c>
      <c r="D12" s="23">
        <f>D8*D10</f>
        <v>43.956313890216002</v>
      </c>
      <c r="E12" s="23">
        <f>E8*E10</f>
        <v>9.699549974967006</v>
      </c>
      <c r="F12" s="23">
        <f>F8*F10</f>
        <v>1260.8933659716859</v>
      </c>
      <c r="G12" s="23"/>
      <c r="H12" s="23"/>
      <c r="I12" s="23"/>
      <c r="J12" s="23">
        <f>J8*J10</f>
        <v>134.28362070101147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0.20658828270907595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287.35001923006052</v>
      </c>
      <c r="C26" s="243">
        <f>B26*'GWP N2O_CH4'!B5</f>
        <v>6034.3504038312713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116.97737836908408</v>
      </c>
      <c r="C27" s="243">
        <f>B27*'GWP N2O_CH4'!B5</f>
        <v>2456.5249457507657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4.068376192300212</v>
      </c>
      <c r="C28" s="243">
        <f>B28*'GWP N2O_CH4'!B4</f>
        <v>1261.1966196130656</v>
      </c>
      <c r="D28" s="50"/>
    </row>
    <row r="29" spans="1:4">
      <c r="A29" s="41" t="s">
        <v>266</v>
      </c>
      <c r="B29" s="243">
        <f>B34*'ha_N2O bodem landbouw'!B4</f>
        <v>16.117213748055466</v>
      </c>
      <c r="C29" s="243">
        <f>B29*'GWP N2O_CH4'!B4</f>
        <v>4996.3362618971942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3.6615425093081289E-3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1.2284239018148754E-3</v>
      </c>
      <c r="C5" s="432" t="s">
        <v>204</v>
      </c>
      <c r="D5" s="417">
        <f>SUM(D6:D11)</f>
        <v>1.8848904325252714E-3</v>
      </c>
      <c r="E5" s="417">
        <f>SUM(E6:E11)</f>
        <v>8.484961369862121E-4</v>
      </c>
      <c r="F5" s="430" t="s">
        <v>204</v>
      </c>
      <c r="G5" s="417">
        <f>SUM(G6:G11)</f>
        <v>0.41264150252832832</v>
      </c>
      <c r="H5" s="417">
        <f>SUM(H6:H11)</f>
        <v>9.528777334433966E-2</v>
      </c>
      <c r="I5" s="432" t="s">
        <v>204</v>
      </c>
      <c r="J5" s="432" t="s">
        <v>204</v>
      </c>
      <c r="K5" s="432" t="s">
        <v>204</v>
      </c>
      <c r="L5" s="432" t="s">
        <v>204</v>
      </c>
      <c r="M5" s="417">
        <f>SUM(M6:M11)</f>
        <v>3.0448209404725729E-2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2.8286014403276186E-4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4.7160883386174212E-4</v>
      </c>
      <c r="E6" s="884">
        <f>vkm_GW_PW*SUMIFS(TableVerdeelsleutelVkm[LPG],TableVerdeelsleutelVkm[Voertuigtype],"Lichte voertuigen")*SUMIFS(TableECFTransport[EnergieConsumptieFactor (PJ per km)],TableECFTransport[Index],CONCATENATE($A6,"_LPG_LPG"))</f>
        <v>1.8697372126664458E-4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5.6190300102818218E-2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2.3128522644121078E-2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4.8659758572748377E-3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7.0287928688158131E-7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2.7862577964343892E-2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2.0558549565778566E-7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1.5998221070756104E-3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9.1691621616248222E-5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2.0937352866341906E-4</v>
      </c>
      <c r="E8" s="420">
        <f>vkm_NGW_PW*SUMIFS(TableVerdeelsleutelVkm[LPG],TableVerdeelsleutelVkm[Voertuigtype],"Lichte voertuigen")*SUMIFS(TableECFTransport[EnergieConsumptieFactor (PJ per km)],TableECFTransport[Index],CONCATENATE($A8,"_LPG_LPG"))</f>
        <v>7.9479269404150155E-5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2.1879059760784768E-2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1.017216932800182E-2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1.9773840364610924E-3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1.1653845541733446E-7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5.9490337016049697E-3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4.1143139665706567E-8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3.4158325936608651E-4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8.4924441079846944E-4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1.2039080700001104E-3</v>
      </c>
      <c r="E10" s="420">
        <f>vkm_SW_PW*SUMIFS(TableVerdeelsleutelVkm[LPG],TableVerdeelsleutelVkm[Voertuigtype],"Lichte voertuigen")*SUMIFS(TableECFTransport[EnergieConsumptieFactor (PJ per km)],TableECFTransport[Index],CONCATENATE($A10,"_LPG_LPG"))</f>
        <v>5.8204314631541733E-4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0.15869231036907844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6.1985688143241902E-2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1.3506120209119232E-2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3.8083076250968714E-6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0.14206822062969804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1.1465003395249156E-6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8.1573239354288691E-3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341.22886161524315</v>
      </c>
      <c r="C14" s="21"/>
      <c r="D14" s="21">
        <f t="shared" ref="D14:M14" si="0">((D5)*10^9/3600)+D12</f>
        <v>523.5806757014642</v>
      </c>
      <c r="E14" s="21">
        <f t="shared" si="0"/>
        <v>235.69337138505892</v>
      </c>
      <c r="F14" s="21"/>
      <c r="G14" s="21">
        <f t="shared" si="0"/>
        <v>114622.6395912023</v>
      </c>
      <c r="H14" s="21">
        <f t="shared" si="0"/>
        <v>26468.825928983239</v>
      </c>
      <c r="I14" s="21"/>
      <c r="J14" s="21"/>
      <c r="K14" s="21"/>
      <c r="L14" s="21"/>
      <c r="M14" s="21">
        <f t="shared" si="0"/>
        <v>8457.8359457571478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0.17506470834871107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59.737131138835231</v>
      </c>
      <c r="C18" s="23"/>
      <c r="D18" s="23">
        <f t="shared" ref="D18:M18" si="1">D14*D16</f>
        <v>105.76329649169577</v>
      </c>
      <c r="E18" s="23">
        <f t="shared" si="1"/>
        <v>53.502395304408374</v>
      </c>
      <c r="F18" s="23"/>
      <c r="G18" s="23">
        <f t="shared" si="1"/>
        <v>30604.244770851015</v>
      </c>
      <c r="H18" s="23">
        <f t="shared" si="1"/>
        <v>6590.7376563168264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5.1730820496934272E-5</v>
      </c>
      <c r="C50" s="315">
        <f t="shared" ref="C50:P50" si="2">SUM(C51:C52)</f>
        <v>0</v>
      </c>
      <c r="D50" s="315">
        <f t="shared" si="2"/>
        <v>0</v>
      </c>
      <c r="E50" s="315">
        <f t="shared" si="2"/>
        <v>0</v>
      </c>
      <c r="F50" s="315">
        <f t="shared" si="2"/>
        <v>0</v>
      </c>
      <c r="G50" s="315">
        <f t="shared" si="2"/>
        <v>3.2385057563316545E-3</v>
      </c>
      <c r="H50" s="315">
        <f t="shared" si="2"/>
        <v>0</v>
      </c>
      <c r="I50" s="315">
        <f t="shared" si="2"/>
        <v>0</v>
      </c>
      <c r="J50" s="315">
        <f t="shared" si="2"/>
        <v>0</v>
      </c>
      <c r="K50" s="315">
        <f t="shared" si="2"/>
        <v>0</v>
      </c>
      <c r="L50" s="315">
        <f t="shared" si="2"/>
        <v>0</v>
      </c>
      <c r="M50" s="315">
        <f t="shared" si="2"/>
        <v>1.8594782972275442E-4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5.1730820496934272E-5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3.2385057563316545E-3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1.8594782972275442E-4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14.36967236025952</v>
      </c>
      <c r="C54" s="21">
        <f t="shared" ref="C54:P54" si="3">(C50)*10^9/3600</f>
        <v>0</v>
      </c>
      <c r="D54" s="21">
        <f t="shared" si="3"/>
        <v>0</v>
      </c>
      <c r="E54" s="21">
        <f t="shared" si="3"/>
        <v>0</v>
      </c>
      <c r="F54" s="21">
        <f t="shared" si="3"/>
        <v>0</v>
      </c>
      <c r="G54" s="21">
        <f t="shared" si="3"/>
        <v>899.58493231434841</v>
      </c>
      <c r="H54" s="21">
        <f t="shared" si="3"/>
        <v>0</v>
      </c>
      <c r="I54" s="21">
        <f t="shared" si="3"/>
        <v>0</v>
      </c>
      <c r="J54" s="21">
        <f t="shared" si="3"/>
        <v>0</v>
      </c>
      <c r="K54" s="21">
        <f t="shared" si="3"/>
        <v>0</v>
      </c>
      <c r="L54" s="21">
        <f t="shared" si="3"/>
        <v>0</v>
      </c>
      <c r="M54" s="21">
        <f t="shared" si="3"/>
        <v>51.652174922987342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0.17506470834871107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2.5156225008153674</v>
      </c>
      <c r="C58" s="23">
        <f t="shared" ref="C58:P58" ca="1" si="4">C54*C56</f>
        <v>0</v>
      </c>
      <c r="D58" s="23">
        <f t="shared" si="4"/>
        <v>0</v>
      </c>
      <c r="E58" s="23">
        <f t="shared" si="4"/>
        <v>0</v>
      </c>
      <c r="F58" s="23">
        <f t="shared" si="4"/>
        <v>0</v>
      </c>
      <c r="G58" s="23">
        <f t="shared" si="4"/>
        <v>240.18917692793104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5874.0025188222407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34</v>
      </c>
      <c r="C8" s="543">
        <f>B48</f>
        <v>37.777777777777771</v>
      </c>
      <c r="D8" s="544"/>
      <c r="E8" s="544">
        <f>E48</f>
        <v>0</v>
      </c>
      <c r="F8" s="545"/>
      <c r="G8" s="546"/>
      <c r="H8" s="544">
        <f>I48</f>
        <v>0</v>
      </c>
      <c r="I8" s="544">
        <f>G48+F48</f>
        <v>0</v>
      </c>
      <c r="J8" s="544">
        <f>H48+D48+C48</f>
        <v>0</v>
      </c>
      <c r="K8" s="544"/>
      <c r="L8" s="544"/>
      <c r="M8" s="544"/>
      <c r="N8" s="547"/>
      <c r="O8" s="548">
        <f>C8*$C$12+D8*$D$12+E8*$E$12+F8*$F$12+G8*$G$12+H8*$H$12+I8*$I$12+J8*$J$12</f>
        <v>7.6311111111111103</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5908.0025188222407</v>
      </c>
      <c r="C10" s="558">
        <f t="shared" ref="C10:L10" si="0">SUM(C8:C9)</f>
        <v>37.777777777777771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7.6311111111111103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48.702702702702702</v>
      </c>
      <c r="C17" s="574">
        <f>B49</f>
        <v>54.114114114114102</v>
      </c>
      <c r="D17" s="575"/>
      <c r="E17" s="575">
        <f>E49</f>
        <v>0</v>
      </c>
      <c r="F17" s="576"/>
      <c r="G17" s="577"/>
      <c r="H17" s="574">
        <f>I49</f>
        <v>0</v>
      </c>
      <c r="I17" s="575">
        <f>G49+F49</f>
        <v>0</v>
      </c>
      <c r="J17" s="575">
        <f>H49+D49+C49</f>
        <v>0</v>
      </c>
      <c r="K17" s="575"/>
      <c r="L17" s="575"/>
      <c r="M17" s="575"/>
      <c r="N17" s="960"/>
      <c r="O17" s="578">
        <f>C17*$C$22+E17*$E$22+H17*$H$22+I17*$I$22+J17*$J$22+D17*$D$22+F17*$F$22+G17*$G$22+K17*$K$22+L17*$L$22</f>
        <v>10.93105105105105</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48.702702702702702</v>
      </c>
      <c r="C20" s="557">
        <f>SUM(C17:C19)</f>
        <v>54.114114114114102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10.93105105105105</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35014</v>
      </c>
      <c r="C28" s="785">
        <v>8460</v>
      </c>
      <c r="D28" s="635"/>
      <c r="E28" s="634"/>
      <c r="F28" s="634"/>
      <c r="G28" s="634" t="s">
        <v>868</v>
      </c>
      <c r="H28" s="634" t="s">
        <v>869</v>
      </c>
      <c r="I28" s="634"/>
      <c r="J28" s="784"/>
      <c r="K28" s="784"/>
      <c r="L28" s="634" t="s">
        <v>870</v>
      </c>
      <c r="M28" s="634">
        <v>6.8</v>
      </c>
      <c r="N28" s="634">
        <v>34</v>
      </c>
      <c r="O28" s="634">
        <v>48.702702702702702</v>
      </c>
      <c r="P28" s="634">
        <v>91.891891891891888</v>
      </c>
      <c r="Q28" s="634">
        <v>0</v>
      </c>
      <c r="R28" s="634">
        <v>0</v>
      </c>
      <c r="S28" s="634">
        <v>0</v>
      </c>
      <c r="T28" s="634">
        <v>0</v>
      </c>
      <c r="U28" s="634">
        <v>0</v>
      </c>
      <c r="V28" s="634">
        <v>0</v>
      </c>
      <c r="W28" s="634">
        <v>0</v>
      </c>
      <c r="X28" s="634">
        <v>1100</v>
      </c>
      <c r="Y28" s="634" t="s">
        <v>154</v>
      </c>
      <c r="Z28" s="636" t="s">
        <v>149</v>
      </c>
    </row>
    <row r="29" spans="1:26" s="568" customFormat="1" hidden="1">
      <c r="A29" s="590" t="s">
        <v>269</v>
      </c>
      <c r="B29" s="591"/>
      <c r="C29" s="591"/>
      <c r="D29" s="591"/>
      <c r="E29" s="591"/>
      <c r="F29" s="591"/>
      <c r="G29" s="591"/>
      <c r="H29" s="591"/>
      <c r="I29" s="591"/>
      <c r="J29" s="591"/>
      <c r="K29" s="591"/>
      <c r="L29" s="592"/>
      <c r="M29" s="592">
        <f>SUM(M28:M28)</f>
        <v>6.8</v>
      </c>
      <c r="N29" s="592">
        <f>SUM(N28:N28)</f>
        <v>34</v>
      </c>
      <c r="O29" s="592">
        <f>SUM(O28:O28)</f>
        <v>48.702702702702702</v>
      </c>
      <c r="P29" s="592">
        <f>SUM(P28:P28)</f>
        <v>91.891891891891888</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6.8</v>
      </c>
      <c r="N31" s="592">
        <f ca="1">SUMIF($Z$28:AD28,"tertiair",N28:N28)</f>
        <v>34</v>
      </c>
      <c r="O31" s="592">
        <f ca="1">SUMIF($Z$28:AE28,"tertiair",O28:O28)</f>
        <v>48.702702702702702</v>
      </c>
      <c r="P31" s="592">
        <f ca="1">SUMIF($Z$28:AF28,"tertiair",P28:P28)</f>
        <v>91.891891891891888</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37.777777777777771</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54.114114114114102</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2021-11-11T12:17:43Z</dcterms:modified>
</cp:coreProperties>
</file>