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C5CBFDAB-DABC-427E-8FE6-4A3D21C369D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<sst xmlns="http://schemas.openxmlformats.org/spreadsheetml/2006/main" count="2422" uniqueCount="871">
  <si>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</si>
  <si>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</si>
  <si>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</si>
  <si>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</si>
  <si>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</si>
  <si>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</si>
  <si>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</si>
  <si>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</si>
  <si>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</si>
  <si>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</si>
  <si>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</si>
  <si>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</si>
  <si>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</si>
  <si>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</si>
  <si>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</si>
  <si>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</si>
  <si>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</si>
  <si>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</si>
  <si>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</si>
  <si>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</si>
  <si>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</si>
  <si>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</si>
  <si>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</si>
  <si>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</si>
  <si>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</si>
  <si>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</si>
  <si>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</si>
  <si>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</si>
  <si>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</si>
  <si>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</si>
  <si>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</si>
  <si>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</si>
  <si>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</si>
  <si>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</si>
  <si>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</si>
  <si>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</si>
  <si>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</si>
  <si>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</si>
  <si>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</si>
  <si>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</si>
  <si>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</si>
  <si>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</si>
  <si>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</si>
  <si>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</si>
  <si>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</si>
  <si>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</si>
  <si>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</si>
  <si>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</si>
  <si>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</si>
  <si>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</si>
  <si>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</si>
  <si>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</si>
  <si>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</si>
  <si>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</si>
  <si>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</si>
  <si>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</si>
  <si>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</si>
  <si>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</si>
  <si>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</si>
  <si>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</si>
  <si>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</si>
  <si>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</si>
  <si>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</si>
  <si>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</si>
  <si>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</si>
  <si>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</si>
  <si>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</si>
  <si>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</si>
  <si>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</si>
  <si>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</si>
  <si>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</si>
  <si>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</si>
  <si>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</si>
  <si>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</si>
  <si>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</si>
  <si>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</si>
  <si>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</si>
  <si>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</si>
  <si>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</si>
  <si>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</si>
  <si>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</si>
  <si>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</si>
  <si>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</si>
  <si>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</si>
  <si>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</si>
  <si>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</si>
  <si>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</si>
  <si>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</si>
  <si>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</si>
  <si>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</si>
  <si>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</si>
  <si>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</si>
  <si>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</si>
  <si>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</si>
  <si>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</si>
  <si>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</si>
  <si>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</si>
  <si>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</si>
  <si>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</si>
  <si>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</si>
  <si>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</si>
  <si>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</si>
  <si>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</si>
  <si>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</si>
  <si>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</si>
  <si>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</si>
  <si>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</si>
  <si>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</si>
  <si>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</si>
  <si>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</si>
  <si>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</si>
  <si>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</si>
  <si>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</si>
  <si>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</si>
  <si>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</si>
  <si>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</si>
  <si>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</si>
  <si>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</si>
  <si>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</si>
  <si>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</si>
  <si>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</si>
  <si>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</si>
  <si>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</si>
  <si>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</si>
  <si>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</si>
  <si>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</si>
  <si>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</si>
  <si>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</si>
  <si>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</si>
  <si>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</si>
  <si>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</si>
  <si>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</si>
  <si>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</si>
  <si>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</si>
  <si>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</si>
  <si>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</si>
  <si>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</si>
  <si>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</si>
  <si>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</si>
  <si>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</si>
  <si>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</si>
  <si>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</si>
  <si>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</si>
  <si>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</si>
  <si>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</si>
  <si>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</si>
  <si>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</si>
  <si>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</si>
  <si>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</si>
  <si>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</si>
  <si>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</si>
  <si>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</si>
  <si>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</si>
  <si>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</si>
  <si>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</si>
  <si>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</si>
  <si>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</si>
  <si>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</si>
  <si>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</si>
  <si>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</si>
  <si>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</si>
  <si>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</si>
  <si>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</si>
  <si>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</si>
  <si>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</si>
  <si>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</si>
  <si>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</si>
  <si>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</si>
  <si>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</si>
  <si>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</si>
  <si>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</si>
  <si>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</si>
  <si>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</si>
  <si>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</si>
  <si>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</si>
  <si>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</si>
  <si>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</si>
  <si>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</si>
  <si>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</si>
  <si>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</si>
  <si>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</si>
  <si>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</si>
  <si>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</si>
  <si>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</si>
  <si>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</si>
  <si>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</si>
  <si>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</si>
  <si>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</si>
  <si>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</si>
  <si>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</si>
  <si>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</si>
  <si>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</si>
  <si>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</si>
  <si>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</si>
  <si>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</si>
  <si>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</si>
  <si>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</si>
  <si>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</si>
  <si>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</si>
  <si>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</si>
  <si>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</si>
  <si>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</si>
  <si>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</si>
  <si>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</si>
  <si>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</si>
  <si>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</si>
  <si>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</si>
  <si>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</si>
  <si>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</si>
  <si>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</si>
  <si>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</si>
  <si>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</si>
  <si>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</si>
  <si>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</si>
  <si>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</si>
  <si>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</si>
  <si>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</si>
  <si>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</si>
  <si>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</si>
  <si>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</si>
  <si>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</si>
  <si>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</si>
  <si>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</si>
  <si>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</si>
  <si>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</si>
  <si>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</si>
  <si>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</si>
  <si>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</si>
  <si>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</si>
  <si>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</si>
  <si>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</si>
  <si>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</si>
  <si>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</si>
  <si>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</si>
  <si>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</si>
  <si>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</si>
  <si>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</si>
  <si>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</si>
  <si>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</si>
  <si>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</si>
  <si>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</si>
  <si>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</si>
  <si>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</si>
  <si>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</si>
  <si>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</si>
  <si>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</si>
  <si>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</si>
  <si>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</si>
  <si>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</si>
  <si>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</si>
  <si>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</si>
  <si>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</si>
  <si>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</si>
  <si>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</si>
  <si>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</si>
  <si>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</si>
  <si>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</si>
  <si>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</si>
  <si>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</si>
  <si>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</si>
  <si>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</si>
  <si>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</si>
  <si>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</si>
  <si>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</si>
  <si>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</si>
  <si>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</si>
  <si>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</si>
  <si>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</si>
  <si>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</si>
  <si>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</si>
  <si>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</si>
  <si>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</si>
  <si>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</si>
  <si>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</si>
  <si>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</si>
  <si>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</si>
  <si>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</si>
  <si>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</si>
  <si>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</si>
  <si>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</si>
  <si>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</si>
  <si>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</si>
  <si>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</si>
  <si>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</si>
  <si>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</si>
  <si>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</si>
  <si>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</si>
  <si>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</si>
  <si>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</si>
  <si>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</si>
  <si>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</si>
  <si>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</si>
  <si>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</si>
  <si>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</si>
  <si>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</si>
  <si>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</si>
  <si>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</si>
  <si>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</si>
  <si>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</si>
  <si>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</si>
  <si>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</si>
  <si>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</si>
  <si>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</si>
  <si>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</si>
  <si>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</si>
  <si>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</si>
  <si>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</si>
  <si>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</si>
  <si>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</si>
  <si>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</si>
  <si>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</si>
  <si>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</si>
  <si>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</si>
  <si>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</si>
  <si>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</si>
  <si>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</si>
  <si>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</si>
  <si>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</si>
  <si>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</si>
  <si>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</si>
  <si>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</si>
  <si>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</si>
  <si>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</si>
  <si>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</si>
  <si>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</si>
  <si>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</si>
  <si>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</si>
  <si>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</si>
  <si>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</si>
  <si>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</si>
  <si>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</si>
  <si>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</si>
  <si>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</si>
  <si>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</si>
  <si>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</si>
  <si>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</si>
  <si>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</si>
  <si>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</si>
  <si>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</si>
  <si>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</si>
  <si>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</si>
  <si>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</si>
  <si>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</si>
  <si>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</si>
  <si>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</si>
  <si>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</si>
  <si>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</si>
  <si>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</si>
  <si>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</si>
  <si>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</si>
  <si>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</si>
  <si>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</si>
  <si>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</si>
  <si>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</si>
  <si>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</si>
  <si>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</si>
  <si>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</si>
  <si>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</si>
  <si>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</si>
  <si>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</si>
  <si>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</si>
  <si>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</si>
  <si>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</si>
  <si>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</si>
  <si>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</si>
  <si>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</si>
  <si>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</si>
  <si>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</si>
  <si>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</si>
  <si>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</si>
  <si>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</si>
  <si>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</si>
  <si>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</si>
  <si>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</si>
  <si>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</si>
  <si>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</si>
  <si>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</si>
  <si>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</si>
  <si>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</si>
  <si>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</si>
  <si>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</si>
  <si>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</si>
  <si>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</si>
  <si>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</si>
  <si>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</si>
  <si>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</si>
  <si>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</si>
  <si>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</si>
  <si>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</si>
  <si>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</si>
  <si>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</si>
  <si>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</si>
  <si>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</si>
  <si>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</si>
  <si>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</si>
  <si>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</si>
  <si>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</si>
  <si>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</si>
  <si>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</si>
  <si>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</si>
  <si>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</si>
  <si>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</si>
  <si>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</si>
  <si>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</si>
  <si>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</si>
  <si>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</si>
  <si>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</si>
  <si>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</si>
  <si>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</si>
  <si>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</si>
  <si>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</si>
  <si>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</si>
  <si>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</si>
  <si>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</si>
  <si>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</si>
  <si>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</si>
  <si>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</si>
  <si>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</si>
  <si>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</si>
  <si>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</si>
  <si>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</si>
  <si>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</si>
  <si>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</si>
  <si>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</si>
  <si>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</si>
  <si>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</si>
  <si>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</si>
  <si>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</si>
  <si>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</si>
  <si>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</si>
  <si>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</si>
  <si>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</si>
  <si>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</si>
  <si>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</si>
  <si>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</si>
  <si>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</si>
  <si>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</si>
  <si>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</si>
  <si>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</si>
  <si>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</si>
  <si>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</si>
  <si>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</si>
  <si>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</si>
  <si>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</si>
  <si>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</si>
  <si>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</si>
  <si>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</si>
  <si>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</si>
  <si>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</si>
  <si>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</si>
  <si>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</si>
  <si>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</si>
  <si>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</si>
  <si>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</si>
  <si>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</si>
  <si>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</si>
  <si>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</si>
  <si>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</si>
  <si>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</si>
  <si>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</si>
  <si>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</si>
  <si>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</si>
  <si>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</si>
  <si>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</si>
  <si>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</si>
  <si>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</si>
  <si>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</si>
  <si>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</si>
  <si>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</si>
  <si>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</si>
  <si>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</si>
  <si>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</si>
  <si>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</si>
  <si>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</si>
  <si>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</si>
  <si>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</si>
  <si>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</si>
  <si>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</si>
  <si>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</si>
  <si>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</si>
  <si>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</si>
  <si>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</si>
  <si>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</si>
  <si>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</si>
  <si>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</si>
  <si>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</si>
  <si>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</si>
  <si>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</si>
  <si>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</si>
  <si>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</si>
  <si>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</si>
  <si>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</si>
  <si>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</si>
  <si>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</si>
  <si>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</si>
  <si>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</si>
  <si>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</si>
  <si>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</si>
  <si>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</si>
  <si>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</si>
  <si>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</si>
  <si>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</si>
  <si>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</si>
  <si>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</si>
  <si>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</si>
  <si>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</si>
  <si>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</si>
  <si>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</si>
  <si>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</si>
  <si>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</si>
  <si>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</si>
  <si>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</si>
  <si>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</si>
  <si>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</si>
  <si>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</si>
  <si>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</si>
  <si>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</si>
  <si>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</si>
  <si>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</si>
  <si>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</si>
  <si>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</si>
  <si>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</si>
  <si>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</si>
  <si>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</si>
  <si>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</si>
  <si>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</si>
  <si>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</si>
  <si>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</si>
  <si>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</si>
  <si>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</si>
  <si>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</si>
  <si>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</si>
  <si>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</si>
  <si>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</si>
  <si>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</si>
  <si>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</si>
  <si>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</si>
  <si>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</si>
  <si>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</si>
  <si>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</si>
  <si>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</si>
  <si>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</si>
  <si>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</si>
  <si>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</si>
  <si>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</si>
  <si>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</si>
  <si>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</si>
  <si>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</si>
  <si>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</si>
  <si>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</si>
  <si>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</si>
  <si>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</si>
  <si>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</si>
  <si>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</si>
  <si>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</si>
  <si>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</si>
  <si>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</si>
  <si>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</si>
  <si>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</si>
  <si>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</si>
  <si>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</si>
  <si>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</si>
  <si>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</si>
  <si>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</si>
  <si>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</si>
  <si>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</si>
  <si>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</si>
  <si>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</si>
  <si>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</si>
  <si>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</si>
  <si>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</si>
  <si>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</si>
  <si>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</si>
  <si>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</si>
  <si>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</si>
  <si>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</si>
  <si>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</si>
  <si>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</si>
  <si>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</si>
  <si>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</si>
  <si>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</si>
  <si>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</si>
  <si>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</si>
  <si>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</si>
  <si>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</si>
  <si>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</si>
  <si>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</si>
  <si>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</si>
  <si>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</si>
  <si>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</si>
  <si>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</si>
  <si>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</si>
  <si>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</si>
  <si>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</si>
  <si>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</si>
  <si>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</si>
  <si>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</si>
  <si>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</si>
  <si>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</si>
  <si>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</si>
  <si>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</si>
  <si>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</si>
  <si>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</si>
  <si>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</si>
  <si>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</si>
  <si>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</si>
  <si>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</si>
  <si>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</si>
  <si>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</si>
  <si>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</si>
  <si>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</si>
  <si>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</si>
  <si>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</si>
  <si>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</si>
  <si>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</si>
  <si>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</si>
  <si>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</si>
  <si>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</si>
  <si>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</si>
  <si>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</si>
  <si>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</si>
  <si>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</si>
  <si>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</si>
  <si>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</si>
  <si>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</si>
  <si>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</si>
  <si>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</si>
  <si>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</si>
  <si>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</si>
  <si>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</si>
  <si>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</si>
  <si>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</si>
  <si>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</si>
  <si>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</si>
  <si>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</si>
  <si>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</si>
  <si>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</si>
  <si>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</si>
  <si>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</si>
  <si>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</si>
  <si>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</si>
  <si>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</si>
  <si>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</si>
  <si>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</si>
  <si>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</si>
  <si>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</si>
  <si>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</si>
  <si>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</si>
  <si>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</si>
  <si>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</si>
  <si>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</si>
  <si>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</si>
  <si>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</si>
  <si>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</si>
  <si>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</si>
  <si>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</si>
  <si>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</si>
  <si>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</si>
  <si>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</si>
  <si>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</si>
  <si>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</si>
  <si>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</si>
  <si>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</si>
  <si>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</si>
  <si>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</si>
  <si>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</si>
  <si>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</si>
  <si>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</si>
  <si>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</si>
  <si>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</si>
  <si>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</si>
  <si>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</si>
  <si>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</si>
  <si>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</si>
  <si>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</si>
  <si>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</si>
  <si>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</si>
  <si>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</si>
  <si>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</si>
  <si>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</si>
  <si>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</si>
  <si>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</si>
  <si>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</si>
  <si>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</si>
  <si>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</si>
  <si>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</si>
  <si>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</si>
  <si>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</si>
  <si>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</si>
  <si>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</si>
  <si>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</si>
  <si>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</si>
  <si>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</si>
  <si>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</si>
  <si>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</si>
  <si>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</si>
  <si>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</si>
  <si>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</si>
  <si>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</si>
  <si>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</si>
  <si>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</si>
  <si>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</si>
  <si>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</si>
  <si>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</si>
  <si>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</si>
  <si>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</si>
  <si>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</si>
  <si>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</si>
  <si>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</si>
  <si>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</si>
  <si>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</si>
  <si>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</si>
  <si>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</si>
  <si>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</si>
  <si>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</si>
  <si>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</si>
  <si>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</si>
  <si>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</si>
  <si>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</si>
  <si>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</si>
  <si>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</si>
  <si>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</si>
  <si>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</si>
  <si>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</si>
  <si>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</si>
  <si>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</si>
  <si>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</si>
  <si>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</si>
  <si>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</si>
  <si>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</si>
  <si>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</si>
  <si>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</si>
  <si>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</si>
  <si>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</si>
  <si>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</si>
  <si>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</si>
  <si>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</si>
  <si>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</si>
  <si>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</si>
  <si>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</si>
  <si>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</si>
  <si>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</si>
  <si>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</si>
  <si>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</si>
  <si>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</si>
  <si>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</si>
  <si>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</si>
  <si>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</si>
  <si>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</si>
  <si>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</si>
  <si>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</si>
  <si>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</si>
  <si>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</si>
  <si>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</si>
  <si>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</si>
  <si>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</si>
  <si>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</si>
  <si>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</si>
  <si>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</si>
  <si>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</si>
  <si>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</si>
  <si>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</si>
  <si>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</si>
  <si>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</si>
  <si>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</si>
  <si>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</si>
  <si>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</si>
  <si>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</si>
  <si>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</si>
  <si>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</si>
  <si>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</si>
  <si>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</si>
  <si>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</si>
  <si>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</si>
  <si>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</si>
  <si>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</si>
  <si>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</si>
  <si>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</si>
  <si>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</si>
  <si>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</si>
  <si>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</si>
  <si>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</si>
  <si>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</si>
  <si>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</si>
  <si>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</si>
  <si>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</si>
  <si>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</si>
  <si>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</si>
  <si>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</si>
  <si>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</si>
  <si>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</si>
  <si>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</si>
  <si>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</si>
  <si>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</si>
  <si>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</si>
  <si>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</si>
  <si>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</si>
  <si>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</si>
  <si>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</si>
  <si>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</si>
  <si>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</si>
  <si>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</si>
  <si>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</si>
  <si>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</si>
  <si>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</si>
  <si>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</si>
  <si>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</si>
  <si>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</si>
  <si>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</si>
  <si>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</si>
  <si>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</si>
  <si>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</si>
  <si>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</si>
  <si>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</si>
  <si>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</si>
  <si>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</si>
  <si>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</si>
  <si>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</si>
  <si>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</si>
  <si>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</si>
  <si>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</si>
  <si>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</si>
  <si>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</si>
  <si>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</si>
  <si>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</si>
  <si>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</si>
  <si>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</si>
  <si>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</si>
  <si>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</si>
  <si>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</si>
  <si>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</si>
  <si>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</si>
  <si>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</si>
  <si>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</si>
  <si>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</si>
  <si>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</si>
  <si>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</si>
  <si>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</si>
  <si>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</si>
  <si>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</si>
  <si>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</si>
  <si>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</si>
  <si>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</si>
  <si>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</si>
  <si>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</si>
  <si>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</si>
  <si>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</si>
  <si>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</si>
  <si>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</si>
  <si>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</si>
  <si>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</si>
  <si>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</si>
  <si>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</si>
  <si>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</si>
  <si>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</si>
  <si>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</si>
  <si>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</si>
  <si>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</si>
  <si>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</si>
  <si>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</si>
  <si>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</si>
  <si>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</si>
  <si>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</si>
  <si>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</si>
  <si>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32010</t>
  </si>
  <si>
    <t>KOEKELARE</t>
  </si>
  <si>
    <t>referentietaak LNE (2017); Jaarverslag De Lijn</t>
  </si>
  <si>
    <t>waterkracht</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</si>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</sst>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AD7254D-C47B-4300-BF24-E40446AD5DC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72486.895719945285</c:v>
                </c:pt>
                <c:pt idx="1">
                  <c:v>23608.659975522634</c:v>
                </c:pt>
                <c:pt idx="2">
                  <c:v>483.84373999999997</c:v>
                </c:pt>
                <c:pt idx="3">
                  <c:v>14113.856125424087</c:v>
                </c:pt>
                <c:pt idx="4">
                  <c:v>3850.4523063338643</c:v>
                </c:pt>
                <c:pt idx="5">
                  <c:v>29425.559187182647</c:v>
                </c:pt>
                <c:pt idx="6">
                  <c:v>210.08572999322283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72486.895719945285</c:v>
                </c:pt>
                <c:pt idx="1">
                  <c:v>23608.659975522634</c:v>
                </c:pt>
                <c:pt idx="2">
                  <c:v>483.84373999999997</c:v>
                </c:pt>
                <c:pt idx="3">
                  <c:v>14113.856125424087</c:v>
                </c:pt>
                <c:pt idx="4">
                  <c:v>3850.4523063338643</c:v>
                </c:pt>
                <c:pt idx="5">
                  <c:v>29425.559187182647</c:v>
                </c:pt>
                <c:pt idx="6">
                  <c:v>210.08572999322283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14815.446629153275</c:v>
                </c:pt>
                <c:pt idx="1">
                  <c:v>4666.1194104198803</c:v>
                </c:pt>
                <c:pt idx="2">
                  <c:v>92.767290763283214</c:v>
                </c:pt>
                <c:pt idx="3">
                  <c:v>3573.9286497909638</c:v>
                </c:pt>
                <c:pt idx="4">
                  <c:v>772.08886083369123</c:v>
                </c:pt>
                <c:pt idx="5">
                  <c:v>7263.3231492589648</c:v>
                </c:pt>
                <c:pt idx="6">
                  <c:v>52.857048893735886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14815.446629153275</c:v>
                </c:pt>
                <c:pt idx="1">
                  <c:v>4666.1194104198803</c:v>
                </c:pt>
                <c:pt idx="2">
                  <c:v>92.767290763283214</c:v>
                </c:pt>
                <c:pt idx="3">
                  <c:v>3573.9286497909638</c:v>
                </c:pt>
                <c:pt idx="4">
                  <c:v>772.08886083369123</c:v>
                </c:pt>
                <c:pt idx="5">
                  <c:v>7263.3231492589648</c:v>
                </c:pt>
                <c:pt idx="6">
                  <c:v>52.857048893735886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32010</v>
      </c>
      <c r="B6" s="384"/>
      <c r="C6" s="385"/>
    </row>
    <row r="7" spans="1:7" s="382" customFormat="1" ht="15.75" customHeight="1">
      <c r="A7" s="386" t="str">
        <f>txtMunicipality</f>
        <v>KOEKELARE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10736.412235</v>
      </c>
      <c r="D10" s="681">
        <f ca="1">tertiair!C16</f>
        <v>0</v>
      </c>
      <c r="E10" s="681">
        <f ca="1">tertiair!D16</f>
        <v>10379.281300227</v>
      </c>
      <c r="F10" s="681">
        <f>tertiair!E16</f>
        <v>62.204491617415869</v>
      </c>
      <c r="G10" s="681">
        <f ca="1">tertiair!F16</f>
        <v>2208.4465865882739</v>
      </c>
      <c r="H10" s="681">
        <f>tertiair!G16</f>
        <v>0</v>
      </c>
      <c r="I10" s="681">
        <f>tertiair!H16</f>
        <v>0</v>
      </c>
      <c r="J10" s="681">
        <f>tertiair!I16</f>
        <v>0</v>
      </c>
      <c r="K10" s="681">
        <f>tertiair!J16</f>
        <v>1.5380936373239729E-2</v>
      </c>
      <c r="L10" s="681">
        <f>tertiair!K16</f>
        <v>0</v>
      </c>
      <c r="M10" s="681">
        <f ca="1">tertiair!L16</f>
        <v>0</v>
      </c>
      <c r="N10" s="681">
        <f>tertiair!M16</f>
        <v>0</v>
      </c>
      <c r="O10" s="681">
        <f ca="1">tertiair!N16</f>
        <v>591.27092300890342</v>
      </c>
      <c r="P10" s="681">
        <f>tertiair!O16</f>
        <v>9.7945215316823084</v>
      </c>
      <c r="Q10" s="682">
        <f>tertiair!P16</f>
        <v>105.07827661299004</v>
      </c>
      <c r="R10" s="684">
        <f ca="1">SUM(C10:Q10)</f>
        <v>24092.503715522638</v>
      </c>
      <c r="S10" s="67"/>
    </row>
    <row r="11" spans="1:19" s="443" customFormat="1">
      <c r="A11" s="802" t="s">
        <v>214</v>
      </c>
      <c r="B11" s="807"/>
      <c r="C11" s="681">
        <f>huishoudens!B8</f>
        <v>15581.758459751134</v>
      </c>
      <c r="D11" s="681">
        <f>huishoudens!C8</f>
        <v>0</v>
      </c>
      <c r="E11" s="681">
        <f>huishoudens!D8</f>
        <v>27818.838752103002</v>
      </c>
      <c r="F11" s="681">
        <f>huishoudens!E8</f>
        <v>1014.4263548247743</v>
      </c>
      <c r="G11" s="681">
        <f>huishoudens!F8</f>
        <v>22222.637736218687</v>
      </c>
      <c r="H11" s="681">
        <f>huishoudens!G8</f>
        <v>0</v>
      </c>
      <c r="I11" s="681">
        <f>huishoudens!H8</f>
        <v>0</v>
      </c>
      <c r="J11" s="681">
        <f>huishoudens!I8</f>
        <v>0</v>
      </c>
      <c r="K11" s="681">
        <f>huishoudens!J8</f>
        <v>126.64924303211768</v>
      </c>
      <c r="L11" s="681">
        <f>huishoudens!K8</f>
        <v>0</v>
      </c>
      <c r="M11" s="681">
        <f>huishoudens!L8</f>
        <v>0</v>
      </c>
      <c r="N11" s="681">
        <f>huishoudens!M8</f>
        <v>0</v>
      </c>
      <c r="O11" s="681">
        <f>huishoudens!N8</f>
        <v>5060.1293281901608</v>
      </c>
      <c r="P11" s="681">
        <f>huishoudens!O8</f>
        <v>325.36914797947321</v>
      </c>
      <c r="Q11" s="682">
        <f>huishoudens!P8</f>
        <v>337.08669784592075</v>
      </c>
      <c r="R11" s="684">
        <f>SUM(C11:Q11)</f>
        <v>72486.895719945285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1989.7166650000001</v>
      </c>
      <c r="D13" s="681">
        <f>industrie!C18</f>
        <v>0</v>
      </c>
      <c r="E13" s="681">
        <f>industrie!D18</f>
        <v>1343.6576139839999</v>
      </c>
      <c r="F13" s="681">
        <f>industrie!E18</f>
        <v>6.4510370688392138</v>
      </c>
      <c r="G13" s="681">
        <f>industrie!F18</f>
        <v>440.37468411705476</v>
      </c>
      <c r="H13" s="681">
        <f>industrie!G18</f>
        <v>0</v>
      </c>
      <c r="I13" s="681">
        <f>industrie!H18</f>
        <v>0</v>
      </c>
      <c r="J13" s="681">
        <f>industrie!I18</f>
        <v>0</v>
      </c>
      <c r="K13" s="681">
        <f>industrie!J18</f>
        <v>0.38843612643076408</v>
      </c>
      <c r="L13" s="681">
        <f>industrie!K18</f>
        <v>0</v>
      </c>
      <c r="M13" s="681">
        <f>industrie!L18</f>
        <v>0</v>
      </c>
      <c r="N13" s="681">
        <f>industrie!M18</f>
        <v>0</v>
      </c>
      <c r="O13" s="681">
        <f>industrie!N18</f>
        <v>69.863870037539812</v>
      </c>
      <c r="P13" s="681">
        <f>industrie!O18</f>
        <v>0</v>
      </c>
      <c r="Q13" s="682">
        <f>industrie!P18</f>
        <v>0</v>
      </c>
      <c r="R13" s="684">
        <f>SUM(C13:Q13)</f>
        <v>3850.4523063338643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28307.887359751134</v>
      </c>
      <c r="D16" s="717">
        <f t="shared" ref="D16:R16" ca="1" si="0">SUM(D9:D15)</f>
        <v>0</v>
      </c>
      <c r="E16" s="717">
        <f t="shared" ca="1" si="0"/>
        <v>39541.777666313996</v>
      </c>
      <c r="F16" s="717">
        <f t="shared" si="0"/>
        <v>1083.0818835110294</v>
      </c>
      <c r="G16" s="717">
        <f t="shared" ca="1" si="0"/>
        <v>24871.459006924015</v>
      </c>
      <c r="H16" s="717">
        <f t="shared" si="0"/>
        <v>0</v>
      </c>
      <c r="I16" s="717">
        <f t="shared" si="0"/>
        <v>0</v>
      </c>
      <c r="J16" s="717">
        <f t="shared" si="0"/>
        <v>0</v>
      </c>
      <c r="K16" s="717">
        <f t="shared" si="0"/>
        <v>127.05306009492168</v>
      </c>
      <c r="L16" s="717">
        <f t="shared" si="0"/>
        <v>0</v>
      </c>
      <c r="M16" s="717">
        <f t="shared" ca="1" si="0"/>
        <v>0</v>
      </c>
      <c r="N16" s="717">
        <f t="shared" si="0"/>
        <v>0</v>
      </c>
      <c r="O16" s="717">
        <f t="shared" ca="1" si="0"/>
        <v>5721.2641212366034</v>
      </c>
      <c r="P16" s="717">
        <f t="shared" si="0"/>
        <v>335.16366951115555</v>
      </c>
      <c r="Q16" s="717">
        <f t="shared" si="0"/>
        <v>442.16497445891082</v>
      </c>
      <c r="R16" s="717">
        <f t="shared" ca="1" si="0"/>
        <v>100429.8517418018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3.126389718210794</v>
      </c>
      <c r="D19" s="681">
        <f>transport!C54</f>
        <v>0</v>
      </c>
      <c r="E19" s="681">
        <f>transport!D54</f>
        <v>0</v>
      </c>
      <c r="F19" s="681">
        <f>transport!E54</f>
        <v>0</v>
      </c>
      <c r="G19" s="681">
        <f>transport!F54</f>
        <v>0</v>
      </c>
      <c r="H19" s="681">
        <f>transport!G54</f>
        <v>195.72144809807889</v>
      </c>
      <c r="I19" s="681">
        <f>transport!H54</f>
        <v>0</v>
      </c>
      <c r="J19" s="681">
        <f>transport!I54</f>
        <v>0</v>
      </c>
      <c r="K19" s="681">
        <f>transport!J54</f>
        <v>0</v>
      </c>
      <c r="L19" s="681">
        <f>transport!K54</f>
        <v>0</v>
      </c>
      <c r="M19" s="681">
        <f>transport!L54</f>
        <v>0</v>
      </c>
      <c r="N19" s="681">
        <f>transport!M54</f>
        <v>11.237892176933155</v>
      </c>
      <c r="O19" s="681">
        <f>transport!N54</f>
        <v>0</v>
      </c>
      <c r="P19" s="681">
        <f>transport!O54</f>
        <v>0</v>
      </c>
      <c r="Q19" s="682">
        <f>transport!P54</f>
        <v>0</v>
      </c>
      <c r="R19" s="684">
        <f>SUM(C19:Q19)</f>
        <v>210.08572999322283</v>
      </c>
      <c r="S19" s="67"/>
    </row>
    <row r="20" spans="1:19" s="443" customFormat="1">
      <c r="A20" s="802" t="s">
        <v>296</v>
      </c>
      <c r="B20" s="807"/>
      <c r="C20" s="681">
        <f>transport!B14</f>
        <v>69.355228027034656</v>
      </c>
      <c r="D20" s="681">
        <f>transport!C14</f>
        <v>0</v>
      </c>
      <c r="E20" s="681">
        <f>transport!D14</f>
        <v>147.43130248774159</v>
      </c>
      <c r="F20" s="681">
        <f>transport!E14</f>
        <v>56.454001037094613</v>
      </c>
      <c r="G20" s="681">
        <f>transport!F14</f>
        <v>0</v>
      </c>
      <c r="H20" s="681">
        <f>transport!G14</f>
        <v>20301.820914143715</v>
      </c>
      <c r="I20" s="681">
        <f>transport!H14</f>
        <v>7176.0775740493982</v>
      </c>
      <c r="J20" s="681">
        <f>transport!I14</f>
        <v>0</v>
      </c>
      <c r="K20" s="681">
        <f>transport!J14</f>
        <v>0</v>
      </c>
      <c r="L20" s="681">
        <f>transport!K14</f>
        <v>0</v>
      </c>
      <c r="M20" s="681">
        <f>transport!L14</f>
        <v>0</v>
      </c>
      <c r="N20" s="681">
        <f>transport!M14</f>
        <v>1674.4201674376627</v>
      </c>
      <c r="O20" s="681">
        <f>transport!N14</f>
        <v>0</v>
      </c>
      <c r="P20" s="681">
        <f>transport!O14</f>
        <v>0</v>
      </c>
      <c r="Q20" s="682">
        <f>transport!P14</f>
        <v>0</v>
      </c>
      <c r="R20" s="684">
        <f>SUM(C20:Q20)</f>
        <v>29425.559187182647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72.481617745245444</v>
      </c>
      <c r="D22" s="805">
        <f t="shared" ref="D22:R22" si="1">SUM(D18:D21)</f>
        <v>0</v>
      </c>
      <c r="E22" s="805">
        <f t="shared" si="1"/>
        <v>147.43130248774159</v>
      </c>
      <c r="F22" s="805">
        <f t="shared" si="1"/>
        <v>56.454001037094613</v>
      </c>
      <c r="G22" s="805">
        <f t="shared" si="1"/>
        <v>0</v>
      </c>
      <c r="H22" s="805">
        <f t="shared" si="1"/>
        <v>20497.542362241795</v>
      </c>
      <c r="I22" s="805">
        <f t="shared" si="1"/>
        <v>7176.0775740493982</v>
      </c>
      <c r="J22" s="805">
        <f t="shared" si="1"/>
        <v>0</v>
      </c>
      <c r="K22" s="805">
        <f t="shared" si="1"/>
        <v>0</v>
      </c>
      <c r="L22" s="805">
        <f t="shared" si="1"/>
        <v>0</v>
      </c>
      <c r="M22" s="805">
        <f t="shared" si="1"/>
        <v>0</v>
      </c>
      <c r="N22" s="805">
        <f t="shared" si="1"/>
        <v>1685.6580596145959</v>
      </c>
      <c r="O22" s="805">
        <f t="shared" si="1"/>
        <v>0</v>
      </c>
      <c r="P22" s="805">
        <f t="shared" si="1"/>
        <v>0</v>
      </c>
      <c r="Q22" s="805">
        <f t="shared" si="1"/>
        <v>0</v>
      </c>
      <c r="R22" s="805">
        <f t="shared" si="1"/>
        <v>29635.644917175869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3131.881018</v>
      </c>
      <c r="D24" s="681">
        <f>+landbouw!C8</f>
        <v>62.357142857142847</v>
      </c>
      <c r="E24" s="681">
        <f>+landbouw!D8</f>
        <v>119.659108065</v>
      </c>
      <c r="F24" s="681">
        <f>+landbouw!E8</f>
        <v>89.702372468544297</v>
      </c>
      <c r="G24" s="681">
        <f>+landbouw!F8</f>
        <v>9913.9174897114153</v>
      </c>
      <c r="H24" s="681">
        <f>+landbouw!G8</f>
        <v>0</v>
      </c>
      <c r="I24" s="681">
        <f>+landbouw!H8</f>
        <v>0</v>
      </c>
      <c r="J24" s="681">
        <f>+landbouw!I8</f>
        <v>0</v>
      </c>
      <c r="K24" s="681">
        <f>+landbouw!J8</f>
        <v>796.33899432198518</v>
      </c>
      <c r="L24" s="681">
        <f>+landbouw!K8</f>
        <v>0</v>
      </c>
      <c r="M24" s="681">
        <f>+landbouw!L8</f>
        <v>0</v>
      </c>
      <c r="N24" s="681">
        <f>+landbouw!M8</f>
        <v>0</v>
      </c>
      <c r="O24" s="681">
        <f>+landbouw!N8</f>
        <v>0</v>
      </c>
      <c r="P24" s="681">
        <f>+landbouw!O8</f>
        <v>0</v>
      </c>
      <c r="Q24" s="682">
        <f>+landbouw!P8</f>
        <v>0</v>
      </c>
      <c r="R24" s="684">
        <f>SUM(C24:Q24)</f>
        <v>14113.856125424087</v>
      </c>
      <c r="S24" s="67"/>
    </row>
    <row r="25" spans="1:19" s="443" customFormat="1" ht="15" thickBot="1">
      <c r="A25" s="824" t="s">
        <v>690</v>
      </c>
      <c r="B25" s="937"/>
      <c r="C25" s="938">
        <f>IF(Onbekend_ele_kWh="---",0,Onbekend_ele_kWh)/1000+IF(REST_rest_ele_kWh="---",0,REST_rest_ele_kWh)/1000</f>
        <v>289.696203186606</v>
      </c>
      <c r="D25" s="938"/>
      <c r="E25" s="938">
        <f>IF(onbekend_gas_kWh="---",0,onbekend_gas_kWh)/1000+IF(REST_rest_gas_kWh="---",0,REST_rest_gas_kWh)/1000</f>
        <v>370.17785800000001</v>
      </c>
      <c r="F25" s="938"/>
      <c r="G25" s="938"/>
      <c r="H25" s="938"/>
      <c r="I25" s="938"/>
      <c r="J25" s="938"/>
      <c r="K25" s="938"/>
      <c r="L25" s="938"/>
      <c r="M25" s="938"/>
      <c r="N25" s="938"/>
      <c r="O25" s="938"/>
      <c r="P25" s="938"/>
      <c r="Q25" s="939"/>
      <c r="R25" s="684">
        <f>SUM(C25:Q25)</f>
        <v>659.87406118660601</v>
      </c>
      <c r="S25" s="67"/>
    </row>
    <row r="26" spans="1:19" s="443" customFormat="1" ht="15.75" thickBot="1">
      <c r="A26" s="689" t="s">
        <v>691</v>
      </c>
      <c r="B26" s="810"/>
      <c r="C26" s="805">
        <f>SUM(C24:C25)</f>
        <v>3421.577221186606</v>
      </c>
      <c r="D26" s="805">
        <f t="shared" ref="D26:R26" si="2">SUM(D24:D25)</f>
        <v>62.357142857142847</v>
      </c>
      <c r="E26" s="805">
        <f t="shared" si="2"/>
        <v>489.83696606500001</v>
      </c>
      <c r="F26" s="805">
        <f t="shared" si="2"/>
        <v>89.702372468544297</v>
      </c>
      <c r="G26" s="805">
        <f t="shared" si="2"/>
        <v>9913.9174897114153</v>
      </c>
      <c r="H26" s="805">
        <f t="shared" si="2"/>
        <v>0</v>
      </c>
      <c r="I26" s="805">
        <f t="shared" si="2"/>
        <v>0</v>
      </c>
      <c r="J26" s="805">
        <f t="shared" si="2"/>
        <v>0</v>
      </c>
      <c r="K26" s="805">
        <f t="shared" si="2"/>
        <v>796.33899432198518</v>
      </c>
      <c r="L26" s="805">
        <f t="shared" si="2"/>
        <v>0</v>
      </c>
      <c r="M26" s="805">
        <f t="shared" si="2"/>
        <v>0</v>
      </c>
      <c r="N26" s="805">
        <f t="shared" si="2"/>
        <v>0</v>
      </c>
      <c r="O26" s="805">
        <f t="shared" si="2"/>
        <v>0</v>
      </c>
      <c r="P26" s="805">
        <f t="shared" si="2"/>
        <v>0</v>
      </c>
      <c r="Q26" s="805">
        <f t="shared" si="2"/>
        <v>0</v>
      </c>
      <c r="R26" s="805">
        <f t="shared" si="2"/>
        <v>14773.730186610694</v>
      </c>
      <c r="S26" s="67"/>
    </row>
    <row r="27" spans="1:19" s="443" customFormat="1" ht="17.25" thickTop="1" thickBot="1">
      <c r="A27" s="690" t="s">
        <v>109</v>
      </c>
      <c r="B27" s="797"/>
      <c r="C27" s="691">
        <f ca="1">C22+C16+C26</f>
        <v>31801.946198682985</v>
      </c>
      <c r="D27" s="691">
        <f t="shared" ref="D27:R27" ca="1" si="3">D22+D16+D26</f>
        <v>62.357142857142847</v>
      </c>
      <c r="E27" s="691">
        <f t="shared" ca="1" si="3"/>
        <v>40179.045934866735</v>
      </c>
      <c r="F27" s="691">
        <f t="shared" si="3"/>
        <v>1229.2382570166685</v>
      </c>
      <c r="G27" s="691">
        <f t="shared" ca="1" si="3"/>
        <v>34785.376496635428</v>
      </c>
      <c r="H27" s="691">
        <f t="shared" si="3"/>
        <v>20497.542362241795</v>
      </c>
      <c r="I27" s="691">
        <f t="shared" si="3"/>
        <v>7176.0775740493982</v>
      </c>
      <c r="J27" s="691">
        <f t="shared" si="3"/>
        <v>0</v>
      </c>
      <c r="K27" s="691">
        <f t="shared" si="3"/>
        <v>923.39205441690683</v>
      </c>
      <c r="L27" s="691">
        <f t="shared" si="3"/>
        <v>0</v>
      </c>
      <c r="M27" s="691">
        <f t="shared" ca="1" si="3"/>
        <v>0</v>
      </c>
      <c r="N27" s="691">
        <f t="shared" si="3"/>
        <v>1685.6580596145959</v>
      </c>
      <c r="O27" s="691">
        <f t="shared" ca="1" si="3"/>
        <v>5721.2641212366034</v>
      </c>
      <c r="P27" s="691">
        <f t="shared" si="3"/>
        <v>335.16366951115555</v>
      </c>
      <c r="Q27" s="691">
        <f t="shared" si="3"/>
        <v>442.16497445891082</v>
      </c>
      <c r="R27" s="691">
        <f t="shared" ca="1" si="3"/>
        <v>144839.22684558836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2058.4907754696101</v>
      </c>
      <c r="D40" s="681">
        <f ca="1">tertiair!C20</f>
        <v>0</v>
      </c>
      <c r="E40" s="681">
        <f ca="1">tertiair!D20</f>
        <v>2096.614822645854</v>
      </c>
      <c r="F40" s="681">
        <f>tertiair!E20</f>
        <v>14.120419597153402</v>
      </c>
      <c r="G40" s="681">
        <f ca="1">tertiair!F20</f>
        <v>589.65523861906922</v>
      </c>
      <c r="H40" s="681">
        <f>tertiair!G20</f>
        <v>0</v>
      </c>
      <c r="I40" s="681">
        <f>tertiair!H20</f>
        <v>0</v>
      </c>
      <c r="J40" s="681">
        <f>tertiair!I20</f>
        <v>0</v>
      </c>
      <c r="K40" s="681">
        <f>tertiair!J20</f>
        <v>5.4448514761268633E-3</v>
      </c>
      <c r="L40" s="681">
        <f>tertiair!K20</f>
        <v>0</v>
      </c>
      <c r="M40" s="681">
        <f ca="1">tertiair!L20</f>
        <v>0</v>
      </c>
      <c r="N40" s="681">
        <f>tertiair!M20</f>
        <v>0</v>
      </c>
      <c r="O40" s="681">
        <f ca="1">tertiair!N20</f>
        <v>0</v>
      </c>
      <c r="P40" s="681">
        <f>tertiair!O20</f>
        <v>0</v>
      </c>
      <c r="Q40" s="764">
        <f>tertiair!P20</f>
        <v>0</v>
      </c>
      <c r="R40" s="843">
        <f t="shared" ca="1" si="4"/>
        <v>4758.8867011831626</v>
      </c>
    </row>
    <row r="41" spans="1:18">
      <c r="A41" s="815" t="s">
        <v>214</v>
      </c>
      <c r="B41" s="822"/>
      <c r="C41" s="681">
        <f ca="1">huishoudens!B12</f>
        <v>2987.4883110794849</v>
      </c>
      <c r="D41" s="681">
        <f ca="1">huishoudens!C12</f>
        <v>0</v>
      </c>
      <c r="E41" s="681">
        <f>huishoudens!D12</f>
        <v>5619.4054279248066</v>
      </c>
      <c r="F41" s="681">
        <f>huishoudens!E12</f>
        <v>230.27478254522379</v>
      </c>
      <c r="G41" s="681">
        <f>huishoudens!F12</f>
        <v>5933.4442755703894</v>
      </c>
      <c r="H41" s="681">
        <f>huishoudens!G12</f>
        <v>0</v>
      </c>
      <c r="I41" s="681">
        <f>huishoudens!H12</f>
        <v>0</v>
      </c>
      <c r="J41" s="681">
        <f>huishoudens!I12</f>
        <v>0</v>
      </c>
      <c r="K41" s="681">
        <f>huishoudens!J12</f>
        <v>44.83383203336966</v>
      </c>
      <c r="L41" s="681">
        <f>huishoudens!K12</f>
        <v>0</v>
      </c>
      <c r="M41" s="681">
        <f>huishoudens!L12</f>
        <v>0</v>
      </c>
      <c r="N41" s="681">
        <f>huishoudens!M12</f>
        <v>0</v>
      </c>
      <c r="O41" s="681">
        <f>huishoudens!N12</f>
        <v>0</v>
      </c>
      <c r="P41" s="681">
        <f>huishoudens!O12</f>
        <v>0</v>
      </c>
      <c r="Q41" s="764">
        <f>huishoudens!P12</f>
        <v>0</v>
      </c>
      <c r="R41" s="843">
        <f t="shared" ca="1" si="4"/>
        <v>14815.446629153275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381.48809034628658</v>
      </c>
      <c r="D43" s="681">
        <f ca="1">industrie!C22</f>
        <v>0</v>
      </c>
      <c r="E43" s="681">
        <f>industrie!D22</f>
        <v>271.41883802476798</v>
      </c>
      <c r="F43" s="681">
        <f>industrie!E22</f>
        <v>1.4643854146265016</v>
      </c>
      <c r="G43" s="681">
        <f>industrie!F22</f>
        <v>117.58004065925363</v>
      </c>
      <c r="H43" s="681">
        <f>industrie!G22</f>
        <v>0</v>
      </c>
      <c r="I43" s="681">
        <f>industrie!H22</f>
        <v>0</v>
      </c>
      <c r="J43" s="681">
        <f>industrie!I22</f>
        <v>0</v>
      </c>
      <c r="K43" s="681">
        <f>industrie!J22</f>
        <v>0.13750638875649049</v>
      </c>
      <c r="L43" s="681">
        <f>industrie!K22</f>
        <v>0</v>
      </c>
      <c r="M43" s="681">
        <f>industrie!L22</f>
        <v>0</v>
      </c>
      <c r="N43" s="681">
        <f>industrie!M22</f>
        <v>0</v>
      </c>
      <c r="O43" s="681">
        <f>industrie!N22</f>
        <v>0</v>
      </c>
      <c r="P43" s="681">
        <f>industrie!O22</f>
        <v>0</v>
      </c>
      <c r="Q43" s="764">
        <f>industrie!P22</f>
        <v>0</v>
      </c>
      <c r="R43" s="842">
        <f t="shared" ca="1" si="4"/>
        <v>772.08886083369123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5427.4671768953813</v>
      </c>
      <c r="D46" s="717">
        <f t="shared" ref="D46:Q46" ca="1" si="5">SUM(D39:D45)</f>
        <v>0</v>
      </c>
      <c r="E46" s="717">
        <f t="shared" ca="1" si="5"/>
        <v>7987.4390885954281</v>
      </c>
      <c r="F46" s="717">
        <f t="shared" si="5"/>
        <v>245.85958755700369</v>
      </c>
      <c r="G46" s="717">
        <f t="shared" ca="1" si="5"/>
        <v>6640.6795548487116</v>
      </c>
      <c r="H46" s="717">
        <f t="shared" si="5"/>
        <v>0</v>
      </c>
      <c r="I46" s="717">
        <f t="shared" si="5"/>
        <v>0</v>
      </c>
      <c r="J46" s="717">
        <f t="shared" si="5"/>
        <v>0</v>
      </c>
      <c r="K46" s="717">
        <f t="shared" si="5"/>
        <v>44.97678327360228</v>
      </c>
      <c r="L46" s="717">
        <f t="shared" si="5"/>
        <v>0</v>
      </c>
      <c r="M46" s="717">
        <f t="shared" ca="1" si="5"/>
        <v>0</v>
      </c>
      <c r="N46" s="717">
        <f t="shared" si="5"/>
        <v>0</v>
      </c>
      <c r="O46" s="717">
        <f t="shared" ca="1" si="5"/>
        <v>0</v>
      </c>
      <c r="P46" s="717">
        <f t="shared" si="5"/>
        <v>0</v>
      </c>
      <c r="Q46" s="717">
        <f t="shared" si="5"/>
        <v>0</v>
      </c>
      <c r="R46" s="717">
        <f ca="1">SUM(R39:R45)</f>
        <v>20346.422191170128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0.59942225154881579</v>
      </c>
      <c r="D49" s="681">
        <f ca="1">transport!C58</f>
        <v>0</v>
      </c>
      <c r="E49" s="681">
        <f>transport!D58</f>
        <v>0</v>
      </c>
      <c r="F49" s="681">
        <f>transport!E58</f>
        <v>0</v>
      </c>
      <c r="G49" s="681">
        <f>transport!F58</f>
        <v>0</v>
      </c>
      <c r="H49" s="681">
        <f>transport!G58</f>
        <v>52.25762664218707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52.857048893735886</v>
      </c>
    </row>
    <row r="50" spans="1:18">
      <c r="A50" s="818" t="s">
        <v>296</v>
      </c>
      <c r="B50" s="828"/>
      <c r="C50" s="687">
        <f ca="1">transport!B18</f>
        <v>13.297467906348718</v>
      </c>
      <c r="D50" s="687">
        <f>transport!C18</f>
        <v>0</v>
      </c>
      <c r="E50" s="687">
        <f>transport!D18</f>
        <v>29.781123102523804</v>
      </c>
      <c r="F50" s="687">
        <f>transport!E18</f>
        <v>12.815058235420478</v>
      </c>
      <c r="G50" s="687">
        <f>transport!F18</f>
        <v>0</v>
      </c>
      <c r="H50" s="687">
        <f>transport!G18</f>
        <v>5420.5861840763719</v>
      </c>
      <c r="I50" s="687">
        <f>transport!H18</f>
        <v>1786.8433159383001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7263.3231492589648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13.896890157897534</v>
      </c>
      <c r="D52" s="717">
        <f t="shared" ref="D52:Q52" ca="1" si="6">SUM(D48:D51)</f>
        <v>0</v>
      </c>
      <c r="E52" s="717">
        <f t="shared" si="6"/>
        <v>29.781123102523804</v>
      </c>
      <c r="F52" s="717">
        <f t="shared" si="6"/>
        <v>12.815058235420478</v>
      </c>
      <c r="G52" s="717">
        <f t="shared" si="6"/>
        <v>0</v>
      </c>
      <c r="H52" s="717">
        <f t="shared" si="6"/>
        <v>5472.8438107185593</v>
      </c>
      <c r="I52" s="717">
        <f t="shared" si="6"/>
        <v>1786.8433159383001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7316.1801981527005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600.47509766854364</v>
      </c>
      <c r="D54" s="687">
        <f ca="1">+landbouw!C12</f>
        <v>0</v>
      </c>
      <c r="E54" s="687">
        <f>+landbouw!D12</f>
        <v>24.171139829130002</v>
      </c>
      <c r="F54" s="687">
        <f>+landbouw!E12</f>
        <v>20.362438550359556</v>
      </c>
      <c r="G54" s="687">
        <f>+landbouw!F12</f>
        <v>2647.015969752948</v>
      </c>
      <c r="H54" s="687">
        <f>+landbouw!G12</f>
        <v>0</v>
      </c>
      <c r="I54" s="687">
        <f>+landbouw!H12</f>
        <v>0</v>
      </c>
      <c r="J54" s="687">
        <f>+landbouw!I12</f>
        <v>0</v>
      </c>
      <c r="K54" s="687">
        <f>+landbouw!J12</f>
        <v>281.90400398998275</v>
      </c>
      <c r="L54" s="687">
        <f>+landbouw!K12</f>
        <v>0</v>
      </c>
      <c r="M54" s="687">
        <f>+landbouw!L12</f>
        <v>0</v>
      </c>
      <c r="N54" s="687">
        <f>+landbouw!M12</f>
        <v>0</v>
      </c>
      <c r="O54" s="687">
        <f>+landbouw!N12</f>
        <v>0</v>
      </c>
      <c r="P54" s="687">
        <f>+landbouw!O12</f>
        <v>0</v>
      </c>
      <c r="Q54" s="688">
        <f>+landbouw!P12</f>
        <v>0</v>
      </c>
      <c r="R54" s="716">
        <f ca="1">SUM(C54:Q54)</f>
        <v>3573.9286497909638</v>
      </c>
    </row>
    <row r="55" spans="1:18" ht="15" thickBot="1">
      <c r="A55" s="818" t="s">
        <v>690</v>
      </c>
      <c r="B55" s="828"/>
      <c r="C55" s="687">
        <f ca="1">C25*'EF ele_warmte'!B12</f>
        <v>55.543411420453744</v>
      </c>
      <c r="D55" s="687"/>
      <c r="E55" s="687">
        <f>E25*EF_CO2_aardgas</f>
        <v>74.775927316000008</v>
      </c>
      <c r="F55" s="687"/>
      <c r="G55" s="687"/>
      <c r="H55" s="687"/>
      <c r="I55" s="687"/>
      <c r="J55" s="687"/>
      <c r="K55" s="687"/>
      <c r="L55" s="687"/>
      <c r="M55" s="687"/>
      <c r="N55" s="687"/>
      <c r="O55" s="687"/>
      <c r="P55" s="687"/>
      <c r="Q55" s="688"/>
      <c r="R55" s="716">
        <f ca="1">SUM(C55:Q55)</f>
        <v>130.31933873645374</v>
      </c>
    </row>
    <row r="56" spans="1:18" ht="15.75" thickBot="1">
      <c r="A56" s="816" t="s">
        <v>691</v>
      </c>
      <c r="B56" s="829"/>
      <c r="C56" s="717">
        <f ca="1">SUM(C54:C55)</f>
        <v>656.01850908899735</v>
      </c>
      <c r="D56" s="717">
        <f t="shared" ref="D56:Q56" ca="1" si="7">SUM(D54:D55)</f>
        <v>0</v>
      </c>
      <c r="E56" s="717">
        <f t="shared" si="7"/>
        <v>98.947067145130006</v>
      </c>
      <c r="F56" s="717">
        <f t="shared" si="7"/>
        <v>20.362438550359556</v>
      </c>
      <c r="G56" s="717">
        <f t="shared" si="7"/>
        <v>2647.015969752948</v>
      </c>
      <c r="H56" s="717">
        <f t="shared" si="7"/>
        <v>0</v>
      </c>
      <c r="I56" s="717">
        <f t="shared" si="7"/>
        <v>0</v>
      </c>
      <c r="J56" s="717">
        <f t="shared" si="7"/>
        <v>0</v>
      </c>
      <c r="K56" s="717">
        <f t="shared" si="7"/>
        <v>281.90400398998275</v>
      </c>
      <c r="L56" s="717">
        <f t="shared" si="7"/>
        <v>0</v>
      </c>
      <c r="M56" s="717">
        <f t="shared" si="7"/>
        <v>0</v>
      </c>
      <c r="N56" s="717">
        <f t="shared" si="7"/>
        <v>0</v>
      </c>
      <c r="O56" s="717">
        <f t="shared" si="7"/>
        <v>0</v>
      </c>
      <c r="P56" s="717">
        <f t="shared" si="7"/>
        <v>0</v>
      </c>
      <c r="Q56" s="718">
        <f t="shared" si="7"/>
        <v>0</v>
      </c>
      <c r="R56" s="719">
        <f ca="1">SUM(R54:R55)</f>
        <v>3704.2479885274174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6097.3825761422759</v>
      </c>
      <c r="D61" s="725">
        <f t="shared" ref="D61:Q61" ca="1" si="8">D46+D52+D56</f>
        <v>0</v>
      </c>
      <c r="E61" s="725">
        <f t="shared" ca="1" si="8"/>
        <v>8116.1672788430815</v>
      </c>
      <c r="F61" s="725">
        <f t="shared" si="8"/>
        <v>279.03708434278371</v>
      </c>
      <c r="G61" s="725">
        <f t="shared" ca="1" si="8"/>
        <v>9287.6955246016587</v>
      </c>
      <c r="H61" s="725">
        <f t="shared" si="8"/>
        <v>5472.8438107185593</v>
      </c>
      <c r="I61" s="725">
        <f t="shared" si="8"/>
        <v>1786.8433159383001</v>
      </c>
      <c r="J61" s="725">
        <f t="shared" si="8"/>
        <v>0</v>
      </c>
      <c r="K61" s="725">
        <f t="shared" si="8"/>
        <v>326.88078726358503</v>
      </c>
      <c r="L61" s="725">
        <f t="shared" si="8"/>
        <v>0</v>
      </c>
      <c r="M61" s="725">
        <f t="shared" ca="1" si="8"/>
        <v>0</v>
      </c>
      <c r="N61" s="725">
        <f t="shared" si="8"/>
        <v>0</v>
      </c>
      <c r="O61" s="725">
        <f t="shared" ca="1" si="8"/>
        <v>0</v>
      </c>
      <c r="P61" s="725">
        <f t="shared" si="8"/>
        <v>0</v>
      </c>
      <c r="Q61" s="725">
        <f t="shared" si="8"/>
        <v>0</v>
      </c>
      <c r="R61" s="725">
        <f ca="1">R46+R52+R56</f>
        <v>31366.850377850245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0.19172985634428835</v>
      </c>
      <c r="D63" s="771">
        <f t="shared" ca="1" si="9"/>
        <v>0</v>
      </c>
      <c r="E63" s="963">
        <f t="shared" ca="1" si="9"/>
        <v>0.20200000000000001</v>
      </c>
      <c r="F63" s="771">
        <f t="shared" si="9"/>
        <v>0.22699999999999998</v>
      </c>
      <c r="G63" s="771">
        <f t="shared" ca="1" si="9"/>
        <v>0.26699999999999996</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4168.3297907993783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43.649999999999991</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51.35294117647058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4211.979790799378</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15581.758459751134</v>
      </c>
      <c r="C4" s="447">
        <f>huishoudens!C8</f>
        <v>0</v>
      </c>
      <c r="D4" s="447">
        <f>huishoudens!D8</f>
        <v>27818.838752103002</v>
      </c>
      <c r="E4" s="447">
        <f>huishoudens!E8</f>
        <v>1014.4263548247743</v>
      </c>
      <c r="F4" s="447">
        <f>huishoudens!F8</f>
        <v>22222.637736218687</v>
      </c>
      <c r="G4" s="447">
        <f>huishoudens!G8</f>
        <v>0</v>
      </c>
      <c r="H4" s="447">
        <f>huishoudens!H8</f>
        <v>0</v>
      </c>
      <c r="I4" s="447">
        <f>huishoudens!I8</f>
        <v>0</v>
      </c>
      <c r="J4" s="447">
        <f>huishoudens!J8</f>
        <v>126.64924303211768</v>
      </c>
      <c r="K4" s="447">
        <f>huishoudens!K8</f>
        <v>0</v>
      </c>
      <c r="L4" s="447">
        <f>huishoudens!L8</f>
        <v>0</v>
      </c>
      <c r="M4" s="447">
        <f>huishoudens!M8</f>
        <v>0</v>
      </c>
      <c r="N4" s="447">
        <f>huishoudens!N8</f>
        <v>5060.1293281901608</v>
      </c>
      <c r="O4" s="447">
        <f>huishoudens!O8</f>
        <v>325.36914797947321</v>
      </c>
      <c r="P4" s="448">
        <f>huishoudens!P8</f>
        <v>337.08669784592075</v>
      </c>
      <c r="Q4" s="449">
        <f>SUM(B4:P4)</f>
        <v>72486.895719945285</v>
      </c>
    </row>
    <row r="5" spans="1:17">
      <c r="A5" s="446" t="s">
        <v>149</v>
      </c>
      <c r="B5" s="447">
        <f ca="1">tertiair!B16</f>
        <v>10252.568495</v>
      </c>
      <c r="C5" s="447">
        <f ca="1">tertiair!C16</f>
        <v>0</v>
      </c>
      <c r="D5" s="447">
        <f ca="1">tertiair!D16</f>
        <v>10379.281300227</v>
      </c>
      <c r="E5" s="447">
        <f>tertiair!E16</f>
        <v>62.204491617415869</v>
      </c>
      <c r="F5" s="447">
        <f ca="1">tertiair!F16</f>
        <v>2208.4465865882739</v>
      </c>
      <c r="G5" s="447">
        <f>tertiair!G16</f>
        <v>0</v>
      </c>
      <c r="H5" s="447">
        <f>tertiair!H16</f>
        <v>0</v>
      </c>
      <c r="I5" s="447">
        <f>tertiair!I16</f>
        <v>0</v>
      </c>
      <c r="J5" s="447">
        <f>tertiair!J16</f>
        <v>1.5380936373239729E-2</v>
      </c>
      <c r="K5" s="447">
        <f>tertiair!K16</f>
        <v>0</v>
      </c>
      <c r="L5" s="447">
        <f ca="1">tertiair!L16</f>
        <v>0</v>
      </c>
      <c r="M5" s="447">
        <f>tertiair!M16</f>
        <v>0</v>
      </c>
      <c r="N5" s="447">
        <f ca="1">tertiair!N16</f>
        <v>591.27092300890342</v>
      </c>
      <c r="O5" s="447">
        <f>tertiair!O16</f>
        <v>9.7945215316823084</v>
      </c>
      <c r="P5" s="448">
        <f>tertiair!P16</f>
        <v>105.07827661299004</v>
      </c>
      <c r="Q5" s="446">
        <f t="shared" ref="Q5:Q14" ca="1" si="0">SUM(B5:P5)</f>
        <v>23608.659975522634</v>
      </c>
    </row>
    <row r="6" spans="1:17">
      <c r="A6" s="446" t="s">
        <v>187</v>
      </c>
      <c r="B6" s="447">
        <f>'openbare verlichting'!B8</f>
        <v>483.84373999999997</v>
      </c>
      <c r="C6" s="447"/>
      <c r="D6" s="447"/>
      <c r="E6" s="447"/>
      <c r="F6" s="447"/>
      <c r="G6" s="447"/>
      <c r="H6" s="447"/>
      <c r="I6" s="447"/>
      <c r="J6" s="447"/>
      <c r="K6" s="447"/>
      <c r="L6" s="447"/>
      <c r="M6" s="447"/>
      <c r="N6" s="447"/>
      <c r="O6" s="447"/>
      <c r="P6" s="448"/>
      <c r="Q6" s="446">
        <f t="shared" si="0"/>
        <v>483.84373999999997</v>
      </c>
    </row>
    <row r="7" spans="1:17">
      <c r="A7" s="446" t="s">
        <v>105</v>
      </c>
      <c r="B7" s="447">
        <f>landbouw!B8</f>
        <v>3131.881018</v>
      </c>
      <c r="C7" s="447">
        <f>landbouw!C8</f>
        <v>62.357142857142847</v>
      </c>
      <c r="D7" s="447">
        <f>landbouw!D8</f>
        <v>119.659108065</v>
      </c>
      <c r="E7" s="447">
        <f>landbouw!E8</f>
        <v>89.702372468544297</v>
      </c>
      <c r="F7" s="447">
        <f>landbouw!F8</f>
        <v>9913.9174897114153</v>
      </c>
      <c r="G7" s="447">
        <f>landbouw!G8</f>
        <v>0</v>
      </c>
      <c r="H7" s="447">
        <f>landbouw!H8</f>
        <v>0</v>
      </c>
      <c r="I7" s="447">
        <f>landbouw!I8</f>
        <v>0</v>
      </c>
      <c r="J7" s="447">
        <f>landbouw!J8</f>
        <v>796.33899432198518</v>
      </c>
      <c r="K7" s="447">
        <f>landbouw!K8</f>
        <v>0</v>
      </c>
      <c r="L7" s="447">
        <f>landbouw!L8</f>
        <v>0</v>
      </c>
      <c r="M7" s="447">
        <f>landbouw!M8</f>
        <v>0</v>
      </c>
      <c r="N7" s="447">
        <f>landbouw!N8</f>
        <v>0</v>
      </c>
      <c r="O7" s="447">
        <f>landbouw!O8</f>
        <v>0</v>
      </c>
      <c r="P7" s="448">
        <f>landbouw!P8</f>
        <v>0</v>
      </c>
      <c r="Q7" s="446">
        <f t="shared" si="0"/>
        <v>14113.856125424087</v>
      </c>
    </row>
    <row r="8" spans="1:17">
      <c r="A8" s="446" t="s">
        <v>611</v>
      </c>
      <c r="B8" s="447">
        <f>industrie!B18</f>
        <v>1989.7166650000001</v>
      </c>
      <c r="C8" s="447">
        <f>industrie!C18</f>
        <v>0</v>
      </c>
      <c r="D8" s="447">
        <f>industrie!D18</f>
        <v>1343.6576139839999</v>
      </c>
      <c r="E8" s="447">
        <f>industrie!E18</f>
        <v>6.4510370688392138</v>
      </c>
      <c r="F8" s="447">
        <f>industrie!F18</f>
        <v>440.37468411705476</v>
      </c>
      <c r="G8" s="447">
        <f>industrie!G18</f>
        <v>0</v>
      </c>
      <c r="H8" s="447">
        <f>industrie!H18</f>
        <v>0</v>
      </c>
      <c r="I8" s="447">
        <f>industrie!I18</f>
        <v>0</v>
      </c>
      <c r="J8" s="447">
        <f>industrie!J18</f>
        <v>0.38843612643076408</v>
      </c>
      <c r="K8" s="447">
        <f>industrie!K18</f>
        <v>0</v>
      </c>
      <c r="L8" s="447">
        <f>industrie!L18</f>
        <v>0</v>
      </c>
      <c r="M8" s="447">
        <f>industrie!M18</f>
        <v>0</v>
      </c>
      <c r="N8" s="447">
        <f>industrie!N18</f>
        <v>69.863870037539812</v>
      </c>
      <c r="O8" s="447">
        <f>industrie!O18</f>
        <v>0</v>
      </c>
      <c r="P8" s="448">
        <f>industrie!P18</f>
        <v>0</v>
      </c>
      <c r="Q8" s="446">
        <f t="shared" si="0"/>
        <v>3850.4523063338643</v>
      </c>
    </row>
    <row r="9" spans="1:17" s="452" customFormat="1">
      <c r="A9" s="450" t="s">
        <v>537</v>
      </c>
      <c r="B9" s="451">
        <f>transport!B14</f>
        <v>69.355228027034656</v>
      </c>
      <c r="C9" s="451">
        <f>transport!C14</f>
        <v>0</v>
      </c>
      <c r="D9" s="451">
        <f>transport!D14</f>
        <v>147.43130248774159</v>
      </c>
      <c r="E9" s="451">
        <f>transport!E14</f>
        <v>56.454001037094613</v>
      </c>
      <c r="F9" s="451">
        <f>transport!F14</f>
        <v>0</v>
      </c>
      <c r="G9" s="451">
        <f>transport!G14</f>
        <v>20301.820914143715</v>
      </c>
      <c r="H9" s="451">
        <f>transport!H14</f>
        <v>7176.0775740493982</v>
      </c>
      <c r="I9" s="451">
        <f>transport!I14</f>
        <v>0</v>
      </c>
      <c r="J9" s="451">
        <f>transport!J14</f>
        <v>0</v>
      </c>
      <c r="K9" s="451">
        <f>transport!K14</f>
        <v>0</v>
      </c>
      <c r="L9" s="451">
        <f>transport!L14</f>
        <v>0</v>
      </c>
      <c r="M9" s="451">
        <f>transport!M14</f>
        <v>1674.4201674376627</v>
      </c>
      <c r="N9" s="451">
        <f>transport!N14</f>
        <v>0</v>
      </c>
      <c r="O9" s="451">
        <f>transport!O14</f>
        <v>0</v>
      </c>
      <c r="P9" s="451">
        <f>transport!P14</f>
        <v>0</v>
      </c>
      <c r="Q9" s="450">
        <f>SUM(B9:P9)</f>
        <v>29425.559187182647</v>
      </c>
    </row>
    <row r="10" spans="1:17">
      <c r="A10" s="446" t="s">
        <v>527</v>
      </c>
      <c r="B10" s="447">
        <f>transport!B54</f>
        <v>3.126389718210794</v>
      </c>
      <c r="C10" s="447">
        <f>transport!C54</f>
        <v>0</v>
      </c>
      <c r="D10" s="447">
        <f>transport!D54</f>
        <v>0</v>
      </c>
      <c r="E10" s="447">
        <f>transport!E54</f>
        <v>0</v>
      </c>
      <c r="F10" s="447">
        <f>transport!F54</f>
        <v>0</v>
      </c>
      <c r="G10" s="447">
        <f>transport!G54</f>
        <v>195.72144809807889</v>
      </c>
      <c r="H10" s="447">
        <f>transport!H54</f>
        <v>0</v>
      </c>
      <c r="I10" s="447">
        <f>transport!I54</f>
        <v>0</v>
      </c>
      <c r="J10" s="447">
        <f>transport!J54</f>
        <v>0</v>
      </c>
      <c r="K10" s="447">
        <f>transport!K54</f>
        <v>0</v>
      </c>
      <c r="L10" s="447">
        <f>transport!L54</f>
        <v>0</v>
      </c>
      <c r="M10" s="447">
        <f>transport!M54</f>
        <v>11.237892176933155</v>
      </c>
      <c r="N10" s="447">
        <f>transport!N54</f>
        <v>0</v>
      </c>
      <c r="O10" s="447">
        <f>transport!O54</f>
        <v>0</v>
      </c>
      <c r="P10" s="448">
        <f>transport!P54</f>
        <v>0</v>
      </c>
      <c r="Q10" s="446">
        <f t="shared" si="0"/>
        <v>210.08572999322283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289.696203186606</v>
      </c>
      <c r="C14" s="454"/>
      <c r="D14" s="454">
        <f>'SEAP template'!E25</f>
        <v>370.17785800000001</v>
      </c>
      <c r="E14" s="454"/>
      <c r="F14" s="454"/>
      <c r="G14" s="454"/>
      <c r="H14" s="454"/>
      <c r="I14" s="454"/>
      <c r="J14" s="454"/>
      <c r="K14" s="454"/>
      <c r="L14" s="454"/>
      <c r="M14" s="454"/>
      <c r="N14" s="454"/>
      <c r="O14" s="454"/>
      <c r="P14" s="455"/>
      <c r="Q14" s="446">
        <f t="shared" si="0"/>
        <v>659.87406118660601</v>
      </c>
    </row>
    <row r="15" spans="1:17" s="458" customFormat="1">
      <c r="A15" s="456" t="s">
        <v>531</v>
      </c>
      <c r="B15" s="457">
        <f ca="1">SUM(B4:B14)</f>
        <v>31801.946198682985</v>
      </c>
      <c r="C15" s="457">
        <f t="shared" ref="C15:Q15" ca="1" si="1">SUM(C4:C14)</f>
        <v>62.357142857142847</v>
      </c>
      <c r="D15" s="457">
        <f t="shared" ca="1" si="1"/>
        <v>40179.04593486675</v>
      </c>
      <c r="E15" s="457">
        <f t="shared" si="1"/>
        <v>1229.2382570166685</v>
      </c>
      <c r="F15" s="457">
        <f t="shared" ca="1" si="1"/>
        <v>34785.376496635436</v>
      </c>
      <c r="G15" s="457">
        <f t="shared" si="1"/>
        <v>20497.542362241795</v>
      </c>
      <c r="H15" s="457">
        <f t="shared" si="1"/>
        <v>7176.0775740493982</v>
      </c>
      <c r="I15" s="457">
        <f t="shared" si="1"/>
        <v>0</v>
      </c>
      <c r="J15" s="457">
        <f t="shared" si="1"/>
        <v>923.39205441690683</v>
      </c>
      <c r="K15" s="457">
        <f t="shared" si="1"/>
        <v>0</v>
      </c>
      <c r="L15" s="457">
        <f t="shared" ca="1" si="1"/>
        <v>0</v>
      </c>
      <c r="M15" s="457">
        <f t="shared" si="1"/>
        <v>1685.6580596145959</v>
      </c>
      <c r="N15" s="457">
        <f t="shared" ca="1" si="1"/>
        <v>5721.2641212366034</v>
      </c>
      <c r="O15" s="457">
        <f t="shared" si="1"/>
        <v>335.16366951115555</v>
      </c>
      <c r="P15" s="457">
        <f t="shared" si="1"/>
        <v>442.16497445891082</v>
      </c>
      <c r="Q15" s="457">
        <f t="shared" ca="1" si="1"/>
        <v>144839.22684558833</v>
      </c>
    </row>
    <row r="17" spans="1:17">
      <c r="A17" s="459" t="s">
        <v>532</v>
      </c>
      <c r="B17" s="776">
        <f ca="1">huishoudens!B10</f>
        <v>0.19172985634428838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2987.4883110794849</v>
      </c>
      <c r="C22" s="447">
        <f t="shared" ref="C22:C32" ca="1" si="3">C4*$C$17</f>
        <v>0</v>
      </c>
      <c r="D22" s="447">
        <f t="shared" ref="D22:D32" si="4">D4*$D$17</f>
        <v>5619.4054279248066</v>
      </c>
      <c r="E22" s="447">
        <f t="shared" ref="E22:E32" si="5">E4*$E$17</f>
        <v>230.27478254522379</v>
      </c>
      <c r="F22" s="447">
        <f t="shared" ref="F22:F32" si="6">F4*$F$17</f>
        <v>5933.4442755703894</v>
      </c>
      <c r="G22" s="447">
        <f t="shared" ref="G22:G32" si="7">G4*$G$17</f>
        <v>0</v>
      </c>
      <c r="H22" s="447">
        <f t="shared" ref="H22:H32" si="8">H4*$H$17</f>
        <v>0</v>
      </c>
      <c r="I22" s="447">
        <f t="shared" ref="I22:I32" si="9">I4*$I$17</f>
        <v>0</v>
      </c>
      <c r="J22" s="447">
        <f t="shared" ref="J22:J32" si="10">J4*$J$17</f>
        <v>44.83383203336966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14815.446629153275</v>
      </c>
    </row>
    <row r="23" spans="1:17">
      <c r="A23" s="446" t="s">
        <v>149</v>
      </c>
      <c r="B23" s="447">
        <f t="shared" ca="1" si="2"/>
        <v>1965.7234847063269</v>
      </c>
      <c r="C23" s="447">
        <f t="shared" ca="1" si="3"/>
        <v>0</v>
      </c>
      <c r="D23" s="447">
        <f t="shared" ca="1" si="4"/>
        <v>2096.614822645854</v>
      </c>
      <c r="E23" s="447">
        <f t="shared" si="5"/>
        <v>14.120419597153402</v>
      </c>
      <c r="F23" s="447">
        <f t="shared" ca="1" si="6"/>
        <v>589.65523861906922</v>
      </c>
      <c r="G23" s="447">
        <f t="shared" si="7"/>
        <v>0</v>
      </c>
      <c r="H23" s="447">
        <f t="shared" si="8"/>
        <v>0</v>
      </c>
      <c r="I23" s="447">
        <f t="shared" si="9"/>
        <v>0</v>
      </c>
      <c r="J23" s="447">
        <f t="shared" si="10"/>
        <v>5.4448514761268633E-3</v>
      </c>
      <c r="K23" s="447">
        <f t="shared" si="11"/>
        <v>0</v>
      </c>
      <c r="L23" s="447">
        <f t="shared" ca="1" si="12"/>
        <v>0</v>
      </c>
      <c r="M23" s="447">
        <f t="shared" si="13"/>
        <v>0</v>
      </c>
      <c r="N23" s="447">
        <f t="shared" ca="1" si="14"/>
        <v>0</v>
      </c>
      <c r="O23" s="447">
        <f t="shared" si="15"/>
        <v>0</v>
      </c>
      <c r="P23" s="448">
        <f t="shared" si="16"/>
        <v>0</v>
      </c>
      <c r="Q23" s="446">
        <f t="shared" ref="Q23:Q31" ca="1" si="17">SUM(B23:P23)</f>
        <v>4666.1194104198803</v>
      </c>
    </row>
    <row r="24" spans="1:17">
      <c r="A24" s="446" t="s">
        <v>187</v>
      </c>
      <c r="B24" s="447">
        <f t="shared" ca="1" si="2"/>
        <v>92.767290763283214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92.767290763283214</v>
      </c>
    </row>
    <row r="25" spans="1:17">
      <c r="A25" s="446" t="s">
        <v>105</v>
      </c>
      <c r="B25" s="447">
        <f t="shared" ca="1" si="2"/>
        <v>600.47509766854364</v>
      </c>
      <c r="C25" s="447">
        <f t="shared" ca="1" si="3"/>
        <v>0</v>
      </c>
      <c r="D25" s="447">
        <f t="shared" si="4"/>
        <v>24.171139829130002</v>
      </c>
      <c r="E25" s="447">
        <f t="shared" si="5"/>
        <v>20.362438550359556</v>
      </c>
      <c r="F25" s="447">
        <f t="shared" si="6"/>
        <v>2647.015969752948</v>
      </c>
      <c r="G25" s="447">
        <f t="shared" si="7"/>
        <v>0</v>
      </c>
      <c r="H25" s="447">
        <f t="shared" si="8"/>
        <v>0</v>
      </c>
      <c r="I25" s="447">
        <f t="shared" si="9"/>
        <v>0</v>
      </c>
      <c r="J25" s="447">
        <f t="shared" si="10"/>
        <v>281.90400398998275</v>
      </c>
      <c r="K25" s="447">
        <f t="shared" si="11"/>
        <v>0</v>
      </c>
      <c r="L25" s="447">
        <f t="shared" si="12"/>
        <v>0</v>
      </c>
      <c r="M25" s="447">
        <f t="shared" si="13"/>
        <v>0</v>
      </c>
      <c r="N25" s="447">
        <f t="shared" si="14"/>
        <v>0</v>
      </c>
      <c r="O25" s="447">
        <f t="shared" si="15"/>
        <v>0</v>
      </c>
      <c r="P25" s="448">
        <f t="shared" si="16"/>
        <v>0</v>
      </c>
      <c r="Q25" s="446">
        <f t="shared" ca="1" si="17"/>
        <v>3573.9286497909638</v>
      </c>
    </row>
    <row r="26" spans="1:17">
      <c r="A26" s="446" t="s">
        <v>611</v>
      </c>
      <c r="B26" s="447">
        <f t="shared" ca="1" si="2"/>
        <v>381.48809034628658</v>
      </c>
      <c r="C26" s="447">
        <f t="shared" ca="1" si="3"/>
        <v>0</v>
      </c>
      <c r="D26" s="447">
        <f t="shared" si="4"/>
        <v>271.41883802476798</v>
      </c>
      <c r="E26" s="447">
        <f t="shared" si="5"/>
        <v>1.4643854146265016</v>
      </c>
      <c r="F26" s="447">
        <f t="shared" si="6"/>
        <v>117.58004065925363</v>
      </c>
      <c r="G26" s="447">
        <f t="shared" si="7"/>
        <v>0</v>
      </c>
      <c r="H26" s="447">
        <f t="shared" si="8"/>
        <v>0</v>
      </c>
      <c r="I26" s="447">
        <f t="shared" si="9"/>
        <v>0</v>
      </c>
      <c r="J26" s="447">
        <f t="shared" si="10"/>
        <v>0.13750638875649049</v>
      </c>
      <c r="K26" s="447">
        <f t="shared" si="11"/>
        <v>0</v>
      </c>
      <c r="L26" s="447">
        <f t="shared" si="12"/>
        <v>0</v>
      </c>
      <c r="M26" s="447">
        <f t="shared" si="13"/>
        <v>0</v>
      </c>
      <c r="N26" s="447">
        <f t="shared" si="14"/>
        <v>0</v>
      </c>
      <c r="O26" s="447">
        <f t="shared" si="15"/>
        <v>0</v>
      </c>
      <c r="P26" s="448">
        <f t="shared" si="16"/>
        <v>0</v>
      </c>
      <c r="Q26" s="446">
        <f t="shared" ca="1" si="17"/>
        <v>772.08886083369123</v>
      </c>
    </row>
    <row r="27" spans="1:17" s="452" customFormat="1">
      <c r="A27" s="450" t="s">
        <v>537</v>
      </c>
      <c r="B27" s="770">
        <f t="shared" ca="1" si="2"/>
        <v>13.297467906348718</v>
      </c>
      <c r="C27" s="451">
        <f t="shared" ca="1" si="3"/>
        <v>0</v>
      </c>
      <c r="D27" s="451">
        <f t="shared" si="4"/>
        <v>29.781123102523804</v>
      </c>
      <c r="E27" s="451">
        <f t="shared" si="5"/>
        <v>12.815058235420478</v>
      </c>
      <c r="F27" s="451">
        <f t="shared" si="6"/>
        <v>0</v>
      </c>
      <c r="G27" s="451">
        <f t="shared" si="7"/>
        <v>5420.5861840763719</v>
      </c>
      <c r="H27" s="451">
        <f t="shared" si="8"/>
        <v>1786.8433159383001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7263.3231492589648</v>
      </c>
    </row>
    <row r="28" spans="1:17" ht="16.5" customHeight="1">
      <c r="A28" s="446" t="s">
        <v>527</v>
      </c>
      <c r="B28" s="447">
        <f t="shared" ca="1" si="2"/>
        <v>0.59942225154881579</v>
      </c>
      <c r="C28" s="447">
        <f t="shared" ca="1" si="3"/>
        <v>0</v>
      </c>
      <c r="D28" s="447">
        <f t="shared" si="4"/>
        <v>0</v>
      </c>
      <c r="E28" s="447">
        <f t="shared" si="5"/>
        <v>0</v>
      </c>
      <c r="F28" s="447">
        <f t="shared" si="6"/>
        <v>0</v>
      </c>
      <c r="G28" s="447">
        <f t="shared" si="7"/>
        <v>52.25762664218707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52.857048893735886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55.543411420453744</v>
      </c>
      <c r="C32" s="447">
        <f t="shared" ca="1" si="3"/>
        <v>0</v>
      </c>
      <c r="D32" s="447">
        <f t="shared" si="4"/>
        <v>74.775927316000008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130.31933873645374</v>
      </c>
    </row>
    <row r="33" spans="1:17" s="458" customFormat="1">
      <c r="A33" s="456" t="s">
        <v>531</v>
      </c>
      <c r="B33" s="457">
        <f ca="1">SUM(B22:B32)</f>
        <v>6097.3825761422768</v>
      </c>
      <c r="C33" s="457">
        <f t="shared" ref="C33:Q33" ca="1" si="19">SUM(C22:C32)</f>
        <v>0</v>
      </c>
      <c r="D33" s="457">
        <f t="shared" ca="1" si="19"/>
        <v>8116.1672788430815</v>
      </c>
      <c r="E33" s="457">
        <f t="shared" si="19"/>
        <v>279.03708434278371</v>
      </c>
      <c r="F33" s="457">
        <f t="shared" ca="1" si="19"/>
        <v>9287.6955246016587</v>
      </c>
      <c r="G33" s="457">
        <f t="shared" si="19"/>
        <v>5472.8438107185593</v>
      </c>
      <c r="H33" s="457">
        <f t="shared" si="19"/>
        <v>1786.8433159383001</v>
      </c>
      <c r="I33" s="457">
        <f t="shared" si="19"/>
        <v>0</v>
      </c>
      <c r="J33" s="457">
        <f t="shared" si="19"/>
        <v>326.88078726358503</v>
      </c>
      <c r="K33" s="457">
        <f t="shared" si="19"/>
        <v>0</v>
      </c>
      <c r="L33" s="457">
        <f t="shared" ca="1" si="19"/>
        <v>0</v>
      </c>
      <c r="M33" s="457">
        <f t="shared" si="19"/>
        <v>0</v>
      </c>
      <c r="N33" s="457">
        <f t="shared" ca="1" si="19"/>
        <v>0</v>
      </c>
      <c r="O33" s="457">
        <f t="shared" si="19"/>
        <v>0</v>
      </c>
      <c r="P33" s="457">
        <f t="shared" si="19"/>
        <v>0</v>
      </c>
      <c r="Q33" s="457">
        <f t="shared" ca="1" si="19"/>
        <v>31366.850377850249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4168.3297907993783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4211.979790799378</v>
      </c>
      <c r="C10" s="1016">
        <f>SUM(C4:C9)</f>
        <v>0</v>
      </c>
      <c r="D10" s="1016">
        <f t="shared" ref="D10:H10" si="0">SUM(D8:D9)</f>
        <v>0</v>
      </c>
      <c r="E10" s="1016">
        <f t="shared" si="0"/>
        <v>0</v>
      </c>
      <c r="F10" s="1016">
        <f t="shared" si="0"/>
        <v>0</v>
      </c>
      <c r="G10" s="1016">
        <f t="shared" si="0"/>
        <v>0</v>
      </c>
      <c r="H10" s="1016">
        <f t="shared" si="0"/>
        <v>0</v>
      </c>
      <c r="I10" s="1016">
        <f>SUM(I8:I9)</f>
        <v>0</v>
      </c>
      <c r="J10" s="1016">
        <f>SUM(J8:J9)</f>
        <v>51.35294117647058</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0.19172985634428838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62.357142857142847</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62.357142857142847</v>
      </c>
      <c r="C20" s="1016">
        <f>SUM(C17:C19)</f>
        <v>0</v>
      </c>
      <c r="D20" s="1016">
        <f t="shared" ref="D20:H20" si="2">SUM(D17:D19)</f>
        <v>0</v>
      </c>
      <c r="E20" s="1016">
        <f t="shared" si="2"/>
        <v>0</v>
      </c>
      <c r="F20" s="1016">
        <f t="shared" si="2"/>
        <v>0</v>
      </c>
      <c r="G20" s="1016">
        <f t="shared" si="2"/>
        <v>0</v>
      </c>
      <c r="H20" s="1016">
        <f t="shared" si="2"/>
        <v>0</v>
      </c>
      <c r="I20" s="1016">
        <f>SUM(I17:I19)</f>
        <v>0</v>
      </c>
      <c r="J20" s="1016">
        <f>SUM(J17:J19)</f>
        <v>73.361344537815114</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0.19172985634428838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0.19172985634428838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0.19172985634428838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3760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3014.9</v>
      </c>
      <c r="C14" s="326"/>
      <c r="D14" s="326"/>
      <c r="E14" s="326"/>
      <c r="F14" s="326"/>
    </row>
    <row r="15" spans="1:6">
      <c r="A15" s="1310" t="s">
        <v>177</v>
      </c>
      <c r="B15" s="1311">
        <v>62</v>
      </c>
      <c r="C15" s="326"/>
      <c r="D15" s="326"/>
      <c r="E15" s="326"/>
      <c r="F15" s="326"/>
    </row>
    <row r="16" spans="1:6">
      <c r="A16" s="1310" t="s">
        <v>6</v>
      </c>
      <c r="B16" s="1311">
        <v>1967</v>
      </c>
      <c r="C16" s="326"/>
      <c r="D16" s="326"/>
      <c r="E16" s="326"/>
      <c r="F16" s="326"/>
    </row>
    <row r="17" spans="1:6">
      <c r="A17" s="1310" t="s">
        <v>7</v>
      </c>
      <c r="B17" s="1311">
        <v>1169</v>
      </c>
      <c r="C17" s="326"/>
      <c r="D17" s="326"/>
      <c r="E17" s="326"/>
      <c r="F17" s="326"/>
    </row>
    <row r="18" spans="1:6">
      <c r="A18" s="1310" t="s">
        <v>8</v>
      </c>
      <c r="B18" s="1311">
        <v>1628</v>
      </c>
      <c r="C18" s="326"/>
      <c r="D18" s="326"/>
      <c r="E18" s="326"/>
      <c r="F18" s="326"/>
    </row>
    <row r="19" spans="1:6">
      <c r="A19" s="1310" t="s">
        <v>9</v>
      </c>
      <c r="B19" s="1311">
        <v>1369</v>
      </c>
      <c r="C19" s="326"/>
      <c r="D19" s="326"/>
      <c r="E19" s="326"/>
      <c r="F19" s="326"/>
    </row>
    <row r="20" spans="1:6">
      <c r="A20" s="1310" t="s">
        <v>10</v>
      </c>
      <c r="B20" s="1311">
        <v>1228</v>
      </c>
      <c r="C20" s="326"/>
      <c r="D20" s="326"/>
      <c r="E20" s="326"/>
      <c r="F20" s="326"/>
    </row>
    <row r="21" spans="1:6">
      <c r="A21" s="1310" t="s">
        <v>11</v>
      </c>
      <c r="B21" s="1311">
        <v>21142</v>
      </c>
      <c r="C21" s="326"/>
      <c r="D21" s="326"/>
      <c r="E21" s="326"/>
      <c r="F21" s="326"/>
    </row>
    <row r="22" spans="1:6">
      <c r="A22" s="1310" t="s">
        <v>12</v>
      </c>
      <c r="B22" s="1311">
        <v>58910</v>
      </c>
      <c r="C22" s="326"/>
      <c r="D22" s="326"/>
      <c r="E22" s="326"/>
      <c r="F22" s="326"/>
    </row>
    <row r="23" spans="1:6">
      <c r="A23" s="1310" t="s">
        <v>13</v>
      </c>
      <c r="B23" s="1311">
        <v>696</v>
      </c>
      <c r="C23" s="326"/>
      <c r="D23" s="326"/>
      <c r="E23" s="326"/>
      <c r="F23" s="326"/>
    </row>
    <row r="24" spans="1:6">
      <c r="A24" s="1310" t="s">
        <v>14</v>
      </c>
      <c r="B24" s="1311">
        <v>36</v>
      </c>
      <c r="C24" s="326"/>
      <c r="D24" s="326"/>
      <c r="E24" s="326"/>
      <c r="F24" s="326"/>
    </row>
    <row r="25" spans="1:6">
      <c r="A25" s="1310" t="s">
        <v>15</v>
      </c>
      <c r="B25" s="1311">
        <v>5386</v>
      </c>
      <c r="C25" s="326"/>
      <c r="D25" s="326"/>
      <c r="E25" s="326"/>
      <c r="F25" s="326"/>
    </row>
    <row r="26" spans="1:6">
      <c r="A26" s="1310" t="s">
        <v>16</v>
      </c>
      <c r="B26" s="1311">
        <v>99</v>
      </c>
      <c r="C26" s="326"/>
      <c r="D26" s="326"/>
      <c r="E26" s="326"/>
      <c r="F26" s="326"/>
    </row>
    <row r="27" spans="1:6">
      <c r="A27" s="1310" t="s">
        <v>17</v>
      </c>
      <c r="B27" s="1311">
        <v>2</v>
      </c>
      <c r="C27" s="326"/>
      <c r="D27" s="326"/>
      <c r="E27" s="326"/>
      <c r="F27" s="326"/>
    </row>
    <row r="28" spans="1:6">
      <c r="A28" s="1310" t="s">
        <v>18</v>
      </c>
      <c r="B28" s="1312">
        <v>99467</v>
      </c>
      <c r="C28" s="326"/>
      <c r="D28" s="326"/>
      <c r="E28" s="326"/>
      <c r="F28" s="326"/>
    </row>
    <row r="29" spans="1:6">
      <c r="A29" s="1310" t="s">
        <v>678</v>
      </c>
      <c r="B29" s="1312">
        <v>98</v>
      </c>
      <c r="C29" s="326"/>
      <c r="D29" s="326"/>
      <c r="E29" s="326"/>
      <c r="F29" s="326"/>
    </row>
    <row r="30" spans="1:6">
      <c r="A30" s="1305" t="s">
        <v>679</v>
      </c>
      <c r="B30" s="1313">
        <v>35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23355.321</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224.27</v>
      </c>
    </row>
    <row r="39" spans="1:6">
      <c r="A39" s="1310" t="s">
        <v>29</v>
      </c>
      <c r="B39" s="1310" t="s">
        <v>30</v>
      </c>
      <c r="C39" s="1311">
        <v>2242</v>
      </c>
      <c r="D39" s="1311">
        <v>30807130.401000001</v>
      </c>
      <c r="E39" s="1311">
        <v>3612</v>
      </c>
      <c r="F39" s="1311">
        <v>12778396.614</v>
      </c>
    </row>
    <row r="40" spans="1:6">
      <c r="A40" s="1310" t="s">
        <v>29</v>
      </c>
      <c r="B40" s="1310" t="s">
        <v>28</v>
      </c>
      <c r="C40" s="1311">
        <v>0</v>
      </c>
      <c r="D40" s="1311">
        <v>0</v>
      </c>
      <c r="E40" s="1311">
        <v>0</v>
      </c>
      <c r="F40" s="1311">
        <v>0</v>
      </c>
    </row>
    <row r="41" spans="1:6">
      <c r="A41" s="1310" t="s">
        <v>31</v>
      </c>
      <c r="B41" s="1310" t="s">
        <v>32</v>
      </c>
      <c r="C41" s="1311">
        <v>57</v>
      </c>
      <c r="D41" s="1311">
        <v>875454.70499999996</v>
      </c>
      <c r="E41" s="1311">
        <v>114</v>
      </c>
      <c r="F41" s="1311">
        <v>609263.58600000001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10</v>
      </c>
      <c r="F44" s="1311">
        <v>442039.33600000001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108765.232</v>
      </c>
      <c r="E47" s="1311">
        <v>3</v>
      </c>
      <c r="F47" s="1311">
        <v>40363.502999999997</v>
      </c>
    </row>
    <row r="48" spans="1:6">
      <c r="A48" s="1310" t="s">
        <v>31</v>
      </c>
      <c r="B48" s="1310" t="s">
        <v>28</v>
      </c>
      <c r="C48" s="1311">
        <v>4</v>
      </c>
      <c r="D48" s="1311">
        <v>78755.540999999997</v>
      </c>
      <c r="E48" s="1311">
        <v>2</v>
      </c>
      <c r="F48" s="1311">
        <v>3382.9589999999998</v>
      </c>
    </row>
    <row r="49" spans="1:6">
      <c r="A49" s="1310" t="s">
        <v>31</v>
      </c>
      <c r="B49" s="1310" t="s">
        <v>39</v>
      </c>
      <c r="C49" s="1311">
        <v>0</v>
      </c>
      <c r="D49" s="1311">
        <v>0</v>
      </c>
      <c r="E49" s="1311">
        <v>0</v>
      </c>
      <c r="F49" s="1311">
        <v>0</v>
      </c>
    </row>
    <row r="50" spans="1:6">
      <c r="A50" s="1310" t="s">
        <v>31</v>
      </c>
      <c r="B50" s="1310" t="s">
        <v>40</v>
      </c>
      <c r="C50" s="1311">
        <v>10</v>
      </c>
      <c r="D50" s="1311">
        <v>425017.45</v>
      </c>
      <c r="E50" s="1311">
        <v>16</v>
      </c>
      <c r="F50" s="1311">
        <v>894667.28099999996</v>
      </c>
    </row>
    <row r="51" spans="1:6">
      <c r="A51" s="1310" t="s">
        <v>41</v>
      </c>
      <c r="B51" s="1310" t="s">
        <v>42</v>
      </c>
      <c r="C51" s="1311">
        <v>9</v>
      </c>
      <c r="D51" s="1311">
        <v>132512.85500000001</v>
      </c>
      <c r="E51" s="1311">
        <v>140</v>
      </c>
      <c r="F51" s="1311">
        <v>3131881.0180000002</v>
      </c>
    </row>
    <row r="52" spans="1:6">
      <c r="A52" s="1310" t="s">
        <v>41</v>
      </c>
      <c r="B52" s="1310" t="s">
        <v>28</v>
      </c>
      <c r="C52" s="1311">
        <v>0</v>
      </c>
      <c r="D52" s="1311">
        <v>0</v>
      </c>
      <c r="E52" s="1311">
        <v>0</v>
      </c>
      <c r="F52" s="1311">
        <v>0</v>
      </c>
    </row>
    <row r="53" spans="1:6">
      <c r="A53" s="1310" t="s">
        <v>43</v>
      </c>
      <c r="B53" s="1310" t="s">
        <v>44</v>
      </c>
      <c r="C53" s="1311">
        <v>23</v>
      </c>
      <c r="D53" s="1311">
        <v>370177.85800000001</v>
      </c>
      <c r="E53" s="1311">
        <v>63</v>
      </c>
      <c r="F53" s="1311">
        <v>289696.203186606</v>
      </c>
    </row>
    <row r="54" spans="1:6">
      <c r="A54" s="1310" t="s">
        <v>45</v>
      </c>
      <c r="B54" s="1310" t="s">
        <v>46</v>
      </c>
      <c r="C54" s="1311">
        <v>0</v>
      </c>
      <c r="D54" s="1311">
        <v>0</v>
      </c>
      <c r="E54" s="1311">
        <v>1</v>
      </c>
      <c r="F54" s="1311">
        <v>483843.74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23</v>
      </c>
      <c r="D57" s="1311">
        <v>725380.179</v>
      </c>
      <c r="E57" s="1311">
        <v>93</v>
      </c>
      <c r="F57" s="1311">
        <v>1520731.128</v>
      </c>
    </row>
    <row r="58" spans="1:6">
      <c r="A58" s="1310" t="s">
        <v>48</v>
      </c>
      <c r="B58" s="1310" t="s">
        <v>50</v>
      </c>
      <c r="C58" s="1311">
        <v>13</v>
      </c>
      <c r="D58" s="1311">
        <v>1170942.615</v>
      </c>
      <c r="E58" s="1311">
        <v>29</v>
      </c>
      <c r="F58" s="1311">
        <v>631933.10800000001</v>
      </c>
    </row>
    <row r="59" spans="1:6">
      <c r="A59" s="1310" t="s">
        <v>48</v>
      </c>
      <c r="B59" s="1310" t="s">
        <v>51</v>
      </c>
      <c r="C59" s="1311">
        <v>67</v>
      </c>
      <c r="D59" s="1311">
        <v>3965847.074</v>
      </c>
      <c r="E59" s="1311">
        <v>116</v>
      </c>
      <c r="F59" s="1311">
        <v>5264180.608</v>
      </c>
    </row>
    <row r="60" spans="1:6">
      <c r="A60" s="1310" t="s">
        <v>48</v>
      </c>
      <c r="B60" s="1310" t="s">
        <v>52</v>
      </c>
      <c r="C60" s="1311">
        <v>45</v>
      </c>
      <c r="D60" s="1311">
        <v>2962163.554</v>
      </c>
      <c r="E60" s="1311">
        <v>59</v>
      </c>
      <c r="F60" s="1311">
        <v>949672.50699999998</v>
      </c>
    </row>
    <row r="61" spans="1:6">
      <c r="A61" s="1310" t="s">
        <v>48</v>
      </c>
      <c r="B61" s="1310" t="s">
        <v>53</v>
      </c>
      <c r="C61" s="1311">
        <v>76</v>
      </c>
      <c r="D61" s="1311">
        <v>2599199.0299999998</v>
      </c>
      <c r="E61" s="1311">
        <v>128</v>
      </c>
      <c r="F61" s="1311">
        <v>1717099.419</v>
      </c>
    </row>
    <row r="62" spans="1:6">
      <c r="A62" s="1310" t="s">
        <v>48</v>
      </c>
      <c r="B62" s="1310" t="s">
        <v>54</v>
      </c>
      <c r="C62" s="1311">
        <v>0</v>
      </c>
      <c r="D62" s="1311">
        <v>0</v>
      </c>
      <c r="E62" s="1311">
        <v>3</v>
      </c>
      <c r="F62" s="1311">
        <v>168951.72500000001</v>
      </c>
    </row>
    <row r="63" spans="1:6">
      <c r="A63" s="1310" t="s">
        <v>48</v>
      </c>
      <c r="B63" s="1310" t="s">
        <v>28</v>
      </c>
      <c r="C63" s="1311">
        <v>1</v>
      </c>
      <c r="D63" s="1311">
        <v>70688.256999999998</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52793.205999999998</v>
      </c>
      <c r="E65" s="1311">
        <v>0</v>
      </c>
      <c r="F65" s="1311">
        <v>0</v>
      </c>
    </row>
    <row r="66" spans="1:6">
      <c r="A66" s="1310" t="s">
        <v>55</v>
      </c>
      <c r="B66" s="1310" t="s">
        <v>57</v>
      </c>
      <c r="C66" s="1311">
        <v>0</v>
      </c>
      <c r="D66" s="1311">
        <v>0</v>
      </c>
      <c r="E66" s="1311">
        <v>3</v>
      </c>
      <c r="F66" s="1311">
        <v>1711.875</v>
      </c>
    </row>
    <row r="67" spans="1:6">
      <c r="A67" s="1310" t="s">
        <v>55</v>
      </c>
      <c r="B67" s="1310" t="s">
        <v>58</v>
      </c>
      <c r="C67" s="1311">
        <v>0</v>
      </c>
      <c r="D67" s="1311">
        <v>0</v>
      </c>
      <c r="E67" s="1311">
        <v>0</v>
      </c>
      <c r="F67" s="1311">
        <v>0</v>
      </c>
    </row>
    <row r="68" spans="1:6">
      <c r="A68" s="1305" t="s">
        <v>55</v>
      </c>
      <c r="B68" s="1305" t="s">
        <v>59</v>
      </c>
      <c r="C68" s="1313">
        <v>0</v>
      </c>
      <c r="D68" s="1313">
        <v>0</v>
      </c>
      <c r="E68" s="1313">
        <v>8</v>
      </c>
      <c r="F68" s="1313">
        <v>51129.47</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8921425</v>
      </c>
      <c r="E73" s="445"/>
      <c r="F73" s="326"/>
    </row>
    <row r="74" spans="1:6">
      <c r="A74" s="1310" t="s">
        <v>63</v>
      </c>
      <c r="B74" s="1310" t="s">
        <v>632</v>
      </c>
      <c r="C74" s="1323" t="s">
        <v>634</v>
      </c>
      <c r="D74" s="1311">
        <v>890101.01112791826</v>
      </c>
      <c r="E74" s="445"/>
      <c r="F74" s="326"/>
    </row>
    <row r="75" spans="1:6">
      <c r="A75" s="1310" t="s">
        <v>64</v>
      </c>
      <c r="B75" s="1310" t="s">
        <v>631</v>
      </c>
      <c r="C75" s="1323" t="s">
        <v>635</v>
      </c>
      <c r="D75" s="1311">
        <v>21343731</v>
      </c>
      <c r="E75" s="445"/>
      <c r="F75" s="326"/>
    </row>
    <row r="76" spans="1:6">
      <c r="A76" s="1310" t="s">
        <v>64</v>
      </c>
      <c r="B76" s="1310" t="s">
        <v>632</v>
      </c>
      <c r="C76" s="1323" t="s">
        <v>636</v>
      </c>
      <c r="D76" s="1311">
        <v>604811.01112791826</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58313.977744163501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2803.3618457511338</v>
      </c>
      <c r="C91" s="326"/>
      <c r="D91" s="326"/>
      <c r="E91" s="326"/>
      <c r="F91" s="326"/>
    </row>
    <row r="92" spans="1:6">
      <c r="A92" s="1305" t="s">
        <v>68</v>
      </c>
      <c r="B92" s="1306">
        <v>1364.967945048244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961</v>
      </c>
      <c r="C97" s="326"/>
      <c r="D97" s="326"/>
      <c r="E97" s="326"/>
      <c r="F97" s="326"/>
    </row>
    <row r="98" spans="1:6">
      <c r="A98" s="1310" t="s">
        <v>71</v>
      </c>
      <c r="B98" s="1311">
        <v>0</v>
      </c>
      <c r="C98" s="326"/>
      <c r="D98" s="326"/>
      <c r="E98" s="326"/>
      <c r="F98" s="326"/>
    </row>
    <row r="99" spans="1:6">
      <c r="A99" s="1310" t="s">
        <v>72</v>
      </c>
      <c r="B99" s="1311">
        <v>160</v>
      </c>
      <c r="C99" s="326"/>
      <c r="D99" s="326"/>
      <c r="E99" s="326"/>
      <c r="F99" s="326"/>
    </row>
    <row r="100" spans="1:6">
      <c r="A100" s="1310" t="s">
        <v>73</v>
      </c>
      <c r="B100" s="1311">
        <v>432</v>
      </c>
      <c r="C100" s="326"/>
      <c r="D100" s="326"/>
      <c r="E100" s="326"/>
      <c r="F100" s="326"/>
    </row>
    <row r="101" spans="1:6">
      <c r="A101" s="1310" t="s">
        <v>74</v>
      </c>
      <c r="B101" s="1311">
        <v>97</v>
      </c>
      <c r="C101" s="326"/>
      <c r="D101" s="326"/>
      <c r="E101" s="326"/>
      <c r="F101" s="326"/>
    </row>
    <row r="102" spans="1:6">
      <c r="A102" s="1310" t="s">
        <v>75</v>
      </c>
      <c r="B102" s="1311">
        <v>59</v>
      </c>
      <c r="C102" s="326"/>
      <c r="D102" s="326"/>
      <c r="E102" s="326"/>
      <c r="F102" s="326"/>
    </row>
    <row r="103" spans="1:6">
      <c r="A103" s="1310" t="s">
        <v>76</v>
      </c>
      <c r="B103" s="1311">
        <v>164</v>
      </c>
      <c r="C103" s="326"/>
      <c r="D103" s="326"/>
      <c r="E103" s="326"/>
      <c r="F103" s="326"/>
    </row>
    <row r="104" spans="1:6">
      <c r="A104" s="1310" t="s">
        <v>77</v>
      </c>
      <c r="B104" s="1311">
        <v>1301</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11</v>
      </c>
      <c r="C123" s="1311">
        <v>28</v>
      </c>
      <c r="D123" s="326"/>
      <c r="E123" s="326"/>
      <c r="F123" s="326"/>
    </row>
    <row r="124" spans="1:6">
      <c r="A124" s="1310" t="s">
        <v>88</v>
      </c>
      <c r="B124" s="1311">
        <v>1</v>
      </c>
      <c r="C124" s="1311">
        <v>0</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136</v>
      </c>
      <c r="C129" s="326"/>
      <c r="D129" s="326"/>
      <c r="E129" s="326"/>
      <c r="F129" s="326"/>
    </row>
    <row r="130" spans="1:6">
      <c r="A130" s="1310" t="s">
        <v>284</v>
      </c>
      <c r="B130" s="1311">
        <v>2</v>
      </c>
      <c r="C130" s="326"/>
      <c r="D130" s="326"/>
      <c r="E130" s="326"/>
      <c r="F130" s="326"/>
    </row>
    <row r="131" spans="1:6">
      <c r="A131" s="1310" t="s">
        <v>285</v>
      </c>
      <c r="B131" s="1311">
        <v>1</v>
      </c>
      <c r="C131" s="326"/>
      <c r="D131" s="326"/>
      <c r="E131" s="326"/>
      <c r="F131" s="326"/>
    </row>
    <row r="132" spans="1:6">
      <c r="A132" s="1305" t="s">
        <v>286</v>
      </c>
      <c r="B132" s="1306">
        <v>20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31801.946198682985</v>
      </c>
      <c r="C3" s="43" t="s">
        <v>163</v>
      </c>
      <c r="D3" s="43"/>
      <c r="E3" s="154"/>
      <c r="F3" s="43"/>
      <c r="G3" s="43"/>
      <c r="H3" s="43"/>
      <c r="I3" s="43"/>
      <c r="J3" s="43"/>
      <c r="K3" s="96"/>
    </row>
    <row r="4" spans="1:11">
      <c r="A4" s="352" t="s">
        <v>164</v>
      </c>
      <c r="B4" s="49">
        <f>IF(ISERROR('SEAP template'!B78+'SEAP template'!C78),0,'SEAP template'!B78+'SEAP template'!C78)</f>
        <v>4211.979790799378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0.19172985634428838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483.84373999999997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483.84373999999997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0.19172985634428838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92.767290763283214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12778.396613999999</v>
      </c>
      <c r="C5" s="17">
        <f>IF(ISERROR('Eigen informatie GS &amp; warmtenet'!B59),0,'Eigen informatie GS &amp; warmtenet'!B59)</f>
        <v>0</v>
      </c>
      <c r="D5" s="30">
        <f>(SUM(HH_hh_gas_kWh,HH_rest_gas_kWh)/1000)*0.903</f>
        <v>27818.838752103002</v>
      </c>
      <c r="E5" s="17">
        <f>B32*B41</f>
        <v>1014.4263548247743</v>
      </c>
      <c r="F5" s="17">
        <f>B36*B45</f>
        <v>22222.637736218687</v>
      </c>
      <c r="G5" s="18"/>
      <c r="H5" s="17"/>
      <c r="I5" s="17"/>
      <c r="J5" s="17">
        <f>B35*B44+C35*C44</f>
        <v>126.64924303211768</v>
      </c>
      <c r="K5" s="17"/>
      <c r="L5" s="17"/>
      <c r="M5" s="17"/>
      <c r="N5" s="17">
        <f>B34*B43+C34*C43</f>
        <v>5060.1293281901608</v>
      </c>
      <c r="O5" s="17">
        <f>B52*B53*B54</f>
        <v>325.36914797947321</v>
      </c>
      <c r="P5" s="17">
        <f>B60*B61*B62/1000-B60*B61*B62/1000/B63</f>
        <v>337.08669784592075</v>
      </c>
    </row>
    <row r="6" spans="1:16">
      <c r="A6" s="16" t="s">
        <v>597</v>
      </c>
      <c r="B6" s="778">
        <f>kWh_PV_kleiner_dan_10kW</f>
        <v>2803.3618457511338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15581.758459751134</v>
      </c>
      <c r="C8" s="21">
        <f>C5</f>
        <v>0</v>
      </c>
      <c r="D8" s="21">
        <f>D5</f>
        <v>27818.838752103002</v>
      </c>
      <c r="E8" s="21">
        <f>E5</f>
        <v>1014.4263548247743</v>
      </c>
      <c r="F8" s="21">
        <f>F5</f>
        <v>22222.637736218687</v>
      </c>
      <c r="G8" s="21"/>
      <c r="H8" s="21"/>
      <c r="I8" s="21"/>
      <c r="J8" s="21">
        <f>J5</f>
        <v>126.64924303211768</v>
      </c>
      <c r="K8" s="21"/>
      <c r="L8" s="21">
        <f>L5</f>
        <v>0</v>
      </c>
      <c r="M8" s="21">
        <f>M5</f>
        <v>0</v>
      </c>
      <c r="N8" s="21">
        <f>N5</f>
        <v>5060.1293281901608</v>
      </c>
      <c r="O8" s="21">
        <f>O5</f>
        <v>325.36914797947321</v>
      </c>
      <c r="P8" s="21">
        <f>P5</f>
        <v>337.08669784592075</v>
      </c>
    </row>
    <row r="9" spans="1:16">
      <c r="B9" s="19"/>
      <c r="C9" s="19"/>
      <c r="D9" s="254"/>
      <c r="E9" s="19"/>
      <c r="F9" s="19"/>
      <c r="G9" s="19"/>
      <c r="H9" s="19"/>
      <c r="I9" s="19"/>
      <c r="J9" s="19"/>
      <c r="K9" s="19"/>
      <c r="L9" s="19"/>
      <c r="M9" s="19"/>
      <c r="N9" s="19"/>
      <c r="O9" s="19"/>
      <c r="P9" s="19"/>
    </row>
    <row r="10" spans="1:16">
      <c r="A10" s="24" t="s">
        <v>207</v>
      </c>
      <c r="B10" s="25">
        <f ca="1">'EF ele_warmte'!B12</f>
        <v>0.19172985634428838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2987.4883110794849</v>
      </c>
      <c r="C12" s="23">
        <f ca="1">C10*C8</f>
        <v>0</v>
      </c>
      <c r="D12" s="23">
        <f>D8*D10</f>
        <v>5619.4054279248066</v>
      </c>
      <c r="E12" s="23">
        <f>E10*E8</f>
        <v>230.27478254522379</v>
      </c>
      <c r="F12" s="23">
        <f>F10*F8</f>
        <v>5933.4442755703894</v>
      </c>
      <c r="G12" s="23"/>
      <c r="H12" s="23"/>
      <c r="I12" s="23"/>
      <c r="J12" s="23">
        <f>J10*J8</f>
        <v>44.83383203336966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3760</v>
      </c>
      <c r="C26" s="36"/>
      <c r="D26" s="225"/>
    </row>
    <row r="27" spans="1:5" s="15" customFormat="1">
      <c r="A27" s="227" t="s">
        <v>860</v>
      </c>
      <c r="B27" s="37">
        <f>SUM(HH_hh_gas_aantal,HH_rest_gas_aantal)</f>
        <v>2242</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2129.9</v>
      </c>
      <c r="C31" s="34" t="s">
        <v>104</v>
      </c>
      <c r="D31" s="171"/>
    </row>
    <row r="32" spans="1:5">
      <c r="A32" s="168" t="s">
        <v>72</v>
      </c>
      <c r="B32" s="33">
        <f>IF((B21*($B$26-($B$27-0.05*$B$27)-$B$60))&lt;0,0,(B21*($B$26-($B$27-0.05*$B$27)-$B$60)))</f>
        <v>25.370155032777038</v>
      </c>
      <c r="C32" s="34" t="s">
        <v>104</v>
      </c>
      <c r="D32" s="171"/>
    </row>
    <row r="33" spans="1:6">
      <c r="A33" s="168" t="s">
        <v>73</v>
      </c>
      <c r="B33" s="33">
        <f>IF((B22*($B$26-($B$27-0.05*$B$27)-$B$60))&lt;0,0,B22*($B$26-($B$27-0.05*$B$27)-$B$60))</f>
        <v>411.96107158876066</v>
      </c>
      <c r="C33" s="34" t="s">
        <v>104</v>
      </c>
      <c r="D33" s="171"/>
    </row>
    <row r="34" spans="1:6">
      <c r="A34" s="168" t="s">
        <v>74</v>
      </c>
      <c r="B34" s="33">
        <f>IF((B24*($B$26-($B$27-0.05*$B$27)-$B$60))&lt;0,0,B24*($B$26-($B$27-0.05*$B$27)-$B$60))</f>
        <v>78.97845047781486</v>
      </c>
      <c r="C34" s="33">
        <f>B26*C24</f>
        <v>770.4463336726061</v>
      </c>
      <c r="D34" s="230"/>
    </row>
    <row r="35" spans="1:6">
      <c r="A35" s="168" t="s">
        <v>76</v>
      </c>
      <c r="B35" s="33">
        <f>IF((B19*($B$26-($B$27-0.05*$B$27)-$B$60))&lt;0,0,B19*($B$26-($B$27-0.05*$B$27)-$B$60))</f>
        <v>11.028345908643047</v>
      </c>
      <c r="C35" s="33">
        <f>B35/2</f>
        <v>5.5141729543215234</v>
      </c>
      <c r="D35" s="230"/>
    </row>
    <row r="36" spans="1:6">
      <c r="A36" s="168" t="s">
        <v>77</v>
      </c>
      <c r="B36" s="33">
        <f>IF((B18*($B$26-($B$27-0.05*$B$27)-$B$60))&lt;0,0,B18*($B$26-($B$27-0.05*$B$27)-$B$60))</f>
        <v>1070.7619769920041</v>
      </c>
      <c r="C36" s="34" t="s">
        <v>104</v>
      </c>
      <c r="D36" s="171"/>
    </row>
    <row r="37" spans="1:6">
      <c r="A37" s="168" t="s">
        <v>78</v>
      </c>
      <c r="B37" s="33">
        <f>B60</f>
        <v>32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164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10252.568495</v>
      </c>
      <c r="C5" s="17">
        <f>IF(ISERROR('Eigen informatie GS &amp; warmtenet'!B60),0,'Eigen informatie GS &amp; warmtenet'!B60)</f>
        <v>0</v>
      </c>
      <c r="D5" s="30">
        <f>SUM(D6:D12)</f>
        <v>10379.281300227</v>
      </c>
      <c r="E5" s="17">
        <f>SUM(E6:E12)</f>
        <v>62.204491617415869</v>
      </c>
      <c r="F5" s="17">
        <f>SUM(F6:F12)</f>
        <v>2208.4465865882739</v>
      </c>
      <c r="G5" s="18"/>
      <c r="H5" s="17"/>
      <c r="I5" s="17"/>
      <c r="J5" s="17">
        <f>SUM(J6:J12)</f>
        <v>1.5380936373239729E-2</v>
      </c>
      <c r="K5" s="17"/>
      <c r="L5" s="17"/>
      <c r="M5" s="17"/>
      <c r="N5" s="17">
        <f>SUM(N6:N12)</f>
        <v>591.27092300890342</v>
      </c>
      <c r="O5" s="17">
        <f>B38*B39*B40</f>
        <v>9.7945215316823084</v>
      </c>
      <c r="P5" s="17">
        <f>B46*B47*B48/1000-B46*B47*B48/1000/B49</f>
        <v>105.07827661299004</v>
      </c>
      <c r="R5" s="32"/>
    </row>
    <row r="6" spans="1:18">
      <c r="A6" s="32" t="s">
        <v>53</v>
      </c>
      <c r="B6" s="37">
        <f>B26</f>
        <v>1717.0994189999999</v>
      </c>
      <c r="C6" s="33"/>
      <c r="D6" s="37">
        <f>IF(ISERROR(TER_kantoor_gas_kWh/1000),0,TER_kantoor_gas_kWh/1000)*0.903</f>
        <v>2347.07672409</v>
      </c>
      <c r="E6" s="33">
        <f>$C$26*'E Balans VL '!I12/100/3.6*1000000</f>
        <v>0.40913418059571882</v>
      </c>
      <c r="F6" s="33">
        <f>$C$26*('E Balans VL '!L12+'E Balans VL '!N12)/100/3.6*1000000</f>
        <v>149.14690550181973</v>
      </c>
      <c r="G6" s="34"/>
      <c r="H6" s="33"/>
      <c r="I6" s="33"/>
      <c r="J6" s="33">
        <f>$C$26*('E Balans VL '!D12+'E Balans VL '!E12)/100/3.6*1000000</f>
        <v>0</v>
      </c>
      <c r="K6" s="33"/>
      <c r="L6" s="33"/>
      <c r="M6" s="33"/>
      <c r="N6" s="33">
        <f>$C$26*'E Balans VL '!Y12/100/3.6*1000000</f>
        <v>2.2951435960440087</v>
      </c>
      <c r="O6" s="33"/>
      <c r="P6" s="33"/>
      <c r="R6" s="32"/>
    </row>
    <row r="7" spans="1:18">
      <c r="A7" s="32" t="s">
        <v>52</v>
      </c>
      <c r="B7" s="37">
        <f t="shared" ref="B7:B12" si="0">B27</f>
        <v>949.672507</v>
      </c>
      <c r="C7" s="33"/>
      <c r="D7" s="37">
        <f>IF(ISERROR(TER_horeca_gas_kWh/1000),0,TER_horeca_gas_kWh/1000)*0.903</f>
        <v>2674.8336892620005</v>
      </c>
      <c r="E7" s="33">
        <f>$C$27*'E Balans VL '!I9/100/3.6*1000000</f>
        <v>0</v>
      </c>
      <c r="F7" s="33">
        <f>$C$27*('E Balans VL '!L9+'E Balans VL '!N9)/100/3.6*1000000</f>
        <v>77.381122703175819</v>
      </c>
      <c r="G7" s="34"/>
      <c r="H7" s="33"/>
      <c r="I7" s="33"/>
      <c r="J7" s="33">
        <f>$C$27*('E Balans VL '!D9+'E Balans VL '!E9)/100/3.6*1000000</f>
        <v>0</v>
      </c>
      <c r="K7" s="33"/>
      <c r="L7" s="33"/>
      <c r="M7" s="33"/>
      <c r="N7" s="33">
        <f>$C$27*'E Balans VL '!Y9/100/3.6*1000000</f>
        <v>0.26304160405281796</v>
      </c>
      <c r="O7" s="33"/>
      <c r="P7" s="33"/>
      <c r="R7" s="32"/>
    </row>
    <row r="8" spans="1:18">
      <c r="A8" s="6" t="s">
        <v>51</v>
      </c>
      <c r="B8" s="37">
        <f t="shared" si="0"/>
        <v>5264.1806079999997</v>
      </c>
      <c r="C8" s="33"/>
      <c r="D8" s="37">
        <f>IF(ISERROR(TER_handel_gas_kWh/1000),0,TER_handel_gas_kWh/1000)*0.903</f>
        <v>3581.1599078220002</v>
      </c>
      <c r="E8" s="33">
        <f>$C$28*'E Balans VL '!I13/100/3.6*1000000</f>
        <v>42.079830957878563</v>
      </c>
      <c r="F8" s="33">
        <f>$C$28*('E Balans VL '!L13+'E Balans VL '!N13)/100/3.6*1000000</f>
        <v>522.9636193488617</v>
      </c>
      <c r="G8" s="34"/>
      <c r="H8" s="33"/>
      <c r="I8" s="33"/>
      <c r="J8" s="33">
        <f>$C$28*('E Balans VL '!D13+'E Balans VL '!E13)/100/3.6*1000000</f>
        <v>0</v>
      </c>
      <c r="K8" s="33"/>
      <c r="L8" s="33"/>
      <c r="M8" s="33"/>
      <c r="N8" s="33">
        <f>$C$28*'E Balans VL '!Y13/100/3.6*1000000</f>
        <v>1.9664848019751195</v>
      </c>
      <c r="O8" s="33"/>
      <c r="P8" s="33"/>
      <c r="R8" s="32"/>
    </row>
    <row r="9" spans="1:18">
      <c r="A9" s="32" t="s">
        <v>50</v>
      </c>
      <c r="B9" s="37">
        <f t="shared" si="0"/>
        <v>631.93310800000006</v>
      </c>
      <c r="C9" s="33"/>
      <c r="D9" s="37">
        <f>IF(ISERROR(TER_gezond_gas_kWh/1000),0,TER_gezond_gas_kWh/1000)*0.903</f>
        <v>1057.361181345</v>
      </c>
      <c r="E9" s="33">
        <f>$C$29*'E Balans VL '!I10/100/3.6*1000000</f>
        <v>0</v>
      </c>
      <c r="F9" s="33">
        <f>$C$29*('E Balans VL '!L10+'E Balans VL '!N10)/100/3.6*1000000</f>
        <v>57.611000584433384</v>
      </c>
      <c r="G9" s="34"/>
      <c r="H9" s="33"/>
      <c r="I9" s="33"/>
      <c r="J9" s="33">
        <f>$C$29*('E Balans VL '!D10+'E Balans VL '!E10)/100/3.6*1000000</f>
        <v>0</v>
      </c>
      <c r="K9" s="33"/>
      <c r="L9" s="33"/>
      <c r="M9" s="33"/>
      <c r="N9" s="33">
        <f>$C$29*'E Balans VL '!Y10/100/3.6*1000000</f>
        <v>4.6188647062782948</v>
      </c>
      <c r="O9" s="33"/>
      <c r="P9" s="33"/>
      <c r="R9" s="32"/>
    </row>
    <row r="10" spans="1:18">
      <c r="A10" s="32" t="s">
        <v>49</v>
      </c>
      <c r="B10" s="37">
        <f t="shared" si="0"/>
        <v>1520.7311280000001</v>
      </c>
      <c r="C10" s="33"/>
      <c r="D10" s="37">
        <f>IF(ISERROR(TER_ander_gas_kWh/1000),0,TER_ander_gas_kWh/1000)*0.903</f>
        <v>655.01830163700004</v>
      </c>
      <c r="E10" s="33">
        <f>$C$30*'E Balans VL '!I14/100/3.6*1000000</f>
        <v>19.715526478941587</v>
      </c>
      <c r="F10" s="33">
        <f>$C$30*('E Balans VL '!L14+'E Balans VL '!N14)/100/3.6*1000000</f>
        <v>1394.7239590804195</v>
      </c>
      <c r="G10" s="34"/>
      <c r="H10" s="33"/>
      <c r="I10" s="33"/>
      <c r="J10" s="33">
        <f>$C$30*('E Balans VL '!D14+'E Balans VL '!E14)/100/3.6*1000000</f>
        <v>1.5380936373239729E-2</v>
      </c>
      <c r="K10" s="33"/>
      <c r="L10" s="33"/>
      <c r="M10" s="33"/>
      <c r="N10" s="33">
        <f>$C$30*'E Balans VL '!Y14/100/3.6*1000000</f>
        <v>581.59531757514799</v>
      </c>
      <c r="O10" s="33"/>
      <c r="P10" s="33"/>
      <c r="R10" s="32"/>
    </row>
    <row r="11" spans="1:18">
      <c r="A11" s="32" t="s">
        <v>54</v>
      </c>
      <c r="B11" s="37">
        <f t="shared" si="0"/>
        <v>168.95172500000001</v>
      </c>
      <c r="C11" s="33"/>
      <c r="D11" s="37">
        <f>IF(ISERROR(TER_onderwijs_gas_kWh/1000),0,TER_onderwijs_gas_kWh/1000)*0.903</f>
        <v>0</v>
      </c>
      <c r="E11" s="33">
        <f>$C$31*'E Balans VL '!I11/100/3.6*1000000</f>
        <v>0</v>
      </c>
      <c r="F11" s="33">
        <f>$C$31*('E Balans VL '!L11+'E Balans VL '!N11)/100/3.6*1000000</f>
        <v>6.6199793695638744</v>
      </c>
      <c r="G11" s="34"/>
      <c r="H11" s="33"/>
      <c r="I11" s="33"/>
      <c r="J11" s="33">
        <f>$C$31*('E Balans VL '!D11+'E Balans VL '!E11)/100/3.6*1000000</f>
        <v>0</v>
      </c>
      <c r="K11" s="33"/>
      <c r="L11" s="33"/>
      <c r="M11" s="33"/>
      <c r="N11" s="33">
        <f>$C$31*'E Balans VL '!Y11/100/3.6*1000000</f>
        <v>0.53207072540522016</v>
      </c>
      <c r="O11" s="33"/>
      <c r="P11" s="33"/>
      <c r="R11" s="32"/>
    </row>
    <row r="12" spans="1:18">
      <c r="A12" s="32" t="s">
        <v>249</v>
      </c>
      <c r="B12" s="37">
        <f t="shared" si="0"/>
        <v>0</v>
      </c>
      <c r="C12" s="33"/>
      <c r="D12" s="37">
        <f>IF(ISERROR(TER_rest_gas_kWh/1000),0,TER_rest_gas_kWh/1000)*0.903</f>
        <v>63.831496070999997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10252.568495</v>
      </c>
      <c r="C16" s="21">
        <f t="shared" ca="1" si="1"/>
        <v>0</v>
      </c>
      <c r="D16" s="21">
        <f t="shared" ca="1" si="1"/>
        <v>10379.281300227</v>
      </c>
      <c r="E16" s="21">
        <f t="shared" si="1"/>
        <v>62.204491617415869</v>
      </c>
      <c r="F16" s="21">
        <f t="shared" ca="1" si="1"/>
        <v>2208.4465865882739</v>
      </c>
      <c r="G16" s="21">
        <f t="shared" si="1"/>
        <v>0</v>
      </c>
      <c r="H16" s="21">
        <f t="shared" si="1"/>
        <v>0</v>
      </c>
      <c r="I16" s="21">
        <f t="shared" si="1"/>
        <v>0</v>
      </c>
      <c r="J16" s="21">
        <f t="shared" si="1"/>
        <v>1.5380936373239729E-2</v>
      </c>
      <c r="K16" s="21">
        <f t="shared" si="1"/>
        <v>0</v>
      </c>
      <c r="L16" s="21">
        <f t="shared" ca="1" si="1"/>
        <v>0</v>
      </c>
      <c r="M16" s="21">
        <f t="shared" si="1"/>
        <v>0</v>
      </c>
      <c r="N16" s="21">
        <f t="shared" ca="1" si="1"/>
        <v>591.27092300890342</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0.19172985634428838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1965.7234847063269</v>
      </c>
      <c r="C20" s="23">
        <f t="shared" ref="C20:P20" ca="1" si="2">C16*C18</f>
        <v>0</v>
      </c>
      <c r="D20" s="23">
        <f t="shared" ca="1" si="2"/>
        <v>2096.614822645854</v>
      </c>
      <c r="E20" s="23">
        <f t="shared" si="2"/>
        <v>14.120419597153402</v>
      </c>
      <c r="F20" s="23">
        <f t="shared" ca="1" si="2"/>
        <v>589.65523861906922</v>
      </c>
      <c r="G20" s="23">
        <f t="shared" si="2"/>
        <v>0</v>
      </c>
      <c r="H20" s="23">
        <f t="shared" si="2"/>
        <v>0</v>
      </c>
      <c r="I20" s="23">
        <f t="shared" si="2"/>
        <v>0</v>
      </c>
      <c r="J20" s="23">
        <f t="shared" si="2"/>
        <v>5.4448514761268633E-3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1717.0994189999999</v>
      </c>
      <c r="C26" s="39">
        <f>IF(ISERROR(B26*3.6/1000000/'E Balans VL '!Z12*100),0,B26*3.6/1000000/'E Balans VL '!Z12*100)</f>
        <v>4.9263420743286573E-2</v>
      </c>
      <c r="D26" s="233" t="s">
        <v>835</v>
      </c>
      <c r="F26" s="6"/>
    </row>
    <row r="27" spans="1:18" ht="30">
      <c r="A27" s="228" t="s">
        <v>52</v>
      </c>
      <c r="B27" s="33">
        <f>IF(ISERROR(TER_horeca_ele_kWh/1000),0,TER_horeca_ele_kWh/1000)</f>
        <v>949.672507</v>
      </c>
      <c r="C27" s="39">
        <f>IF(ISERROR(B27*3.6/1000000/'E Balans VL '!Z9*100),0,B27*3.6/1000000/'E Balans VL '!Z9*100)</f>
        <v>6.9573344080657865E-2</v>
      </c>
      <c r="D27" s="233" t="s">
        <v>835</v>
      </c>
      <c r="F27" s="6"/>
    </row>
    <row r="28" spans="1:18" ht="30">
      <c r="A28" s="168" t="s">
        <v>51</v>
      </c>
      <c r="B28" s="33">
        <f>IF(ISERROR(TER_handel_ele_kWh/1000),0,TER_handel_ele_kWh/1000)</f>
        <v>5264.1806079999997</v>
      </c>
      <c r="C28" s="39">
        <f>IF(ISERROR(B28*3.6/1000000/'E Balans VL '!Z13*100),0,B28*3.6/1000000/'E Balans VL '!Z13*100)</f>
        <v>0.16266762086737044</v>
      </c>
      <c r="D28" s="233" t="s">
        <v>835</v>
      </c>
      <c r="F28" s="6"/>
    </row>
    <row r="29" spans="1:18" ht="30">
      <c r="A29" s="228" t="s">
        <v>50</v>
      </c>
      <c r="B29" s="33">
        <f>IF(ISERROR(TER_gezond_ele_kWh/1000),0,TER_gezond_ele_kWh/1000)</f>
        <v>631.93310800000006</v>
      </c>
      <c r="C29" s="39">
        <f>IF(ISERROR(B29*3.6/1000000/'E Balans VL '!Z10*100),0,B29*3.6/1000000/'E Balans VL '!Z10*100)</f>
        <v>6.1933330312243323E-2</v>
      </c>
      <c r="D29" s="233" t="s">
        <v>835</v>
      </c>
      <c r="F29" s="6"/>
    </row>
    <row r="30" spans="1:18" ht="30">
      <c r="A30" s="228" t="s">
        <v>49</v>
      </c>
      <c r="B30" s="33">
        <f>IF(ISERROR(TER_ander_ele_kWh/1000),0,TER_ander_ele_kWh/1000)</f>
        <v>1520.7311280000001</v>
      </c>
      <c r="C30" s="39">
        <f>IF(ISERROR(B30*3.6/1000000/'E Balans VL '!Z14*100),0,B30*3.6/1000000/'E Balans VL '!Z14*100)</f>
        <v>6.2993596067876023E-2</v>
      </c>
      <c r="D30" s="233" t="s">
        <v>835</v>
      </c>
      <c r="F30" s="6"/>
    </row>
    <row r="31" spans="1:18" ht="30">
      <c r="A31" s="228" t="s">
        <v>54</v>
      </c>
      <c r="B31" s="33">
        <f>IF(ISERROR(TER_onderwijs_ele_kWh/1000),0,TER_onderwijs_ele_kWh/1000)</f>
        <v>168.95172500000001</v>
      </c>
      <c r="C31" s="39">
        <f>IF(ISERROR(B31*3.6/1000000/'E Balans VL '!Z11*100),0,B31*3.6/1000000/'E Balans VL '!Z11*100)</f>
        <v>5.1913728517392052E-2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1989.7166650000001</v>
      </c>
      <c r="C5" s="17">
        <f>IF(ISERROR('Eigen informatie GS &amp; warmtenet'!B61),0,'Eigen informatie GS &amp; warmtenet'!B61)</f>
        <v>0</v>
      </c>
      <c r="D5" s="30">
        <f>SUM(D6:D15)</f>
        <v>1343.6576139839999</v>
      </c>
      <c r="E5" s="17">
        <f>SUM(E6:E15)</f>
        <v>6.4510370688392138</v>
      </c>
      <c r="F5" s="17">
        <f>SUM(F6:F15)</f>
        <v>440.37468411705476</v>
      </c>
      <c r="G5" s="18"/>
      <c r="H5" s="17"/>
      <c r="I5" s="17"/>
      <c r="J5" s="17">
        <f>SUM(J6:J15)</f>
        <v>0.38843612643076408</v>
      </c>
      <c r="K5" s="17"/>
      <c r="L5" s="17"/>
      <c r="M5" s="17"/>
      <c r="N5" s="17">
        <f>SUM(N6:N15)</f>
        <v>69.863870037539812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442.03933599999999</v>
      </c>
      <c r="C8" s="33"/>
      <c r="D8" s="37">
        <f>IF( ISERROR(IND_metaal_Gas_kWH/1000),0,IND_metaal_Gas_kWH/1000)*0.903</f>
        <v>0</v>
      </c>
      <c r="E8" s="33">
        <f>C30*'E Balans VL '!I18/100/3.6*1000000</f>
        <v>2.4096253598733766</v>
      </c>
      <c r="F8" s="33">
        <f>C30*'E Balans VL '!L18/100/3.6*1000000+C30*'E Balans VL '!N18/100/3.6*1000000</f>
        <v>28.467367002558664</v>
      </c>
      <c r="G8" s="34"/>
      <c r="H8" s="33"/>
      <c r="I8" s="33"/>
      <c r="J8" s="40">
        <f>C30*'E Balans VL '!D18/100/3.6*1000000+C30*'E Balans VL '!E18/100/3.6*1000000</f>
        <v>0.36208413543848406</v>
      </c>
      <c r="K8" s="33"/>
      <c r="L8" s="33"/>
      <c r="M8" s="33"/>
      <c r="N8" s="33">
        <f>C30*'E Balans VL '!Y18/100/3.6*1000000</f>
        <v>9.5499677560582086</v>
      </c>
      <c r="O8" s="33"/>
      <c r="P8" s="33"/>
      <c r="R8" s="32"/>
    </row>
    <row r="9" spans="1:18">
      <c r="A9" s="6" t="s">
        <v>32</v>
      </c>
      <c r="B9" s="37">
        <f t="shared" si="0"/>
        <v>609.26358600000003</v>
      </c>
      <c r="C9" s="33"/>
      <c r="D9" s="37">
        <f>IF( ISERROR(IND_andere_gas_kWh/1000),0,IND_andere_gas_kWh/1000)*0.903</f>
        <v>790.53559861500003</v>
      </c>
      <c r="E9" s="33">
        <f>C31*'E Balans VL '!I19/100/3.6*1000000</f>
        <v>1.9668066135352253</v>
      </c>
      <c r="F9" s="33">
        <f>C31*'E Balans VL '!L19/100/3.6*1000000+C31*'E Balans VL '!N19/100/3.6*1000000</f>
        <v>393.95461746417021</v>
      </c>
      <c r="G9" s="34"/>
      <c r="H9" s="33"/>
      <c r="I9" s="33"/>
      <c r="J9" s="40">
        <f>C31*'E Balans VL '!D19/100/3.6*1000000+C31*'E Balans VL '!E19/100/3.6*1000000</f>
        <v>0</v>
      </c>
      <c r="K9" s="33"/>
      <c r="L9" s="33"/>
      <c r="M9" s="33"/>
      <c r="N9" s="33">
        <f>C31*'E Balans VL '!Y19/100/3.6*1000000</f>
        <v>24.619637749098381</v>
      </c>
      <c r="O9" s="33"/>
      <c r="P9" s="33"/>
      <c r="R9" s="32"/>
    </row>
    <row r="10" spans="1:18">
      <c r="A10" s="6" t="s">
        <v>40</v>
      </c>
      <c r="B10" s="37">
        <f t="shared" si="0"/>
        <v>894.667281</v>
      </c>
      <c r="C10" s="33"/>
      <c r="D10" s="37">
        <f>IF( ISERROR(IND_voed_gas_kWh/1000),0,IND_voed_gas_kWh/1000)*0.903</f>
        <v>383.79075735000004</v>
      </c>
      <c r="E10" s="33">
        <f>C32*'E Balans VL '!I20/100/3.6*1000000</f>
        <v>1.8754418802709851</v>
      </c>
      <c r="F10" s="33">
        <f>C32*'E Balans VL '!L20/100/3.6*1000000+C32*'E Balans VL '!N20/100/3.6*1000000</f>
        <v>17.431210494098892</v>
      </c>
      <c r="G10" s="34"/>
      <c r="H10" s="33"/>
      <c r="I10" s="33"/>
      <c r="J10" s="40">
        <f>C32*'E Balans VL '!D20/100/3.6*1000000+C32*'E Balans VL '!E20/100/3.6*1000000</f>
        <v>0</v>
      </c>
      <c r="K10" s="33"/>
      <c r="L10" s="33"/>
      <c r="M10" s="33"/>
      <c r="N10" s="33">
        <f>C32*'E Balans VL '!Y20/100/3.6*1000000</f>
        <v>35.587384056957482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40.363502999999994</v>
      </c>
      <c r="C13" s="33"/>
      <c r="D13" s="37">
        <f>IF( ISERROR(IND_papier_gas_kWh/1000),0,IND_papier_gas_kWh/1000)*0.903</f>
        <v>98.215004496000006</v>
      </c>
      <c r="E13" s="33">
        <f>C35*'E Balans VL '!I23/100/3.6*1000000</f>
        <v>0</v>
      </c>
      <c r="F13" s="33">
        <f>C35*'E Balans VL '!L23/100/3.6*1000000+C35*'E Balans VL '!N23/100/3.6*1000000</f>
        <v>5.4068184794596264E-3</v>
      </c>
      <c r="G13" s="34"/>
      <c r="H13" s="33"/>
      <c r="I13" s="33"/>
      <c r="J13" s="40">
        <f>C35*'E Balans VL '!D23/100/3.6*1000000+C35*'E Balans VL '!E23/100/3.6*1000000</f>
        <v>7.9841548593749603E-3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3.382959</v>
      </c>
      <c r="C15" s="33"/>
      <c r="D15" s="37">
        <f>IF( ISERROR(IND_rest_gas_kWh/1000),0,IND_rest_gas_kWh/1000)*0.903</f>
        <v>71.116253522999997</v>
      </c>
      <c r="E15" s="33">
        <f>C37*'E Balans VL '!I15/100/3.6*1000000</f>
        <v>0.19916321515962621</v>
      </c>
      <c r="F15" s="33">
        <f>C37*'E Balans VL '!L15/100/3.6*1000000+C37*'E Balans VL '!N15/100/3.6*1000000</f>
        <v>0.51608233774753842</v>
      </c>
      <c r="G15" s="34"/>
      <c r="H15" s="33"/>
      <c r="I15" s="33"/>
      <c r="J15" s="40">
        <f>C37*'E Balans VL '!D15/100/3.6*1000000+C37*'E Balans VL '!E15/100/3.6*1000000</f>
        <v>1.8367836132905043E-2</v>
      </c>
      <c r="K15" s="33"/>
      <c r="L15" s="33"/>
      <c r="M15" s="33"/>
      <c r="N15" s="33">
        <f>C37*'E Balans VL '!Y15/100/3.6*1000000</f>
        <v>0.10688047542574673</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1989.7166650000001</v>
      </c>
      <c r="C18" s="21">
        <f>C5+C16</f>
        <v>0</v>
      </c>
      <c r="D18" s="21">
        <f>MAX((D5+D16),0)</f>
        <v>1343.6576139839999</v>
      </c>
      <c r="E18" s="21">
        <f>MAX((E5+E16),0)</f>
        <v>6.4510370688392138</v>
      </c>
      <c r="F18" s="21">
        <f>MAX((F5+F16),0)</f>
        <v>440.37468411705476</v>
      </c>
      <c r="G18" s="21"/>
      <c r="H18" s="21"/>
      <c r="I18" s="21"/>
      <c r="J18" s="21">
        <f>MAX((J5+J16),0)</f>
        <v>0.38843612643076408</v>
      </c>
      <c r="K18" s="21"/>
      <c r="L18" s="21">
        <f>MAX((L5+L16),0)</f>
        <v>0</v>
      </c>
      <c r="M18" s="21"/>
      <c r="N18" s="21">
        <f>MAX((N5+N16),0)</f>
        <v>69.863870037539812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0.19172985634428838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381.48809034628658</v>
      </c>
      <c r="C22" s="23">
        <f ca="1">C18*C20</f>
        <v>0</v>
      </c>
      <c r="D22" s="23">
        <f>D18*D20</f>
        <v>271.41883802476798</v>
      </c>
      <c r="E22" s="23">
        <f>E18*E20</f>
        <v>1.4643854146265016</v>
      </c>
      <c r="F22" s="23">
        <f>F18*F20</f>
        <v>117.58004065925363</v>
      </c>
      <c r="G22" s="23"/>
      <c r="H22" s="23"/>
      <c r="I22" s="23"/>
      <c r="J22" s="23">
        <f>J18*J20</f>
        <v>0.13750638875649049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442.03933599999999</v>
      </c>
      <c r="C30" s="39">
        <f>IF(ISERROR(B30*3.6/1000000/'E Balans VL '!Z18*100),0,B30*3.6/1000000/'E Balans VL '!Z18*100)</f>
        <v>2.661839672408713E-2</v>
      </c>
      <c r="D30" s="233" t="s">
        <v>835</v>
      </c>
    </row>
    <row r="31" spans="1:18" ht="30">
      <c r="A31" s="6" t="s">
        <v>32</v>
      </c>
      <c r="B31" s="37">
        <f>IF( ISERROR(IND_ander_ele_kWh/1000),0,IND_ander_ele_kWh/1000)</f>
        <v>609.26358600000003</v>
      </c>
      <c r="C31" s="39">
        <f>IF(ISERROR(B31*3.6/1000000/'E Balans VL '!Z19*100),0,B31*3.6/1000000/'E Balans VL '!Z19*100)</f>
        <v>2.4822659814417426E-2</v>
      </c>
      <c r="D31" s="233" t="s">
        <v>835</v>
      </c>
    </row>
    <row r="32" spans="1:18" ht="30">
      <c r="A32" s="168" t="s">
        <v>40</v>
      </c>
      <c r="B32" s="37">
        <f>IF( ISERROR(IND_voed_ele_kWh/1000),0,IND_voed_ele_kWh/1000)</f>
        <v>894.667281</v>
      </c>
      <c r="C32" s="39">
        <f>IF(ISERROR(B32*3.6/1000000/'E Balans VL '!Z20*100),0,B32*3.6/1000000/'E Balans VL '!Z20*100)</f>
        <v>2.5868431503881378E-2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40.363502999999994</v>
      </c>
      <c r="C35" s="39">
        <f>IF(ISERROR(B35*3.6/1000000/'E Balans VL '!Z22*100),0,B35*3.6/1000000/'E Balans VL '!Z22*100)</f>
        <v>1.723484071329413E-2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3.382959</v>
      </c>
      <c r="C37" s="39">
        <f>IF(ISERROR(B37*3.6/1000000/'E Balans VL '!Z15*100),0,B37*3.6/1000000/'E Balans VL '!Z15*100)</f>
        <v>2.7776655716121147E-5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3131.881018</v>
      </c>
      <c r="C5" s="17">
        <f>'Eigen informatie GS &amp; warmtenet'!B62</f>
        <v>0</v>
      </c>
      <c r="D5" s="30">
        <f>IF(ISERROR(SUM(LB_lb_gas_kWh,LB_rest_gas_kWh)/1000),0,SUM(LB_lb_gas_kWh,LB_rest_gas_kWh)/1000)*0.903</f>
        <v>119.659108065</v>
      </c>
      <c r="E5" s="17">
        <f>B17*'E Balans VL '!I25/3.6*1000000/100</f>
        <v>89.702372468544297</v>
      </c>
      <c r="F5" s="17">
        <f>B17*('E Balans VL '!L25/3.6*1000000+'E Balans VL '!N25/3.6*1000000)/100</f>
        <v>9913.9174897114153</v>
      </c>
      <c r="G5" s="18"/>
      <c r="H5" s="17"/>
      <c r="I5" s="17"/>
      <c r="J5" s="17">
        <f>('E Balans VL '!D25+'E Balans VL '!E25)/3.6*1000000*landbouw!B17/100</f>
        <v>796.33899432198518</v>
      </c>
      <c r="K5" s="17"/>
      <c r="L5" s="17">
        <f>L6*(-1)</f>
        <v>0</v>
      </c>
      <c r="M5" s="17"/>
      <c r="N5" s="17">
        <f>N6*(-1)</f>
        <v>124.71428571428569</v>
      </c>
      <c r="O5" s="17"/>
      <c r="P5" s="17"/>
      <c r="R5" s="32"/>
    </row>
    <row r="6" spans="1:18">
      <c r="A6" s="16" t="s">
        <v>467</v>
      </c>
      <c r="B6" s="17" t="s">
        <v>204</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3131.881018</v>
      </c>
      <c r="C8" s="21">
        <f>C5+C6</f>
        <v>62.357142857142847</v>
      </c>
      <c r="D8" s="21">
        <f>MAX((D5+D6),0)</f>
        <v>119.659108065</v>
      </c>
      <c r="E8" s="21">
        <f>MAX((E5+E6),0)</f>
        <v>89.702372468544297</v>
      </c>
      <c r="F8" s="21">
        <f>MAX((F5+F6),0)</f>
        <v>9913.9174897114153</v>
      </c>
      <c r="G8" s="21"/>
      <c r="H8" s="21"/>
      <c r="I8" s="21"/>
      <c r="J8" s="21">
        <f>MAX((J5+J6),0)</f>
        <v>796.33899432198518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0.19172985634428838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600.47509766854364</v>
      </c>
      <c r="C12" s="23">
        <f ca="1">C8*C10</f>
        <v>0</v>
      </c>
      <c r="D12" s="23">
        <f>D8*D10</f>
        <v>24.171139829130002</v>
      </c>
      <c r="E12" s="23">
        <f>E8*E10</f>
        <v>20.362438550359556</v>
      </c>
      <c r="F12" s="23">
        <f>F8*F10</f>
        <v>2647.015969752948</v>
      </c>
      <c r="G12" s="23"/>
      <c r="H12" s="23"/>
      <c r="I12" s="23"/>
      <c r="J12" s="23">
        <f>J8*J10</f>
        <v>281.90400398998275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0.43369447270693351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646.58739641004092</v>
      </c>
      <c r="C26" s="243">
        <f>B26*'GWP N2O_CH4'!B5</f>
        <v>13578.33532461086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473.00218668857519</v>
      </c>
      <c r="C27" s="243">
        <f>B27*'GWP N2O_CH4'!B5</f>
        <v>9933.0459204600793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9.4301976479998153</v>
      </c>
      <c r="C28" s="243">
        <f>B28*'GWP N2O_CH4'!B4</f>
        <v>2923.3612708799428</v>
      </c>
      <c r="D28" s="50"/>
    </row>
    <row r="29" spans="1:4">
      <c r="A29" s="41" t="s">
        <v>266</v>
      </c>
      <c r="B29" s="243">
        <f>B34*'ha_N2O bodem landbouw'!B4</f>
        <v>19.66228077667499</v>
      </c>
      <c r="C29" s="243">
        <f>B29*'GWP N2O_CH4'!B4</f>
        <v>6095.3070407692467</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4.4669182911614355E-3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2.4967882089732476E-4</v>
      </c>
      <c r="C5" s="432" t="s">
        <v>204</v>
      </c>
      <c r="D5" s="417">
        <f>SUM(D6:D11)</f>
        <v>5.3075268895586979E-4</v>
      </c>
      <c r="E5" s="417">
        <f>SUM(E6:E11)</f>
        <v>2.032344037335406E-4</v>
      </c>
      <c r="F5" s="430" t="s">
        <v>204</v>
      </c>
      <c r="G5" s="417">
        <f>SUM(G6:G11)</f>
        <v>7.3086555290917371E-2</v>
      </c>
      <c r="H5" s="417">
        <f>SUM(H6:H11)</f>
        <v>2.5833879266577833E-2</v>
      </c>
      <c r="I5" s="432" t="s">
        <v>204</v>
      </c>
      <c r="J5" s="432" t="s">
        <v>204</v>
      </c>
      <c r="K5" s="432" t="s">
        <v>204</v>
      </c>
      <c r="L5" s="432" t="s">
        <v>204</v>
      </c>
      <c r="M5" s="417">
        <f>SUM(M6:M11)</f>
        <v>6.0279126027755862E-3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6.2558864664813917E-5</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1.0430353598656957E-4</v>
      </c>
      <c r="E6" s="884">
        <f>vkm_GW_PW*SUMIFS(TableVerdeelsleutelVkm[LPG],TableVerdeelsleutelVkm[Voertuigtype],"Lichte voertuigen")*SUMIFS(TableECFTransport[EnergieConsumptieFactor (PJ per km)],TableECFTransport[Index],CONCATENATE($A6,"_LPG_LPG"))</f>
        <v>4.135210976645012E-5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1.2427347768020442E-2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5.1152279616426622E-3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1.0761852864016451E-3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2.1656004706782724E-7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8.5845767658905194E-3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6.3341750777204933E-8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4.9291188014025903E-4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1.8675624670532837E-4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4.2644915296930017E-4</v>
      </c>
      <c r="E8" s="420">
        <f>vkm_NGW_PW*SUMIFS(TableVerdeelsleutelVkm[LPG],TableVerdeelsleutelVkm[Voertuigtype],"Lichte voertuigen")*SUMIFS(TableECFTransport[EnergieConsumptieFactor (PJ per km)],TableECFTransport[Index],CONCATENATE($A8,"_LPG_LPG"))</f>
        <v>1.6188229396709049E-4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4.4562971080028033E-2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2.0718536013022617E-2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4.027508887235842E-3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1.4714948011465529E-7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7.5116596769783852E-3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5.1950161776323365E-8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4.3130654899783938E-4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69.355228027034656</v>
      </c>
      <c r="C14" s="21"/>
      <c r="D14" s="21">
        <f t="shared" ref="D14:M14" si="0">((D5)*10^9/3600)+D12</f>
        <v>147.43130248774159</v>
      </c>
      <c r="E14" s="21">
        <f t="shared" si="0"/>
        <v>56.454001037094613</v>
      </c>
      <c r="F14" s="21"/>
      <c r="G14" s="21">
        <f t="shared" si="0"/>
        <v>20301.820914143715</v>
      </c>
      <c r="H14" s="21">
        <f t="shared" si="0"/>
        <v>7176.0775740493982</v>
      </c>
      <c r="I14" s="21"/>
      <c r="J14" s="21"/>
      <c r="K14" s="21"/>
      <c r="L14" s="21"/>
      <c r="M14" s="21">
        <f t="shared" si="0"/>
        <v>1674.4201674376627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0.19172985634428838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13.297467906348718</v>
      </c>
      <c r="C18" s="23"/>
      <c r="D18" s="23">
        <f t="shared" ref="D18:M18" si="1">D14*D16</f>
        <v>29.781123102523804</v>
      </c>
      <c r="E18" s="23">
        <f t="shared" si="1"/>
        <v>12.815058235420478</v>
      </c>
      <c r="F18" s="23"/>
      <c r="G18" s="23">
        <f t="shared" si="1"/>
        <v>5420.5861840763719</v>
      </c>
      <c r="H18" s="23">
        <f t="shared" si="1"/>
        <v>1786.8433159383001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1.1255002985558859E-5</v>
      </c>
      <c r="C50" s="315">
        <f t="shared" ref="C50:P50" si="2">SUM(C51:C52)</f>
        <v>0</v>
      </c>
      <c r="D50" s="315">
        <f t="shared" si="2"/>
        <v>0</v>
      </c>
      <c r="E50" s="315">
        <f t="shared" si="2"/>
        <v>0</v>
      </c>
      <c r="F50" s="315">
        <f t="shared" si="2"/>
        <v>0</v>
      </c>
      <c r="G50" s="315">
        <f t="shared" si="2"/>
        <v>7.04597213153084E-4</v>
      </c>
      <c r="H50" s="315">
        <f t="shared" si="2"/>
        <v>0</v>
      </c>
      <c r="I50" s="315">
        <f t="shared" si="2"/>
        <v>0</v>
      </c>
      <c r="J50" s="315">
        <f t="shared" si="2"/>
        <v>0</v>
      </c>
      <c r="K50" s="315">
        <f t="shared" si="2"/>
        <v>0</v>
      </c>
      <c r="L50" s="315">
        <f t="shared" si="2"/>
        <v>0</v>
      </c>
      <c r="M50" s="315">
        <f t="shared" si="2"/>
        <v>4.0456411836959358E-5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1.1255002985558859E-5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7.04597213153084E-4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4.0456411836959358E-5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3.126389718210794</v>
      </c>
      <c r="C54" s="21">
        <f t="shared" ref="C54:P54" si="3">(C50)*10^9/3600</f>
        <v>0</v>
      </c>
      <c r="D54" s="21">
        <f t="shared" si="3"/>
        <v>0</v>
      </c>
      <c r="E54" s="21">
        <f t="shared" si="3"/>
        <v>0</v>
      </c>
      <c r="F54" s="21">
        <f t="shared" si="3"/>
        <v>0</v>
      </c>
      <c r="G54" s="21">
        <f t="shared" si="3"/>
        <v>195.72144809807889</v>
      </c>
      <c r="H54" s="21">
        <f t="shared" si="3"/>
        <v>0</v>
      </c>
      <c r="I54" s="21">
        <f t="shared" si="3"/>
        <v>0</v>
      </c>
      <c r="J54" s="21">
        <f t="shared" si="3"/>
        <v>0</v>
      </c>
      <c r="K54" s="21">
        <f t="shared" si="3"/>
        <v>0</v>
      </c>
      <c r="L54" s="21">
        <f t="shared" si="3"/>
        <v>0</v>
      </c>
      <c r="M54" s="21">
        <f t="shared" si="3"/>
        <v>11.237892176933155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0.19172985634428838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0.59942225154881579</v>
      </c>
      <c r="C58" s="23">
        <f t="shared" ref="C58:P58" ca="1" si="4">C54*C56</f>
        <v>0</v>
      </c>
      <c r="D58" s="23">
        <f t="shared" si="4"/>
        <v>0</v>
      </c>
      <c r="E58" s="23">
        <f t="shared" si="4"/>
        <v>0</v>
      </c>
      <c r="F58" s="23">
        <f t="shared" si="4"/>
        <v>0</v>
      </c>
      <c r="G58" s="23">
        <f t="shared" si="4"/>
        <v>52.25762664218707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4168.3297907993783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4211.979790799378</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62.357142857142847</v>
      </c>
      <c r="C17" s="574">
        <f>B49</f>
        <v>0</v>
      </c>
      <c r="D17" s="575"/>
      <c r="E17" s="575">
        <f>E49</f>
        <v>0</v>
      </c>
      <c r="F17" s="576"/>
      <c r="G17" s="577"/>
      <c r="H17" s="574">
        <f>I49</f>
        <v>0</v>
      </c>
      <c r="I17" s="575">
        <f>G49+F49</f>
        <v>0</v>
      </c>
      <c r="J17" s="575">
        <f>H49+D49+C49</f>
        <v>73.361344537815114</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32010</v>
      </c>
      <c r="C28" s="785">
        <v>8680</v>
      </c>
      <c r="D28" s="635"/>
      <c r="E28" s="634"/>
      <c r="F28" s="634"/>
      <c r="G28" s="634" t="s">
        <v>868</v>
      </c>
      <c r="H28" s="634" t="s">
        <v>869</v>
      </c>
      <c r="I28" s="634"/>
      <c r="J28" s="784"/>
      <c r="K28" s="784"/>
      <c r="L28" s="634" t="s">
        <v>870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105</v>
      </c>
      <c r="Z28" s="636" t="s">
        <v>105</v>
      </c>
    </row>
    <row r="29" spans="1:26" s="568" customFormat="1" hidden="1">
      <c r="A29" s="590" t="s">
        <v>269</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2021-11-11T12:16:45Z</dcterms:modified>
</cp:coreProperties>
</file>