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9358D095-0C3B-4B65-A7C7-23979A1E435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3" i="13"/>
  <c r="B35" i="13"/>
  <c r="B34" i="13"/>
  <c r="B36" i="13"/>
  <c r="B32"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2" i="59"/>
  <c r="C29" i="20"/>
  <c r="C20" i="16"/>
  <c r="C22" i="16" s="1"/>
  <c r="D43"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<sst xmlns="http://schemas.openxmlformats.org/spreadsheetml/2006/main" count="2422" uniqueCount="871">
  <si>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</si>
  <si>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</si>
  <si>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</si>
  <si>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</si>
  <si>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</si>
  <si>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</si>
  <si>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</si>
  <si>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</si>
  <si>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</si>
  <si>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</si>
  <si>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</si>
  <si>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</si>
  <si>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</si>
  <si>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</si>
  <si>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</si>
  <si>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</si>
  <si>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</si>
  <si>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</si>
  <si>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</si>
  <si>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</si>
  <si>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</si>
  <si>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</si>
  <si>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</si>
  <si>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</si>
  <si>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</si>
  <si>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</si>
  <si>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</si>
  <si>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</si>
  <si>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</si>
  <si>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</si>
  <si>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</si>
  <si>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</si>
  <si>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</si>
  <si>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</si>
  <si>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</si>
  <si>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</si>
  <si>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</si>
  <si>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</si>
  <si>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</si>
  <si>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</si>
  <si>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</si>
  <si>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</si>
  <si>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</si>
  <si>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</si>
  <si>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</si>
  <si>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</si>
  <si>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</si>
  <si>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</si>
  <si>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</si>
  <si>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</si>
  <si>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</si>
  <si>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</si>
  <si>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</si>
  <si>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</si>
  <si>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</si>
  <si>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</si>
  <si>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</si>
  <si>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</si>
  <si>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</si>
  <si>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</si>
  <si>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</si>
  <si>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</si>
  <si>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</si>
  <si>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</si>
  <si>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</si>
  <si>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</si>
  <si>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</si>
  <si>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</si>
  <si>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</si>
  <si>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</si>
  <si>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</si>
  <si>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</si>
  <si>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</si>
  <si>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</si>
  <si>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</si>
  <si>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</si>
  <si>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</si>
  <si>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</si>
  <si>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</si>
  <si>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</si>
  <si>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</si>
  <si>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</si>
  <si>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</si>
  <si>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</si>
  <si>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</si>
  <si>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</si>
  <si>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</si>
  <si>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</si>
  <si>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</si>
  <si>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</si>
  <si>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</si>
  <si>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</si>
  <si>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</si>
  <si>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</si>
  <si>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</si>
  <si>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</si>
  <si>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</si>
  <si>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</si>
  <si>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</si>
  <si>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</si>
  <si>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</si>
  <si>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</si>
  <si>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</si>
  <si>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</si>
  <si>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</si>
  <si>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</si>
  <si>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</si>
  <si>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</si>
  <si>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</si>
  <si>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</si>
  <si>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</si>
  <si>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</si>
  <si>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</si>
  <si>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</si>
  <si>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</si>
  <si>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</si>
  <si>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</si>
  <si>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</si>
  <si>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</si>
  <si>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</si>
  <si>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</si>
  <si>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</si>
  <si>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</si>
  <si>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</si>
  <si>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</si>
  <si>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</si>
  <si>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</si>
  <si>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</si>
  <si>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</si>
  <si>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</si>
  <si>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</si>
  <si>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</si>
  <si>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</si>
  <si>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</si>
  <si>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</si>
  <si>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</si>
  <si>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</si>
  <si>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</si>
  <si>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</si>
  <si>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</si>
  <si>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</si>
  <si>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</si>
  <si>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</si>
  <si>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</si>
  <si>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</si>
  <si>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</si>
  <si>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</si>
  <si>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</si>
  <si>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</si>
  <si>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</si>
  <si>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</si>
  <si>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</si>
  <si>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</si>
  <si>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</si>
  <si>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</si>
  <si>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</si>
  <si>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</si>
  <si>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</si>
  <si>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</si>
  <si>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</si>
  <si>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</si>
  <si>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</si>
  <si>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</si>
  <si>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</si>
  <si>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</si>
  <si>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</si>
  <si>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</si>
  <si>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</si>
  <si>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</si>
  <si>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</si>
  <si>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</si>
  <si>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</si>
  <si>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</si>
  <si>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</si>
  <si>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</si>
  <si>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</si>
  <si>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</si>
  <si>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</si>
  <si>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</si>
  <si>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</si>
  <si>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</si>
  <si>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</si>
  <si>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</si>
  <si>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</si>
  <si>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</si>
  <si>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</si>
  <si>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</si>
  <si>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</si>
  <si>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</si>
  <si>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</si>
  <si>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</si>
  <si>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</si>
  <si>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</si>
  <si>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</si>
  <si>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</si>
  <si>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</si>
  <si>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</si>
  <si>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</si>
  <si>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</si>
  <si>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</si>
  <si>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</si>
  <si>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</si>
  <si>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</si>
  <si>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</si>
  <si>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</si>
  <si>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</si>
  <si>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</si>
  <si>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</si>
  <si>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</si>
  <si>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</si>
  <si>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</si>
  <si>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</si>
  <si>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</si>
  <si>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</si>
  <si>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</si>
  <si>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</si>
  <si>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</si>
  <si>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</si>
  <si>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</si>
  <si>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</si>
  <si>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</si>
  <si>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</si>
  <si>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</si>
  <si>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</si>
  <si>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</si>
  <si>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</si>
  <si>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</si>
  <si>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</si>
  <si>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</si>
  <si>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</si>
  <si>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</si>
  <si>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</si>
  <si>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</si>
  <si>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</si>
  <si>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</si>
  <si>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</si>
  <si>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</si>
  <si>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</si>
  <si>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</si>
  <si>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</si>
  <si>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</si>
  <si>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</si>
  <si>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</si>
  <si>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</si>
  <si>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</si>
  <si>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</si>
  <si>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</si>
  <si>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</si>
  <si>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</si>
  <si>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</si>
  <si>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</si>
  <si>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</si>
  <si>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</si>
  <si>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</si>
  <si>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</si>
  <si>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</si>
  <si>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</si>
  <si>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</si>
  <si>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</si>
  <si>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</si>
  <si>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</si>
  <si>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</si>
  <si>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</si>
  <si>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</si>
  <si>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</si>
  <si>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</si>
  <si>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</si>
  <si>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</si>
  <si>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</si>
  <si>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</si>
  <si>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</si>
  <si>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</si>
  <si>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</si>
  <si>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</si>
  <si>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</si>
  <si>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</si>
  <si>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</si>
  <si>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</si>
  <si>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</si>
  <si>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</si>
  <si>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</si>
  <si>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</si>
  <si>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</si>
  <si>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</si>
  <si>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</si>
  <si>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</si>
  <si>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</si>
  <si>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</si>
  <si>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</si>
  <si>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</si>
  <si>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</si>
  <si>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</si>
  <si>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</si>
  <si>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</si>
  <si>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</si>
  <si>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</si>
  <si>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</si>
  <si>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</si>
  <si>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</si>
  <si>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</si>
  <si>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</si>
  <si>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</si>
  <si>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</si>
  <si>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</si>
  <si>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</si>
  <si>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</si>
  <si>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</si>
  <si>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</si>
  <si>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</si>
  <si>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</si>
  <si>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</si>
  <si>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</si>
  <si>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</si>
  <si>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</si>
  <si>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</si>
  <si>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</si>
  <si>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</si>
  <si>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</si>
  <si>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</si>
  <si>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</si>
  <si>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</si>
  <si>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</si>
  <si>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</si>
  <si>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</si>
  <si>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</si>
  <si>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</si>
  <si>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</si>
  <si>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</si>
  <si>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</si>
  <si>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</si>
  <si>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</si>
  <si>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</si>
  <si>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</si>
  <si>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</si>
  <si>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</si>
  <si>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</si>
  <si>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</si>
  <si>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</si>
  <si>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</si>
  <si>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</si>
  <si>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</si>
  <si>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</si>
  <si>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</si>
  <si>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</si>
  <si>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</si>
  <si>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</si>
  <si>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</si>
  <si>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</si>
  <si>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</si>
  <si>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</si>
  <si>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</si>
  <si>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</si>
  <si>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</si>
  <si>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</si>
  <si>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</si>
  <si>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</si>
  <si>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</si>
  <si>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</si>
  <si>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</si>
  <si>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</si>
  <si>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</si>
  <si>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</si>
  <si>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</si>
  <si>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</si>
  <si>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</si>
  <si>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</si>
  <si>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</si>
  <si>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</si>
  <si>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</si>
  <si>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</si>
  <si>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</si>
  <si>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</si>
  <si>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</si>
  <si>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</si>
  <si>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</si>
  <si>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</si>
  <si>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</si>
  <si>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</si>
  <si>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</si>
  <si>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</si>
  <si>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</si>
  <si>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</si>
  <si>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</si>
  <si>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</si>
  <si>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</si>
  <si>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</si>
  <si>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</si>
  <si>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</si>
  <si>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</si>
  <si>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</si>
  <si>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</si>
  <si>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</si>
  <si>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</si>
  <si>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</si>
  <si>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</si>
  <si>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</si>
  <si>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</si>
  <si>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</si>
  <si>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</si>
  <si>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</si>
  <si>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</si>
  <si>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</si>
  <si>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</si>
  <si>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</si>
  <si>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</si>
  <si>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</si>
  <si>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</si>
  <si>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</si>
  <si>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</si>
  <si>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</si>
  <si>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</si>
  <si>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</si>
  <si>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</si>
  <si>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</si>
  <si>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</si>
  <si>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</si>
  <si>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</si>
  <si>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</si>
  <si>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</si>
  <si>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</si>
  <si>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</si>
  <si>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</si>
  <si>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</si>
  <si>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</si>
  <si>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</si>
  <si>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</si>
  <si>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</si>
  <si>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</si>
  <si>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</si>
  <si>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</si>
  <si>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</si>
  <si>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</si>
  <si>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</si>
  <si>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</si>
  <si>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</si>
  <si>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</si>
  <si>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</si>
  <si>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</si>
  <si>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</si>
  <si>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</si>
  <si>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</si>
  <si>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</si>
  <si>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</si>
  <si>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</si>
  <si>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</si>
  <si>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</si>
  <si>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</si>
  <si>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</si>
  <si>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</si>
  <si>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</si>
  <si>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</si>
  <si>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</si>
  <si>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</si>
  <si>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</si>
  <si>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</si>
  <si>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</si>
  <si>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</si>
  <si>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</si>
  <si>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</si>
  <si>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</si>
  <si>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</si>
  <si>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</si>
  <si>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</si>
  <si>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</si>
  <si>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</si>
  <si>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</si>
  <si>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</si>
  <si>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</si>
  <si>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</si>
  <si>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</si>
  <si>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</si>
  <si>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</si>
  <si>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</si>
  <si>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</si>
  <si>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</si>
  <si>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</si>
  <si>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</si>
  <si>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</si>
  <si>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</si>
  <si>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</si>
  <si>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</si>
  <si>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</si>
  <si>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</si>
  <si>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</si>
  <si>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</si>
  <si>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</si>
  <si>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</si>
  <si>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</si>
  <si>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</si>
  <si>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</si>
  <si>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</si>
  <si>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</si>
  <si>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</si>
  <si>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</si>
  <si>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</si>
  <si>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</si>
  <si>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</si>
  <si>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</si>
  <si>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</si>
  <si>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</si>
  <si>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</si>
  <si>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</si>
  <si>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</si>
  <si>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</si>
  <si>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</si>
  <si>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</si>
  <si>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</si>
  <si>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</si>
  <si>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</si>
  <si>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</si>
  <si>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</si>
  <si>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</si>
  <si>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</si>
  <si>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</si>
  <si>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</si>
  <si>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</si>
  <si>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</si>
  <si>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</si>
  <si>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</si>
  <si>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</si>
  <si>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</si>
  <si>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</si>
  <si>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</si>
  <si>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</si>
  <si>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</si>
  <si>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</si>
  <si>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</si>
  <si>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</si>
  <si>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</si>
  <si>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</si>
  <si>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</si>
  <si>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</si>
  <si>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</si>
  <si>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</si>
  <si>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</si>
  <si>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</si>
  <si>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</si>
  <si>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</si>
  <si>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</si>
  <si>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</si>
  <si>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</si>
  <si>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</si>
  <si>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</si>
  <si>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</si>
  <si>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</si>
  <si>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</si>
  <si>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</si>
  <si>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</si>
  <si>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</si>
  <si>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</si>
  <si>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</si>
  <si>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</si>
  <si>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</si>
  <si>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</si>
  <si>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</si>
  <si>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</si>
  <si>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</si>
  <si>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</si>
  <si>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</si>
  <si>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</si>
  <si>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</si>
  <si>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</si>
  <si>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</si>
  <si>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</si>
  <si>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</si>
  <si>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</si>
  <si>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</si>
  <si>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</si>
  <si>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</si>
  <si>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</si>
  <si>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</si>
  <si>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</si>
  <si>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</si>
  <si>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</si>
  <si>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</si>
  <si>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</si>
  <si>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</si>
  <si>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</si>
  <si>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</si>
  <si>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</si>
  <si>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</si>
  <si>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</si>
  <si>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</si>
  <si>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</si>
  <si>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</si>
  <si>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</si>
  <si>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</si>
  <si>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</si>
  <si>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</si>
  <si>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</si>
  <si>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</si>
  <si>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</si>
  <si>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</si>
  <si>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</si>
  <si>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</si>
  <si>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</si>
  <si>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</si>
  <si>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</si>
  <si>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</si>
  <si>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</si>
  <si>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</si>
  <si>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</si>
  <si>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</si>
  <si>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</si>
  <si>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</si>
  <si>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</si>
  <si>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</si>
  <si>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</si>
  <si>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</si>
  <si>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</si>
  <si>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</si>
  <si>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</si>
  <si>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</si>
  <si>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</si>
  <si>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</si>
  <si>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</si>
  <si>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</si>
  <si>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</si>
  <si>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</si>
  <si>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</si>
  <si>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</si>
  <si>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</si>
  <si>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</si>
  <si>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</si>
  <si>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</si>
  <si>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</si>
  <si>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</si>
  <si>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</si>
  <si>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</si>
  <si>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</si>
  <si>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</si>
  <si>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</si>
  <si>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</si>
  <si>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</si>
  <si>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</si>
  <si>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</si>
  <si>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</si>
  <si>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</si>
  <si>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</si>
  <si>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</si>
  <si>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</si>
  <si>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</si>
  <si>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</si>
  <si>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</si>
  <si>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</si>
  <si>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</si>
  <si>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</si>
  <si>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</si>
  <si>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</si>
  <si>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</si>
  <si>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</si>
  <si>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</si>
  <si>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</si>
  <si>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</si>
  <si>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</si>
  <si>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</si>
  <si>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</si>
  <si>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</si>
  <si>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</si>
  <si>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</si>
  <si>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</si>
  <si>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</si>
  <si>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</si>
  <si>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</si>
  <si>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</si>
  <si>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</si>
  <si>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</si>
  <si>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</si>
  <si>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</si>
  <si>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</si>
  <si>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</si>
  <si>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</si>
  <si>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</si>
  <si>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</si>
  <si>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</si>
  <si>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</si>
  <si>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</si>
  <si>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</si>
  <si>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</si>
  <si>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</si>
  <si>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</si>
  <si>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</si>
  <si>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</si>
  <si>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</si>
  <si>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</si>
  <si>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</si>
  <si>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</si>
  <si>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</si>
  <si>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</si>
  <si>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</si>
  <si>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</si>
  <si>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</si>
  <si>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</si>
  <si>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</si>
  <si>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</si>
  <si>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</si>
  <si>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</si>
  <si>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</si>
  <si>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</si>
  <si>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</si>
  <si>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</si>
  <si>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</si>
  <si>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</si>
  <si>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</si>
  <si>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</si>
  <si>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</si>
  <si>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</si>
  <si>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</si>
  <si>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</si>
  <si>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</si>
  <si>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</si>
  <si>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</si>
  <si>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</si>
  <si>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</si>
  <si>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</si>
  <si>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</si>
  <si>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</si>
  <si>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</si>
  <si>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</si>
  <si>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</si>
  <si>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</si>
  <si>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</si>
  <si>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</si>
  <si>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</si>
  <si>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</si>
  <si>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</si>
  <si>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</si>
  <si>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</si>
  <si>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</si>
  <si>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</si>
  <si>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</si>
  <si>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</si>
  <si>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</si>
  <si>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</si>
  <si>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</si>
  <si>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</si>
  <si>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</si>
  <si>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</si>
  <si>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</si>
  <si>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</si>
  <si>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</si>
  <si>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</si>
  <si>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</si>
  <si>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</si>
  <si>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</si>
  <si>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</si>
  <si>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</si>
  <si>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</si>
  <si>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</si>
  <si>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</si>
  <si>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</si>
  <si>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</si>
  <si>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</si>
  <si>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</si>
  <si>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</si>
  <si>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</si>
  <si>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</si>
  <si>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</si>
  <si>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</si>
  <si>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</si>
  <si>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</si>
  <si>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</si>
  <si>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</si>
  <si>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</si>
  <si>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</si>
  <si>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</si>
  <si>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</si>
  <si>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</si>
  <si>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</si>
  <si>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</si>
  <si>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</si>
  <si>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</si>
  <si>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</si>
  <si>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</si>
  <si>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</si>
  <si>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</si>
  <si>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</si>
  <si>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</si>
  <si>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</si>
  <si>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</si>
  <si>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</si>
  <si>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</si>
  <si>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</si>
  <si>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</si>
  <si>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</si>
  <si>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</si>
  <si>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</si>
  <si>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</si>
  <si>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</si>
  <si>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</si>
  <si>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</si>
  <si>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</si>
  <si>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</si>
  <si>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</si>
  <si>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</si>
  <si>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</si>
  <si>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</si>
  <si>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</si>
  <si>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</si>
  <si>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</si>
  <si>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</si>
  <si>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</si>
  <si>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</si>
  <si>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</si>
  <si>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</si>
  <si>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</si>
  <si>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</si>
  <si>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</si>
  <si>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</si>
  <si>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</si>
  <si>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</si>
  <si>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</si>
  <si>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</si>
  <si>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</si>
  <si>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</si>
  <si>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</si>
  <si>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</si>
  <si>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</si>
  <si>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</si>
  <si>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</si>
  <si>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</si>
  <si>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</si>
  <si>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</si>
  <si>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</si>
  <si>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</si>
  <si>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</si>
  <si>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</si>
  <si>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</si>
  <si>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</si>
  <si>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</si>
  <si>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</si>
  <si>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</si>
  <si>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</si>
  <si>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</si>
  <si>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</si>
  <si>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</si>
  <si>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</si>
  <si>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</si>
  <si>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</si>
  <si>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</si>
  <si>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</si>
  <si>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</si>
  <si>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</si>
  <si>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</si>
  <si>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</si>
  <si>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</si>
  <si>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</si>
  <si>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</si>
  <si>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</si>
  <si>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</si>
  <si>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</si>
  <si>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</si>
  <si>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</si>
  <si>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</si>
  <si>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</si>
  <si>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</si>
  <si>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</si>
  <si>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</si>
  <si>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</si>
  <si>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</si>
  <si>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</si>
  <si>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</si>
  <si>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</si>
  <si>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</si>
  <si>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24134</t>
  </si>
  <si>
    <t>SCHERPENHEUVEL-ZICHEM</t>
  </si>
  <si>
    <t>referentietaak LNE (2017); Jaarverslag De Lijn</t>
  </si>
  <si>
    <t>waterkracht</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</si>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</sst>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09CBF77B-2818-4943-AD99-B0C414B5F3C7}"/>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202502.93534698014</c:v>
                </c:pt>
                <c:pt idx="1">
                  <c:v>41179.927440987318</c:v>
                </c:pt>
                <c:pt idx="2">
                  <c:v>895.18299999999999</c:v>
                </c:pt>
                <c:pt idx="3">
                  <c:v>5233.3192921552118</c:v>
                </c:pt>
                <c:pt idx="4">
                  <c:v>4139.0455501026818</c:v>
                </c:pt>
                <c:pt idx="5">
                  <c:v>123761.07971795728</c:v>
                </c:pt>
                <c:pt idx="6">
                  <c:v>1003.2731813961065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202502.93534698014</c:v>
                </c:pt>
                <c:pt idx="1">
                  <c:v>41179.927440987318</c:v>
                </c:pt>
                <c:pt idx="2">
                  <c:v>895.18299999999999</c:v>
                </c:pt>
                <c:pt idx="3">
                  <c:v>5233.3192921552118</c:v>
                </c:pt>
                <c:pt idx="4">
                  <c:v>4139.0455501026818</c:v>
                </c:pt>
                <c:pt idx="5">
                  <c:v>123761.07971795728</c:v>
                </c:pt>
                <c:pt idx="6">
                  <c:v>1003.2731813961065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41479.871501307709</c:v>
                </c:pt>
                <c:pt idx="1">
                  <c:v>7639.3831539470366</c:v>
                </c:pt>
                <c:pt idx="2">
                  <c:v>146.93591423095873</c:v>
                </c:pt>
                <c:pt idx="3">
                  <c:v>1256.4367323004178</c:v>
                </c:pt>
                <c:pt idx="4">
                  <c:v>765.14722664703538</c:v>
                </c:pt>
                <c:pt idx="5">
                  <c:v>30605.8959937748</c:v>
                </c:pt>
                <c:pt idx="6">
                  <c:v>252.00913288149479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41479.871501307709</c:v>
                </c:pt>
                <c:pt idx="1">
                  <c:v>7639.3831539470366</c:v>
                </c:pt>
                <c:pt idx="2">
                  <c:v>146.93591423095873</c:v>
                </c:pt>
                <c:pt idx="3">
                  <c:v>1256.4367323004178</c:v>
                </c:pt>
                <c:pt idx="4">
                  <c:v>765.14722664703538</c:v>
                </c:pt>
                <c:pt idx="5">
                  <c:v>30605.8959937748</c:v>
                </c:pt>
                <c:pt idx="6">
                  <c:v>252.00913288149479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24134</v>
      </c>
      <c r="B6" s="384"/>
      <c r="C6" s="385"/>
    </row>
    <row r="7" spans="1:7" s="382" customFormat="1" ht="15.75" customHeight="1">
      <c r="A7" s="386" t="str">
        <f>txtMunicipality</f>
        <v>SCHERPENHEUVEL-ZICHEM</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17764.773224623379</v>
      </c>
      <c r="D10" s="681">
        <f ca="1">tertiair!C16</f>
        <v>128.57142857142858</v>
      </c>
      <c r="E10" s="681">
        <f ca="1">tertiair!D16</f>
        <v>17317.626784751898</v>
      </c>
      <c r="F10" s="681">
        <f>tertiair!E16</f>
        <v>97.864078018515144</v>
      </c>
      <c r="G10" s="681">
        <f ca="1">tertiair!F16</f>
        <v>4941.7700150830806</v>
      </c>
      <c r="H10" s="681">
        <f>tertiair!G16</f>
        <v>0</v>
      </c>
      <c r="I10" s="681">
        <f>tertiair!H16</f>
        <v>0</v>
      </c>
      <c r="J10" s="681">
        <f>tertiair!I16</f>
        <v>0</v>
      </c>
      <c r="K10" s="681">
        <f>tertiair!J16</f>
        <v>4.1740745093601497E-2</v>
      </c>
      <c r="L10" s="681">
        <f>tertiair!K16</f>
        <v>0</v>
      </c>
      <c r="M10" s="681">
        <f ca="1">tertiair!L16</f>
        <v>0</v>
      </c>
      <c r="N10" s="681">
        <f>tertiair!M16</f>
        <v>0</v>
      </c>
      <c r="O10" s="681">
        <f ca="1">tertiair!N16</f>
        <v>1599.6148336704296</v>
      </c>
      <c r="P10" s="681">
        <f>tertiair!O16</f>
        <v>14.691782297523464</v>
      </c>
      <c r="Q10" s="682">
        <f>tertiair!P16</f>
        <v>210.15655322598008</v>
      </c>
      <c r="R10" s="684">
        <f ca="1">SUM(C10:Q10)</f>
        <v>42075.110440987322</v>
      </c>
      <c r="S10" s="67"/>
    </row>
    <row r="11" spans="1:19" s="443" customFormat="1">
      <c r="A11" s="802" t="s">
        <v>214</v>
      </c>
      <c r="B11" s="807"/>
      <c r="C11" s="681">
        <f>huishoudens!B8</f>
        <v>40921.815657500745</v>
      </c>
      <c r="D11" s="681">
        <f>huishoudens!C8</f>
        <v>0</v>
      </c>
      <c r="E11" s="681">
        <f>huishoudens!D8</f>
        <v>59866.521723661863</v>
      </c>
      <c r="F11" s="681">
        <f>huishoudens!E8</f>
        <v>3704.0749066447693</v>
      </c>
      <c r="G11" s="681">
        <f>huishoudens!F8</f>
        <v>81143.706890780872</v>
      </c>
      <c r="H11" s="681">
        <f>huishoudens!G8</f>
        <v>0</v>
      </c>
      <c r="I11" s="681">
        <f>huishoudens!H8</f>
        <v>0</v>
      </c>
      <c r="J11" s="681">
        <f>huishoudens!I8</f>
        <v>0</v>
      </c>
      <c r="K11" s="681">
        <f>huishoudens!J8</f>
        <v>462.44686056274088</v>
      </c>
      <c r="L11" s="681">
        <f>huishoudens!K8</f>
        <v>0</v>
      </c>
      <c r="M11" s="681">
        <f>huishoudens!L8</f>
        <v>0</v>
      </c>
      <c r="N11" s="681">
        <f>huishoudens!M8</f>
        <v>0</v>
      </c>
      <c r="O11" s="681">
        <f>huishoudens!N8</f>
        <v>14418.840666985716</v>
      </c>
      <c r="P11" s="681">
        <f>huishoudens!O8</f>
        <v>563.44413430591703</v>
      </c>
      <c r="Q11" s="682">
        <f>huishoudens!P8</f>
        <v>1422.0845065374783</v>
      </c>
      <c r="R11" s="684">
        <f>SUM(C11:Q11)</f>
        <v>202502.93534698014</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2129.04179710675</v>
      </c>
      <c r="D13" s="681">
        <f>industrie!C18</f>
        <v>0</v>
      </c>
      <c r="E13" s="681">
        <f>industrie!D18</f>
        <v>1369.9392841980803</v>
      </c>
      <c r="F13" s="681">
        <f>industrie!E18</f>
        <v>7.1186203662032224</v>
      </c>
      <c r="G13" s="681">
        <f>industrie!F18</f>
        <v>509.94340101985927</v>
      </c>
      <c r="H13" s="681">
        <f>industrie!G18</f>
        <v>0</v>
      </c>
      <c r="I13" s="681">
        <f>industrie!H18</f>
        <v>0</v>
      </c>
      <c r="J13" s="681">
        <f>industrie!I18</f>
        <v>0</v>
      </c>
      <c r="K13" s="681">
        <f>industrie!J18</f>
        <v>3.3513683462371207</v>
      </c>
      <c r="L13" s="681">
        <f>industrie!K18</f>
        <v>0</v>
      </c>
      <c r="M13" s="681">
        <f>industrie!L18</f>
        <v>0</v>
      </c>
      <c r="N13" s="681">
        <f>industrie!M18</f>
        <v>0</v>
      </c>
      <c r="O13" s="681">
        <f>industrie!N18</f>
        <v>119.65107906555184</v>
      </c>
      <c r="P13" s="681">
        <f>industrie!O18</f>
        <v>0</v>
      </c>
      <c r="Q13" s="682">
        <f>industrie!P18</f>
        <v>0</v>
      </c>
      <c r="R13" s="684">
        <f>SUM(C13:Q13)</f>
        <v>4139.0455501026818</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60815.630679230875</v>
      </c>
      <c r="D16" s="717">
        <f t="shared" ref="D16:R16" ca="1" si="0">SUM(D9:D15)</f>
        <v>128.57142857142858</v>
      </c>
      <c r="E16" s="717">
        <f t="shared" ca="1" si="0"/>
        <v>78554.087792611826</v>
      </c>
      <c r="F16" s="717">
        <f t="shared" si="0"/>
        <v>3809.0576050294876</v>
      </c>
      <c r="G16" s="717">
        <f t="shared" ca="1" si="0"/>
        <v>86595.420306883811</v>
      </c>
      <c r="H16" s="717">
        <f t="shared" si="0"/>
        <v>0</v>
      </c>
      <c r="I16" s="717">
        <f t="shared" si="0"/>
        <v>0</v>
      </c>
      <c r="J16" s="717">
        <f t="shared" si="0"/>
        <v>0</v>
      </c>
      <c r="K16" s="717">
        <f t="shared" si="0"/>
        <v>465.83996965407158</v>
      </c>
      <c r="L16" s="717">
        <f t="shared" si="0"/>
        <v>0</v>
      </c>
      <c r="M16" s="717">
        <f t="shared" ca="1" si="0"/>
        <v>0</v>
      </c>
      <c r="N16" s="717">
        <f t="shared" si="0"/>
        <v>0</v>
      </c>
      <c r="O16" s="717">
        <f t="shared" ca="1" si="0"/>
        <v>16138.106579721698</v>
      </c>
      <c r="P16" s="717">
        <f t="shared" si="0"/>
        <v>578.13591660344048</v>
      </c>
      <c r="Q16" s="717">
        <f t="shared" si="0"/>
        <v>1632.2410597634585</v>
      </c>
      <c r="R16" s="717">
        <f t="shared" ca="1" si="0"/>
        <v>248717.09133807014</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14.930204726301993</v>
      </c>
      <c r="D19" s="681">
        <f>transport!C54</f>
        <v>0</v>
      </c>
      <c r="E19" s="681">
        <f>transport!D54</f>
        <v>0</v>
      </c>
      <c r="F19" s="681">
        <f>transport!E54</f>
        <v>0</v>
      </c>
      <c r="G19" s="681">
        <f>transport!F54</f>
        <v>0</v>
      </c>
      <c r="H19" s="681">
        <f>transport!G54</f>
        <v>934.67595303663404</v>
      </c>
      <c r="I19" s="681">
        <f>transport!H54</f>
        <v>0</v>
      </c>
      <c r="J19" s="681">
        <f>transport!I54</f>
        <v>0</v>
      </c>
      <c r="K19" s="681">
        <f>transport!J54</f>
        <v>0</v>
      </c>
      <c r="L19" s="681">
        <f>transport!K54</f>
        <v>0</v>
      </c>
      <c r="M19" s="681">
        <f>transport!L54</f>
        <v>0</v>
      </c>
      <c r="N19" s="681">
        <f>transport!M54</f>
        <v>53.667023633170373</v>
      </c>
      <c r="O19" s="681">
        <f>transport!N54</f>
        <v>0</v>
      </c>
      <c r="P19" s="681">
        <f>transport!O54</f>
        <v>0</v>
      </c>
      <c r="Q19" s="682">
        <f>transport!P54</f>
        <v>0</v>
      </c>
      <c r="R19" s="684">
        <f>SUM(C19:Q19)</f>
        <v>1003.2731813961065</v>
      </c>
      <c r="S19" s="67"/>
    </row>
    <row r="20" spans="1:19" s="443" customFormat="1">
      <c r="A20" s="802" t="s">
        <v>296</v>
      </c>
      <c r="B20" s="807"/>
      <c r="C20" s="681">
        <f>transport!B14</f>
        <v>290.50798202725491</v>
      </c>
      <c r="D20" s="681">
        <f>transport!C14</f>
        <v>0</v>
      </c>
      <c r="E20" s="681">
        <f>transport!D14</f>
        <v>557.7333779282427</v>
      </c>
      <c r="F20" s="681">
        <f>transport!E14</f>
        <v>219.56069865641922</v>
      </c>
      <c r="G20" s="681">
        <f>transport!F14</f>
        <v>0</v>
      </c>
      <c r="H20" s="681">
        <f>transport!G14</f>
        <v>88369.563409137103</v>
      </c>
      <c r="I20" s="681">
        <f>transport!H14</f>
        <v>27313.397491184263</v>
      </c>
      <c r="J20" s="681">
        <f>transport!I14</f>
        <v>0</v>
      </c>
      <c r="K20" s="681">
        <f>transport!J14</f>
        <v>0</v>
      </c>
      <c r="L20" s="681">
        <f>transport!K14</f>
        <v>0</v>
      </c>
      <c r="M20" s="681">
        <f>transport!L14</f>
        <v>0</v>
      </c>
      <c r="N20" s="681">
        <f>transport!M14</f>
        <v>7010.3167590239909</v>
      </c>
      <c r="O20" s="681">
        <f>transport!N14</f>
        <v>0</v>
      </c>
      <c r="P20" s="681">
        <f>transport!O14</f>
        <v>0</v>
      </c>
      <c r="Q20" s="682">
        <f>transport!P14</f>
        <v>0</v>
      </c>
      <c r="R20" s="684">
        <f>SUM(C20:Q20)</f>
        <v>123761.07971795728</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305.43818675355692</v>
      </c>
      <c r="D22" s="805">
        <f t="shared" ref="D22:R22" si="1">SUM(D18:D21)</f>
        <v>0</v>
      </c>
      <c r="E22" s="805">
        <f t="shared" si="1"/>
        <v>557.7333779282427</v>
      </c>
      <c r="F22" s="805">
        <f t="shared" si="1"/>
        <v>219.56069865641922</v>
      </c>
      <c r="G22" s="805">
        <f t="shared" si="1"/>
        <v>0</v>
      </c>
      <c r="H22" s="805">
        <f t="shared" si="1"/>
        <v>89304.239362173743</v>
      </c>
      <c r="I22" s="805">
        <f t="shared" si="1"/>
        <v>27313.397491184263</v>
      </c>
      <c r="J22" s="805">
        <f t="shared" si="1"/>
        <v>0</v>
      </c>
      <c r="K22" s="805">
        <f t="shared" si="1"/>
        <v>0</v>
      </c>
      <c r="L22" s="805">
        <f t="shared" si="1"/>
        <v>0</v>
      </c>
      <c r="M22" s="805">
        <f t="shared" si="1"/>
        <v>0</v>
      </c>
      <c r="N22" s="805">
        <f t="shared" si="1"/>
        <v>7063.9837826571611</v>
      </c>
      <c r="O22" s="805">
        <f t="shared" si="1"/>
        <v>0</v>
      </c>
      <c r="P22" s="805">
        <f t="shared" si="1"/>
        <v>0</v>
      </c>
      <c r="Q22" s="805">
        <f t="shared" si="1"/>
        <v>0</v>
      </c>
      <c r="R22" s="805">
        <f t="shared" si="1"/>
        <v>124764.35289935338</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961.61523177102799</v>
      </c>
      <c r="D24" s="681">
        <f>+landbouw!C8</f>
        <v>0</v>
      </c>
      <c r="E24" s="681">
        <f>+landbouw!D8</f>
        <v>955.67612725895435</v>
      </c>
      <c r="F24" s="681">
        <f>+landbouw!E8</f>
        <v>27.542287588828913</v>
      </c>
      <c r="G24" s="681">
        <f>+landbouw!F8</f>
        <v>3043.9770891154872</v>
      </c>
      <c r="H24" s="681">
        <f>+landbouw!G8</f>
        <v>0</v>
      </c>
      <c r="I24" s="681">
        <f>+landbouw!H8</f>
        <v>0</v>
      </c>
      <c r="J24" s="681">
        <f>+landbouw!I8</f>
        <v>0</v>
      </c>
      <c r="K24" s="681">
        <f>+landbouw!J8</f>
        <v>244.50855642091415</v>
      </c>
      <c r="L24" s="681">
        <f>+landbouw!K8</f>
        <v>0</v>
      </c>
      <c r="M24" s="681">
        <f>+landbouw!L8</f>
        <v>0</v>
      </c>
      <c r="N24" s="681">
        <f>+landbouw!M8</f>
        <v>0</v>
      </c>
      <c r="O24" s="681">
        <f>+landbouw!N8</f>
        <v>0</v>
      </c>
      <c r="P24" s="681">
        <f>+landbouw!O8</f>
        <v>0</v>
      </c>
      <c r="Q24" s="682">
        <f>+landbouw!P8</f>
        <v>0</v>
      </c>
      <c r="R24" s="684">
        <f>SUM(C24:Q24)</f>
        <v>5233.3192921552118</v>
      </c>
      <c r="S24" s="67"/>
    </row>
    <row r="25" spans="1:19" s="443" customFormat="1" ht="15" thickBot="1">
      <c r="A25" s="824" t="s">
        <v>690</v>
      </c>
      <c r="B25" s="937"/>
      <c r="C25" s="938">
        <f>IF(Onbekend_ele_kWh="---",0,Onbekend_ele_kWh)/1000+IF(REST_rest_ele_kWh="---",0,REST_rest_ele_kWh)/1000</f>
        <v>731.07297689437405</v>
      </c>
      <c r="D25" s="938"/>
      <c r="E25" s="938">
        <f>IF(onbekend_gas_kWh="---",0,onbekend_gas_kWh)/1000+IF(REST_rest_gas_kWh="---",0,REST_rest_gas_kWh)/1000</f>
        <v>1097.1359097420502</v>
      </c>
      <c r="F25" s="938"/>
      <c r="G25" s="938"/>
      <c r="H25" s="938"/>
      <c r="I25" s="938"/>
      <c r="J25" s="938"/>
      <c r="K25" s="938"/>
      <c r="L25" s="938"/>
      <c r="M25" s="938"/>
      <c r="N25" s="938"/>
      <c r="O25" s="938"/>
      <c r="P25" s="938"/>
      <c r="Q25" s="939"/>
      <c r="R25" s="684">
        <f>SUM(C25:Q25)</f>
        <v>1828.2088866364243</v>
      </c>
      <c r="S25" s="67"/>
    </row>
    <row r="26" spans="1:19" s="443" customFormat="1" ht="15.75" thickBot="1">
      <c r="A26" s="689" t="s">
        <v>691</v>
      </c>
      <c r="B26" s="810"/>
      <c r="C26" s="805">
        <f>SUM(C24:C25)</f>
        <v>1692.688208665402</v>
      </c>
      <c r="D26" s="805">
        <f t="shared" ref="D26:R26" si="2">SUM(D24:D25)</f>
        <v>0</v>
      </c>
      <c r="E26" s="805">
        <f t="shared" si="2"/>
        <v>2052.8120370010047</v>
      </c>
      <c r="F26" s="805">
        <f t="shared" si="2"/>
        <v>27.542287588828913</v>
      </c>
      <c r="G26" s="805">
        <f t="shared" si="2"/>
        <v>3043.9770891154872</v>
      </c>
      <c r="H26" s="805">
        <f t="shared" si="2"/>
        <v>0</v>
      </c>
      <c r="I26" s="805">
        <f t="shared" si="2"/>
        <v>0</v>
      </c>
      <c r="J26" s="805">
        <f t="shared" si="2"/>
        <v>0</v>
      </c>
      <c r="K26" s="805">
        <f t="shared" si="2"/>
        <v>244.50855642091415</v>
      </c>
      <c r="L26" s="805">
        <f t="shared" si="2"/>
        <v>0</v>
      </c>
      <c r="M26" s="805">
        <f t="shared" si="2"/>
        <v>0</v>
      </c>
      <c r="N26" s="805">
        <f t="shared" si="2"/>
        <v>0</v>
      </c>
      <c r="O26" s="805">
        <f t="shared" si="2"/>
        <v>0</v>
      </c>
      <c r="P26" s="805">
        <f t="shared" si="2"/>
        <v>0</v>
      </c>
      <c r="Q26" s="805">
        <f t="shared" si="2"/>
        <v>0</v>
      </c>
      <c r="R26" s="805">
        <f t="shared" si="2"/>
        <v>7061.5281787916356</v>
      </c>
      <c r="S26" s="67"/>
    </row>
    <row r="27" spans="1:19" s="443" customFormat="1" ht="17.25" thickTop="1" thickBot="1">
      <c r="A27" s="690" t="s">
        <v>109</v>
      </c>
      <c r="B27" s="797"/>
      <c r="C27" s="691">
        <f ca="1">C22+C16+C26</f>
        <v>62813.757074649831</v>
      </c>
      <c r="D27" s="691">
        <f t="shared" ref="D27:R27" ca="1" si="3">D22+D16+D26</f>
        <v>128.57142857142858</v>
      </c>
      <c r="E27" s="691">
        <f t="shared" ca="1" si="3"/>
        <v>81164.633207541076</v>
      </c>
      <c r="F27" s="691">
        <f t="shared" si="3"/>
        <v>4056.1605912747359</v>
      </c>
      <c r="G27" s="691">
        <f t="shared" ca="1" si="3"/>
        <v>89639.397395999302</v>
      </c>
      <c r="H27" s="691">
        <f t="shared" si="3"/>
        <v>89304.239362173743</v>
      </c>
      <c r="I27" s="691">
        <f t="shared" si="3"/>
        <v>27313.397491184263</v>
      </c>
      <c r="J27" s="691">
        <f t="shared" si="3"/>
        <v>0</v>
      </c>
      <c r="K27" s="691">
        <f t="shared" si="3"/>
        <v>710.34852607498578</v>
      </c>
      <c r="L27" s="691">
        <f t="shared" si="3"/>
        <v>0</v>
      </c>
      <c r="M27" s="691">
        <f t="shared" ca="1" si="3"/>
        <v>0</v>
      </c>
      <c r="N27" s="691">
        <f t="shared" si="3"/>
        <v>7063.9837826571611</v>
      </c>
      <c r="O27" s="691">
        <f t="shared" ca="1" si="3"/>
        <v>16138.106579721698</v>
      </c>
      <c r="P27" s="691">
        <f t="shared" si="3"/>
        <v>578.13591660344048</v>
      </c>
      <c r="Q27" s="691">
        <f t="shared" si="3"/>
        <v>1632.2410597634585</v>
      </c>
      <c r="R27" s="691">
        <f t="shared" ca="1" si="3"/>
        <v>380542.97241621517</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2915.9213198482239</v>
      </c>
      <c r="D40" s="681">
        <f ca="1">tertiair!C20</f>
        <v>30.554621848739504</v>
      </c>
      <c r="E40" s="681">
        <f ca="1">tertiair!D20</f>
        <v>3498.1606105198834</v>
      </c>
      <c r="F40" s="681">
        <f>tertiair!E20</f>
        <v>22.21514571020294</v>
      </c>
      <c r="G40" s="681">
        <f ca="1">tertiair!F20</f>
        <v>1319.4525940271826</v>
      </c>
      <c r="H40" s="681">
        <f>tertiair!G20</f>
        <v>0</v>
      </c>
      <c r="I40" s="681">
        <f>tertiair!H20</f>
        <v>0</v>
      </c>
      <c r="J40" s="681">
        <f>tertiair!I20</f>
        <v>0</v>
      </c>
      <c r="K40" s="681">
        <f>tertiair!J20</f>
        <v>1.477622376313493E-2</v>
      </c>
      <c r="L40" s="681">
        <f>tertiair!K20</f>
        <v>0</v>
      </c>
      <c r="M40" s="681">
        <f ca="1">tertiair!L20</f>
        <v>0</v>
      </c>
      <c r="N40" s="681">
        <f>tertiair!M20</f>
        <v>0</v>
      </c>
      <c r="O40" s="681">
        <f ca="1">tertiair!N20</f>
        <v>0</v>
      </c>
      <c r="P40" s="681">
        <f>tertiair!O20</f>
        <v>0</v>
      </c>
      <c r="Q40" s="764">
        <f>tertiair!P20</f>
        <v>0</v>
      </c>
      <c r="R40" s="843">
        <f t="shared" ca="1" si="4"/>
        <v>7786.3190681779952</v>
      </c>
    </row>
    <row r="41" spans="1:18">
      <c r="A41" s="815" t="s">
        <v>214</v>
      </c>
      <c r="B41" s="822"/>
      <c r="C41" s="681">
        <f ca="1">huishoudens!B12</f>
        <v>6716.9331808419438</v>
      </c>
      <c r="D41" s="681">
        <f ca="1">huishoudens!C12</f>
        <v>0</v>
      </c>
      <c r="E41" s="681">
        <f>huishoudens!D12</f>
        <v>12093.037388179697</v>
      </c>
      <c r="F41" s="681">
        <f>huishoudens!E12</f>
        <v>840.82500380836268</v>
      </c>
      <c r="G41" s="681">
        <f>huishoudens!F12</f>
        <v>21665.369739838494</v>
      </c>
      <c r="H41" s="681">
        <f>huishoudens!G12</f>
        <v>0</v>
      </c>
      <c r="I41" s="681">
        <f>huishoudens!H12</f>
        <v>0</v>
      </c>
      <c r="J41" s="681">
        <f>huishoudens!I12</f>
        <v>0</v>
      </c>
      <c r="K41" s="681">
        <f>huishoudens!J12</f>
        <v>163.70618863921027</v>
      </c>
      <c r="L41" s="681">
        <f>huishoudens!K12</f>
        <v>0</v>
      </c>
      <c r="M41" s="681">
        <f>huishoudens!L12</f>
        <v>0</v>
      </c>
      <c r="N41" s="681">
        <f>huishoudens!M12</f>
        <v>0</v>
      </c>
      <c r="O41" s="681">
        <f>huishoudens!N12</f>
        <v>0</v>
      </c>
      <c r="P41" s="681">
        <f>huishoudens!O12</f>
        <v>0</v>
      </c>
      <c r="Q41" s="764">
        <f>huishoudens!P12</f>
        <v>0</v>
      </c>
      <c r="R41" s="843">
        <f t="shared" ca="1" si="4"/>
        <v>41479.871501307709</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349.46229194902457</v>
      </c>
      <c r="D43" s="681">
        <f ca="1">industrie!C22</f>
        <v>0</v>
      </c>
      <c r="E43" s="681">
        <f>industrie!D22</f>
        <v>276.72773540801222</v>
      </c>
      <c r="F43" s="681">
        <f>industrie!E22</f>
        <v>1.6159268231281316</v>
      </c>
      <c r="G43" s="681">
        <f>industrie!F22</f>
        <v>136.15488807230244</v>
      </c>
      <c r="H43" s="681">
        <f>industrie!G22</f>
        <v>0</v>
      </c>
      <c r="I43" s="681">
        <f>industrie!H22</f>
        <v>0</v>
      </c>
      <c r="J43" s="681">
        <f>industrie!I22</f>
        <v>0</v>
      </c>
      <c r="K43" s="681">
        <f>industrie!J22</f>
        <v>1.1863843945679406</v>
      </c>
      <c r="L43" s="681">
        <f>industrie!K22</f>
        <v>0</v>
      </c>
      <c r="M43" s="681">
        <f>industrie!L22</f>
        <v>0</v>
      </c>
      <c r="N43" s="681">
        <f>industrie!M22</f>
        <v>0</v>
      </c>
      <c r="O43" s="681">
        <f>industrie!N22</f>
        <v>0</v>
      </c>
      <c r="P43" s="681">
        <f>industrie!O22</f>
        <v>0</v>
      </c>
      <c r="Q43" s="764">
        <f>industrie!P22</f>
        <v>0</v>
      </c>
      <c r="R43" s="842">
        <f t="shared" ca="1" si="4"/>
        <v>765.14722664703538</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9982.3167926391925</v>
      </c>
      <c r="D46" s="717">
        <f t="shared" ref="D46:Q46" ca="1" si="5">SUM(D39:D45)</f>
        <v>30.554621848739504</v>
      </c>
      <c r="E46" s="717">
        <f t="shared" ca="1" si="5"/>
        <v>15867.925734107592</v>
      </c>
      <c r="F46" s="717">
        <f t="shared" si="5"/>
        <v>864.65607634169373</v>
      </c>
      <c r="G46" s="717">
        <f t="shared" ca="1" si="5"/>
        <v>23120.977221937977</v>
      </c>
      <c r="H46" s="717">
        <f t="shared" si="5"/>
        <v>0</v>
      </c>
      <c r="I46" s="717">
        <f t="shared" si="5"/>
        <v>0</v>
      </c>
      <c r="J46" s="717">
        <f t="shared" si="5"/>
        <v>0</v>
      </c>
      <c r="K46" s="717">
        <f t="shared" si="5"/>
        <v>164.90734925754134</v>
      </c>
      <c r="L46" s="717">
        <f t="shared" si="5"/>
        <v>0</v>
      </c>
      <c r="M46" s="717">
        <f t="shared" ca="1" si="5"/>
        <v>0</v>
      </c>
      <c r="N46" s="717">
        <f t="shared" si="5"/>
        <v>0</v>
      </c>
      <c r="O46" s="717">
        <f t="shared" ca="1" si="5"/>
        <v>0</v>
      </c>
      <c r="P46" s="717">
        <f t="shared" si="5"/>
        <v>0</v>
      </c>
      <c r="Q46" s="717">
        <f t="shared" si="5"/>
        <v>0</v>
      </c>
      <c r="R46" s="717">
        <f ca="1">SUM(R39:R45)</f>
        <v>50031.337796132742</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2.4506534207134902</v>
      </c>
      <c r="D49" s="681">
        <f ca="1">transport!C58</f>
        <v>0</v>
      </c>
      <c r="E49" s="681">
        <f>transport!D58</f>
        <v>0</v>
      </c>
      <c r="F49" s="681">
        <f>transport!E58</f>
        <v>0</v>
      </c>
      <c r="G49" s="681">
        <f>transport!F58</f>
        <v>0</v>
      </c>
      <c r="H49" s="681">
        <f>transport!G58</f>
        <v>249.55847946078131</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252.00913288149479</v>
      </c>
    </row>
    <row r="50" spans="1:18">
      <c r="A50" s="818" t="s">
        <v>296</v>
      </c>
      <c r="B50" s="828"/>
      <c r="C50" s="687">
        <f ca="1">transport!B18</f>
        <v>47.684167293799845</v>
      </c>
      <c r="D50" s="687">
        <f>transport!C18</f>
        <v>0</v>
      </c>
      <c r="E50" s="687">
        <f>transport!D18</f>
        <v>112.66214234150503</v>
      </c>
      <c r="F50" s="687">
        <f>transport!E18</f>
        <v>49.840278595007163</v>
      </c>
      <c r="G50" s="687">
        <f>transport!F18</f>
        <v>0</v>
      </c>
      <c r="H50" s="687">
        <f>transport!G18</f>
        <v>23594.673430239607</v>
      </c>
      <c r="I50" s="687">
        <f>transport!H18</f>
        <v>6801.0359753048815</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30605.8959937748</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50.134820714513339</v>
      </c>
      <c r="D52" s="717">
        <f t="shared" ref="D52:Q52" ca="1" si="6">SUM(D48:D51)</f>
        <v>0</v>
      </c>
      <c r="E52" s="717">
        <f t="shared" si="6"/>
        <v>112.66214234150503</v>
      </c>
      <c r="F52" s="717">
        <f t="shared" si="6"/>
        <v>49.840278595007163</v>
      </c>
      <c r="G52" s="717">
        <f t="shared" si="6"/>
        <v>0</v>
      </c>
      <c r="H52" s="717">
        <f t="shared" si="6"/>
        <v>23844.231909700389</v>
      </c>
      <c r="I52" s="717">
        <f t="shared" si="6"/>
        <v>6801.0359753048815</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30857.905126656296</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157.84014354460626</v>
      </c>
      <c r="D54" s="687">
        <f ca="1">+landbouw!C12</f>
        <v>0</v>
      </c>
      <c r="E54" s="687">
        <f>+landbouw!D12</f>
        <v>193.0465777063088</v>
      </c>
      <c r="F54" s="687">
        <f>+landbouw!E12</f>
        <v>6.2520992826641635</v>
      </c>
      <c r="G54" s="687">
        <f>+landbouw!F12</f>
        <v>812.74188279383509</v>
      </c>
      <c r="H54" s="687">
        <f>+landbouw!G12</f>
        <v>0</v>
      </c>
      <c r="I54" s="687">
        <f>+landbouw!H12</f>
        <v>0</v>
      </c>
      <c r="J54" s="687">
        <f>+landbouw!I12</f>
        <v>0</v>
      </c>
      <c r="K54" s="687">
        <f>+landbouw!J12</f>
        <v>86.556028973003606</v>
      </c>
      <c r="L54" s="687">
        <f>+landbouw!K12</f>
        <v>0</v>
      </c>
      <c r="M54" s="687">
        <f>+landbouw!L12</f>
        <v>0</v>
      </c>
      <c r="N54" s="687">
        <f>+landbouw!M12</f>
        <v>0</v>
      </c>
      <c r="O54" s="687">
        <f>+landbouw!N12</f>
        <v>0</v>
      </c>
      <c r="P54" s="687">
        <f>+landbouw!O12</f>
        <v>0</v>
      </c>
      <c r="Q54" s="688">
        <f>+landbouw!P12</f>
        <v>0</v>
      </c>
      <c r="R54" s="716">
        <f ca="1">SUM(C54:Q54)</f>
        <v>1256.4367323004178</v>
      </c>
    </row>
    <row r="55" spans="1:18" ht="15" thickBot="1">
      <c r="A55" s="818" t="s">
        <v>690</v>
      </c>
      <c r="B55" s="828"/>
      <c r="C55" s="687">
        <f ca="1">C25*'EF ele_warmte'!B12</f>
        <v>119.99878933081105</v>
      </c>
      <c r="D55" s="687"/>
      <c r="E55" s="687">
        <f>E25*EF_CO2_aardgas</f>
        <v>221.62145376789417</v>
      </c>
      <c r="F55" s="687"/>
      <c r="G55" s="687"/>
      <c r="H55" s="687"/>
      <c r="I55" s="687"/>
      <c r="J55" s="687"/>
      <c r="K55" s="687"/>
      <c r="L55" s="687"/>
      <c r="M55" s="687"/>
      <c r="N55" s="687"/>
      <c r="O55" s="687"/>
      <c r="P55" s="687"/>
      <c r="Q55" s="688"/>
      <c r="R55" s="716">
        <f ca="1">SUM(C55:Q55)</f>
        <v>341.6202430987052</v>
      </c>
    </row>
    <row r="56" spans="1:18" ht="15.75" thickBot="1">
      <c r="A56" s="816" t="s">
        <v>691</v>
      </c>
      <c r="B56" s="829"/>
      <c r="C56" s="717">
        <f ca="1">SUM(C54:C55)</f>
        <v>277.8389328754173</v>
      </c>
      <c r="D56" s="717">
        <f t="shared" ref="D56:Q56" ca="1" si="7">SUM(D54:D55)</f>
        <v>0</v>
      </c>
      <c r="E56" s="717">
        <f t="shared" si="7"/>
        <v>414.66803147420296</v>
      </c>
      <c r="F56" s="717">
        <f t="shared" si="7"/>
        <v>6.2520992826641635</v>
      </c>
      <c r="G56" s="717">
        <f t="shared" si="7"/>
        <v>812.74188279383509</v>
      </c>
      <c r="H56" s="717">
        <f t="shared" si="7"/>
        <v>0</v>
      </c>
      <c r="I56" s="717">
        <f t="shared" si="7"/>
        <v>0</v>
      </c>
      <c r="J56" s="717">
        <f t="shared" si="7"/>
        <v>0</v>
      </c>
      <c r="K56" s="717">
        <f t="shared" si="7"/>
        <v>86.556028973003606</v>
      </c>
      <c r="L56" s="717">
        <f t="shared" si="7"/>
        <v>0</v>
      </c>
      <c r="M56" s="717">
        <f t="shared" si="7"/>
        <v>0</v>
      </c>
      <c r="N56" s="717">
        <f t="shared" si="7"/>
        <v>0</v>
      </c>
      <c r="O56" s="717">
        <f t="shared" si="7"/>
        <v>0</v>
      </c>
      <c r="P56" s="717">
        <f t="shared" si="7"/>
        <v>0</v>
      </c>
      <c r="Q56" s="718">
        <f t="shared" si="7"/>
        <v>0</v>
      </c>
      <c r="R56" s="719">
        <f ca="1">SUM(R54:R55)</f>
        <v>1598.0569753991231</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10310.290546229122</v>
      </c>
      <c r="D61" s="725">
        <f t="shared" ref="D61:Q61" ca="1" si="8">D46+D52+D56</f>
        <v>30.554621848739504</v>
      </c>
      <c r="E61" s="725">
        <f t="shared" ca="1" si="8"/>
        <v>16395.2559079233</v>
      </c>
      <c r="F61" s="725">
        <f t="shared" si="8"/>
        <v>920.74845421936504</v>
      </c>
      <c r="G61" s="725">
        <f t="shared" ca="1" si="8"/>
        <v>23933.719104731812</v>
      </c>
      <c r="H61" s="725">
        <f t="shared" si="8"/>
        <v>23844.231909700389</v>
      </c>
      <c r="I61" s="725">
        <f t="shared" si="8"/>
        <v>6801.0359753048815</v>
      </c>
      <c r="J61" s="725">
        <f t="shared" si="8"/>
        <v>0</v>
      </c>
      <c r="K61" s="725">
        <f t="shared" si="8"/>
        <v>251.46337823054495</v>
      </c>
      <c r="L61" s="725">
        <f t="shared" si="8"/>
        <v>0</v>
      </c>
      <c r="M61" s="725">
        <f t="shared" ca="1" si="8"/>
        <v>0</v>
      </c>
      <c r="N61" s="725">
        <f t="shared" si="8"/>
        <v>0</v>
      </c>
      <c r="O61" s="725">
        <f t="shared" ca="1" si="8"/>
        <v>0</v>
      </c>
      <c r="P61" s="725">
        <f t="shared" si="8"/>
        <v>0</v>
      </c>
      <c r="Q61" s="725">
        <f t="shared" si="8"/>
        <v>0</v>
      </c>
      <c r="R61" s="725">
        <f ca="1">R46+R52+R56</f>
        <v>82487.299898188168</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0.16414064412635038</v>
      </c>
      <c r="D63" s="771">
        <f t="shared" ca="1" si="9"/>
        <v>0.23764705882352946</v>
      </c>
      <c r="E63" s="963">
        <f t="shared" ca="1" si="9"/>
        <v>0.20200000000000004</v>
      </c>
      <c r="F63" s="771">
        <f t="shared" si="9"/>
        <v>0.22700000000000001</v>
      </c>
      <c r="G63" s="771">
        <f t="shared" ca="1" si="9"/>
        <v>0.26699999999999996</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6983.970242268776</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9183.6677783765099</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90</v>
      </c>
      <c r="D76" s="946">
        <f>'lokale energieproductie'!C8</f>
        <v>105.88235294117648</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21.388235294117649</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16167.638020645285</v>
      </c>
      <c r="C78" s="743">
        <f>SUM(C72:C77)</f>
        <v>90</v>
      </c>
      <c r="D78" s="744">
        <f t="shared" ref="D78:H78" si="10">SUM(D76:D77)</f>
        <v>105.88235294117648</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21.388235294117649</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128.57142857142858</v>
      </c>
      <c r="D87" s="767">
        <f>'lokale energieproductie'!C17</f>
        <v>151.2605042016807</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30.554621848739504</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128.57142857142858</v>
      </c>
      <c r="D90" s="743">
        <f t="shared" ref="D90:H90" si="12">SUM(D87:D89)</f>
        <v>151.2605042016807</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30.554621848739504</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40921.815657500745</v>
      </c>
      <c r="C4" s="447">
        <f>huishoudens!C8</f>
        <v>0</v>
      </c>
      <c r="D4" s="447">
        <f>huishoudens!D8</f>
        <v>59866.521723661863</v>
      </c>
      <c r="E4" s="447">
        <f>huishoudens!E8</f>
        <v>3704.0749066447693</v>
      </c>
      <c r="F4" s="447">
        <f>huishoudens!F8</f>
        <v>81143.706890780872</v>
      </c>
      <c r="G4" s="447">
        <f>huishoudens!G8</f>
        <v>0</v>
      </c>
      <c r="H4" s="447">
        <f>huishoudens!H8</f>
        <v>0</v>
      </c>
      <c r="I4" s="447">
        <f>huishoudens!I8</f>
        <v>0</v>
      </c>
      <c r="J4" s="447">
        <f>huishoudens!J8</f>
        <v>462.44686056274088</v>
      </c>
      <c r="K4" s="447">
        <f>huishoudens!K8</f>
        <v>0</v>
      </c>
      <c r="L4" s="447">
        <f>huishoudens!L8</f>
        <v>0</v>
      </c>
      <c r="M4" s="447">
        <f>huishoudens!M8</f>
        <v>0</v>
      </c>
      <c r="N4" s="447">
        <f>huishoudens!N8</f>
        <v>14418.840666985716</v>
      </c>
      <c r="O4" s="447">
        <f>huishoudens!O8</f>
        <v>563.44413430591703</v>
      </c>
      <c r="P4" s="448">
        <f>huishoudens!P8</f>
        <v>1422.0845065374783</v>
      </c>
      <c r="Q4" s="449">
        <f>SUM(B4:P4)</f>
        <v>202502.93534698014</v>
      </c>
    </row>
    <row r="5" spans="1:17">
      <c r="A5" s="446" t="s">
        <v>149</v>
      </c>
      <c r="B5" s="447">
        <f ca="1">tertiair!B16</f>
        <v>16869.590224623378</v>
      </c>
      <c r="C5" s="447">
        <f ca="1">tertiair!C16</f>
        <v>128.57142857142858</v>
      </c>
      <c r="D5" s="447">
        <f ca="1">tertiair!D16</f>
        <v>17317.626784751898</v>
      </c>
      <c r="E5" s="447">
        <f>tertiair!E16</f>
        <v>97.864078018515144</v>
      </c>
      <c r="F5" s="447">
        <f ca="1">tertiair!F16</f>
        <v>4941.7700150830806</v>
      </c>
      <c r="G5" s="447">
        <f>tertiair!G16</f>
        <v>0</v>
      </c>
      <c r="H5" s="447">
        <f>tertiair!H16</f>
        <v>0</v>
      </c>
      <c r="I5" s="447">
        <f>tertiair!I16</f>
        <v>0</v>
      </c>
      <c r="J5" s="447">
        <f>tertiair!J16</f>
        <v>4.1740745093601497E-2</v>
      </c>
      <c r="K5" s="447">
        <f>tertiair!K16</f>
        <v>0</v>
      </c>
      <c r="L5" s="447">
        <f ca="1">tertiair!L16</f>
        <v>0</v>
      </c>
      <c r="M5" s="447">
        <f>tertiair!M16</f>
        <v>0</v>
      </c>
      <c r="N5" s="447">
        <f ca="1">tertiair!N16</f>
        <v>1599.6148336704296</v>
      </c>
      <c r="O5" s="447">
        <f>tertiair!O16</f>
        <v>14.691782297523464</v>
      </c>
      <c r="P5" s="448">
        <f>tertiair!P16</f>
        <v>210.15655322598008</v>
      </c>
      <c r="Q5" s="446">
        <f t="shared" ref="Q5:Q14" ca="1" si="0">SUM(B5:P5)</f>
        <v>41179.927440987318</v>
      </c>
    </row>
    <row r="6" spans="1:17">
      <c r="A6" s="446" t="s">
        <v>187</v>
      </c>
      <c r="B6" s="447">
        <f>'openbare verlichting'!B8</f>
        <v>895.18299999999999</v>
      </c>
      <c r="C6" s="447"/>
      <c r="D6" s="447"/>
      <c r="E6" s="447"/>
      <c r="F6" s="447"/>
      <c r="G6" s="447"/>
      <c r="H6" s="447"/>
      <c r="I6" s="447"/>
      <c r="J6" s="447"/>
      <c r="K6" s="447"/>
      <c r="L6" s="447"/>
      <c r="M6" s="447"/>
      <c r="N6" s="447"/>
      <c r="O6" s="447"/>
      <c r="P6" s="448"/>
      <c r="Q6" s="446">
        <f t="shared" si="0"/>
        <v>895.18299999999999</v>
      </c>
    </row>
    <row r="7" spans="1:17">
      <c r="A7" s="446" t="s">
        <v>105</v>
      </c>
      <c r="B7" s="447">
        <f>landbouw!B8</f>
        <v>961.61523177102799</v>
      </c>
      <c r="C7" s="447">
        <f>landbouw!C8</f>
        <v>0</v>
      </c>
      <c r="D7" s="447">
        <f>landbouw!D8</f>
        <v>955.67612725895435</v>
      </c>
      <c r="E7" s="447">
        <f>landbouw!E8</f>
        <v>27.542287588828913</v>
      </c>
      <c r="F7" s="447">
        <f>landbouw!F8</f>
        <v>3043.9770891154872</v>
      </c>
      <c r="G7" s="447">
        <f>landbouw!G8</f>
        <v>0</v>
      </c>
      <c r="H7" s="447">
        <f>landbouw!H8</f>
        <v>0</v>
      </c>
      <c r="I7" s="447">
        <f>landbouw!I8</f>
        <v>0</v>
      </c>
      <c r="J7" s="447">
        <f>landbouw!J8</f>
        <v>244.50855642091415</v>
      </c>
      <c r="K7" s="447">
        <f>landbouw!K8</f>
        <v>0</v>
      </c>
      <c r="L7" s="447">
        <f>landbouw!L8</f>
        <v>0</v>
      </c>
      <c r="M7" s="447">
        <f>landbouw!M8</f>
        <v>0</v>
      </c>
      <c r="N7" s="447">
        <f>landbouw!N8</f>
        <v>0</v>
      </c>
      <c r="O7" s="447">
        <f>landbouw!O8</f>
        <v>0</v>
      </c>
      <c r="P7" s="448">
        <f>landbouw!P8</f>
        <v>0</v>
      </c>
      <c r="Q7" s="446">
        <f t="shared" si="0"/>
        <v>5233.3192921552118</v>
      </c>
    </row>
    <row r="8" spans="1:17">
      <c r="A8" s="446" t="s">
        <v>611</v>
      </c>
      <c r="B8" s="447">
        <f>industrie!B18</f>
        <v>2129.04179710675</v>
      </c>
      <c r="C8" s="447">
        <f>industrie!C18</f>
        <v>0</v>
      </c>
      <c r="D8" s="447">
        <f>industrie!D18</f>
        <v>1369.9392841980803</v>
      </c>
      <c r="E8" s="447">
        <f>industrie!E18</f>
        <v>7.1186203662032224</v>
      </c>
      <c r="F8" s="447">
        <f>industrie!F18</f>
        <v>509.94340101985927</v>
      </c>
      <c r="G8" s="447">
        <f>industrie!G18</f>
        <v>0</v>
      </c>
      <c r="H8" s="447">
        <f>industrie!H18</f>
        <v>0</v>
      </c>
      <c r="I8" s="447">
        <f>industrie!I18</f>
        <v>0</v>
      </c>
      <c r="J8" s="447">
        <f>industrie!J18</f>
        <v>3.3513683462371207</v>
      </c>
      <c r="K8" s="447">
        <f>industrie!K18</f>
        <v>0</v>
      </c>
      <c r="L8" s="447">
        <f>industrie!L18</f>
        <v>0</v>
      </c>
      <c r="M8" s="447">
        <f>industrie!M18</f>
        <v>0</v>
      </c>
      <c r="N8" s="447">
        <f>industrie!N18</f>
        <v>119.65107906555184</v>
      </c>
      <c r="O8" s="447">
        <f>industrie!O18</f>
        <v>0</v>
      </c>
      <c r="P8" s="448">
        <f>industrie!P18</f>
        <v>0</v>
      </c>
      <c r="Q8" s="446">
        <f t="shared" si="0"/>
        <v>4139.0455501026818</v>
      </c>
    </row>
    <row r="9" spans="1:17" s="452" customFormat="1">
      <c r="A9" s="450" t="s">
        <v>537</v>
      </c>
      <c r="B9" s="451">
        <f>transport!B14</f>
        <v>290.50798202725491</v>
      </c>
      <c r="C9" s="451">
        <f>transport!C14</f>
        <v>0</v>
      </c>
      <c r="D9" s="451">
        <f>transport!D14</f>
        <v>557.7333779282427</v>
      </c>
      <c r="E9" s="451">
        <f>transport!E14</f>
        <v>219.56069865641922</v>
      </c>
      <c r="F9" s="451">
        <f>transport!F14</f>
        <v>0</v>
      </c>
      <c r="G9" s="451">
        <f>transport!G14</f>
        <v>88369.563409137103</v>
      </c>
      <c r="H9" s="451">
        <f>transport!H14</f>
        <v>27313.397491184263</v>
      </c>
      <c r="I9" s="451">
        <f>transport!I14</f>
        <v>0</v>
      </c>
      <c r="J9" s="451">
        <f>transport!J14</f>
        <v>0</v>
      </c>
      <c r="K9" s="451">
        <f>transport!K14</f>
        <v>0</v>
      </c>
      <c r="L9" s="451">
        <f>transport!L14</f>
        <v>0</v>
      </c>
      <c r="M9" s="451">
        <f>transport!M14</f>
        <v>7010.3167590239909</v>
      </c>
      <c r="N9" s="451">
        <f>transport!N14</f>
        <v>0</v>
      </c>
      <c r="O9" s="451">
        <f>transport!O14</f>
        <v>0</v>
      </c>
      <c r="P9" s="451">
        <f>transport!P14</f>
        <v>0</v>
      </c>
      <c r="Q9" s="450">
        <f>SUM(B9:P9)</f>
        <v>123761.07971795728</v>
      </c>
    </row>
    <row r="10" spans="1:17">
      <c r="A10" s="446" t="s">
        <v>527</v>
      </c>
      <c r="B10" s="447">
        <f>transport!B54</f>
        <v>14.930204726301993</v>
      </c>
      <c r="C10" s="447">
        <f>transport!C54</f>
        <v>0</v>
      </c>
      <c r="D10" s="447">
        <f>transport!D54</f>
        <v>0</v>
      </c>
      <c r="E10" s="447">
        <f>transport!E54</f>
        <v>0</v>
      </c>
      <c r="F10" s="447">
        <f>transport!F54</f>
        <v>0</v>
      </c>
      <c r="G10" s="447">
        <f>transport!G54</f>
        <v>934.67595303663404</v>
      </c>
      <c r="H10" s="447">
        <f>transport!H54</f>
        <v>0</v>
      </c>
      <c r="I10" s="447">
        <f>transport!I54</f>
        <v>0</v>
      </c>
      <c r="J10" s="447">
        <f>transport!J54</f>
        <v>0</v>
      </c>
      <c r="K10" s="447">
        <f>transport!K54</f>
        <v>0</v>
      </c>
      <c r="L10" s="447">
        <f>transport!L54</f>
        <v>0</v>
      </c>
      <c r="M10" s="447">
        <f>transport!M54</f>
        <v>53.667023633170373</v>
      </c>
      <c r="N10" s="447">
        <f>transport!N54</f>
        <v>0</v>
      </c>
      <c r="O10" s="447">
        <f>transport!O54</f>
        <v>0</v>
      </c>
      <c r="P10" s="448">
        <f>transport!P54</f>
        <v>0</v>
      </c>
      <c r="Q10" s="446">
        <f t="shared" si="0"/>
        <v>1003.2731813961065</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731.07297689437405</v>
      </c>
      <c r="C14" s="454"/>
      <c r="D14" s="454">
        <f>'SEAP template'!E25</f>
        <v>1097.1359097420502</v>
      </c>
      <c r="E14" s="454"/>
      <c r="F14" s="454"/>
      <c r="G14" s="454"/>
      <c r="H14" s="454"/>
      <c r="I14" s="454"/>
      <c r="J14" s="454"/>
      <c r="K14" s="454"/>
      <c r="L14" s="454"/>
      <c r="M14" s="454"/>
      <c r="N14" s="454"/>
      <c r="O14" s="454"/>
      <c r="P14" s="455"/>
      <c r="Q14" s="446">
        <f t="shared" si="0"/>
        <v>1828.2088866364243</v>
      </c>
    </row>
    <row r="15" spans="1:17" s="458" customFormat="1">
      <c r="A15" s="456" t="s">
        <v>531</v>
      </c>
      <c r="B15" s="457">
        <f ca="1">SUM(B4:B14)</f>
        <v>62813.757074649824</v>
      </c>
      <c r="C15" s="457">
        <f t="shared" ref="C15:Q15" ca="1" si="1">SUM(C4:C14)</f>
        <v>128.57142857142858</v>
      </c>
      <c r="D15" s="457">
        <f t="shared" ca="1" si="1"/>
        <v>81164.633207541076</v>
      </c>
      <c r="E15" s="457">
        <f t="shared" si="1"/>
        <v>4056.1605912747359</v>
      </c>
      <c r="F15" s="457">
        <f t="shared" ca="1" si="1"/>
        <v>89639.397395999302</v>
      </c>
      <c r="G15" s="457">
        <f t="shared" si="1"/>
        <v>89304.239362173743</v>
      </c>
      <c r="H15" s="457">
        <f t="shared" si="1"/>
        <v>27313.397491184263</v>
      </c>
      <c r="I15" s="457">
        <f t="shared" si="1"/>
        <v>0</v>
      </c>
      <c r="J15" s="457">
        <f t="shared" si="1"/>
        <v>710.34852607498567</v>
      </c>
      <c r="K15" s="457">
        <f t="shared" si="1"/>
        <v>0</v>
      </c>
      <c r="L15" s="457">
        <f t="shared" ca="1" si="1"/>
        <v>0</v>
      </c>
      <c r="M15" s="457">
        <f t="shared" si="1"/>
        <v>7063.9837826571611</v>
      </c>
      <c r="N15" s="457">
        <f t="shared" ca="1" si="1"/>
        <v>16138.106579721698</v>
      </c>
      <c r="O15" s="457">
        <f t="shared" si="1"/>
        <v>578.13591660344048</v>
      </c>
      <c r="P15" s="457">
        <f t="shared" si="1"/>
        <v>1632.2410597634585</v>
      </c>
      <c r="Q15" s="457">
        <f t="shared" ca="1" si="1"/>
        <v>380542.97241621517</v>
      </c>
    </row>
    <row r="17" spans="1:17">
      <c r="A17" s="459" t="s">
        <v>532</v>
      </c>
      <c r="B17" s="776">
        <f ca="1">huishoudens!B10</f>
        <v>0.1641406441263504</v>
      </c>
      <c r="C17" s="776">
        <f ca="1">huishoudens!C10</f>
        <v>0.23764705882352946</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6716.9331808419438</v>
      </c>
      <c r="C22" s="447">
        <f t="shared" ref="C22:C32" ca="1" si="3">C4*$C$17</f>
        <v>0</v>
      </c>
      <c r="D22" s="447">
        <f t="shared" ref="D22:D32" si="4">D4*$D$17</f>
        <v>12093.037388179697</v>
      </c>
      <c r="E22" s="447">
        <f t="shared" ref="E22:E32" si="5">E4*$E$17</f>
        <v>840.82500380836268</v>
      </c>
      <c r="F22" s="447">
        <f t="shared" ref="F22:F32" si="6">F4*$F$17</f>
        <v>21665.369739838494</v>
      </c>
      <c r="G22" s="447">
        <f t="shared" ref="G22:G32" si="7">G4*$G$17</f>
        <v>0</v>
      </c>
      <c r="H22" s="447">
        <f t="shared" ref="H22:H32" si="8">H4*$H$17</f>
        <v>0</v>
      </c>
      <c r="I22" s="447">
        <f t="shared" ref="I22:I32" si="9">I4*$I$17</f>
        <v>0</v>
      </c>
      <c r="J22" s="447">
        <f t="shared" ref="J22:J32" si="10">J4*$J$17</f>
        <v>163.70618863921027</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41479.871501307709</v>
      </c>
    </row>
    <row r="23" spans="1:17">
      <c r="A23" s="446" t="s">
        <v>149</v>
      </c>
      <c r="B23" s="447">
        <f t="shared" ca="1" si="2"/>
        <v>2768.9854056172653</v>
      </c>
      <c r="C23" s="447">
        <f t="shared" ca="1" si="3"/>
        <v>30.554621848739504</v>
      </c>
      <c r="D23" s="447">
        <f t="shared" ca="1" si="4"/>
        <v>3498.1606105198834</v>
      </c>
      <c r="E23" s="447">
        <f t="shared" si="5"/>
        <v>22.21514571020294</v>
      </c>
      <c r="F23" s="447">
        <f t="shared" ca="1" si="6"/>
        <v>1319.4525940271826</v>
      </c>
      <c r="G23" s="447">
        <f t="shared" si="7"/>
        <v>0</v>
      </c>
      <c r="H23" s="447">
        <f t="shared" si="8"/>
        <v>0</v>
      </c>
      <c r="I23" s="447">
        <f t="shared" si="9"/>
        <v>0</v>
      </c>
      <c r="J23" s="447">
        <f t="shared" si="10"/>
        <v>1.477622376313493E-2</v>
      </c>
      <c r="K23" s="447">
        <f t="shared" si="11"/>
        <v>0</v>
      </c>
      <c r="L23" s="447">
        <f t="shared" ca="1" si="12"/>
        <v>0</v>
      </c>
      <c r="M23" s="447">
        <f t="shared" si="13"/>
        <v>0</v>
      </c>
      <c r="N23" s="447">
        <f t="shared" ca="1" si="14"/>
        <v>0</v>
      </c>
      <c r="O23" s="447">
        <f t="shared" si="15"/>
        <v>0</v>
      </c>
      <c r="P23" s="448">
        <f t="shared" si="16"/>
        <v>0</v>
      </c>
      <c r="Q23" s="446">
        <f t="shared" ref="Q23:Q31" ca="1" si="17">SUM(B23:P23)</f>
        <v>7639.3831539470366</v>
      </c>
    </row>
    <row r="24" spans="1:17">
      <c r="A24" s="446" t="s">
        <v>187</v>
      </c>
      <c r="B24" s="447">
        <f t="shared" ca="1" si="2"/>
        <v>146.93591423095873</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146.93591423095873</v>
      </c>
    </row>
    <row r="25" spans="1:17">
      <c r="A25" s="446" t="s">
        <v>105</v>
      </c>
      <c r="B25" s="447">
        <f t="shared" ca="1" si="2"/>
        <v>157.84014354460626</v>
      </c>
      <c r="C25" s="447">
        <f t="shared" ca="1" si="3"/>
        <v>0</v>
      </c>
      <c r="D25" s="447">
        <f t="shared" si="4"/>
        <v>193.0465777063088</v>
      </c>
      <c r="E25" s="447">
        <f t="shared" si="5"/>
        <v>6.2520992826641635</v>
      </c>
      <c r="F25" s="447">
        <f t="shared" si="6"/>
        <v>812.74188279383509</v>
      </c>
      <c r="G25" s="447">
        <f t="shared" si="7"/>
        <v>0</v>
      </c>
      <c r="H25" s="447">
        <f t="shared" si="8"/>
        <v>0</v>
      </c>
      <c r="I25" s="447">
        <f t="shared" si="9"/>
        <v>0</v>
      </c>
      <c r="J25" s="447">
        <f t="shared" si="10"/>
        <v>86.556028973003606</v>
      </c>
      <c r="K25" s="447">
        <f t="shared" si="11"/>
        <v>0</v>
      </c>
      <c r="L25" s="447">
        <f t="shared" si="12"/>
        <v>0</v>
      </c>
      <c r="M25" s="447">
        <f t="shared" si="13"/>
        <v>0</v>
      </c>
      <c r="N25" s="447">
        <f t="shared" si="14"/>
        <v>0</v>
      </c>
      <c r="O25" s="447">
        <f t="shared" si="15"/>
        <v>0</v>
      </c>
      <c r="P25" s="448">
        <f t="shared" si="16"/>
        <v>0</v>
      </c>
      <c r="Q25" s="446">
        <f t="shared" ca="1" si="17"/>
        <v>1256.4367323004178</v>
      </c>
    </row>
    <row r="26" spans="1:17">
      <c r="A26" s="446" t="s">
        <v>611</v>
      </c>
      <c r="B26" s="447">
        <f t="shared" ca="1" si="2"/>
        <v>349.46229194902457</v>
      </c>
      <c r="C26" s="447">
        <f t="shared" ca="1" si="3"/>
        <v>0</v>
      </c>
      <c r="D26" s="447">
        <f t="shared" si="4"/>
        <v>276.72773540801222</v>
      </c>
      <c r="E26" s="447">
        <f t="shared" si="5"/>
        <v>1.6159268231281316</v>
      </c>
      <c r="F26" s="447">
        <f t="shared" si="6"/>
        <v>136.15488807230244</v>
      </c>
      <c r="G26" s="447">
        <f t="shared" si="7"/>
        <v>0</v>
      </c>
      <c r="H26" s="447">
        <f t="shared" si="8"/>
        <v>0</v>
      </c>
      <c r="I26" s="447">
        <f t="shared" si="9"/>
        <v>0</v>
      </c>
      <c r="J26" s="447">
        <f t="shared" si="10"/>
        <v>1.1863843945679406</v>
      </c>
      <c r="K26" s="447">
        <f t="shared" si="11"/>
        <v>0</v>
      </c>
      <c r="L26" s="447">
        <f t="shared" si="12"/>
        <v>0</v>
      </c>
      <c r="M26" s="447">
        <f t="shared" si="13"/>
        <v>0</v>
      </c>
      <c r="N26" s="447">
        <f t="shared" si="14"/>
        <v>0</v>
      </c>
      <c r="O26" s="447">
        <f t="shared" si="15"/>
        <v>0</v>
      </c>
      <c r="P26" s="448">
        <f t="shared" si="16"/>
        <v>0</v>
      </c>
      <c r="Q26" s="446">
        <f t="shared" ca="1" si="17"/>
        <v>765.14722664703538</v>
      </c>
    </row>
    <row r="27" spans="1:17" s="452" customFormat="1">
      <c r="A27" s="450" t="s">
        <v>537</v>
      </c>
      <c r="B27" s="770">
        <f t="shared" ca="1" si="2"/>
        <v>47.684167293799845</v>
      </c>
      <c r="C27" s="451">
        <f t="shared" ca="1" si="3"/>
        <v>0</v>
      </c>
      <c r="D27" s="451">
        <f t="shared" si="4"/>
        <v>112.66214234150503</v>
      </c>
      <c r="E27" s="451">
        <f t="shared" si="5"/>
        <v>49.840278595007163</v>
      </c>
      <c r="F27" s="451">
        <f t="shared" si="6"/>
        <v>0</v>
      </c>
      <c r="G27" s="451">
        <f t="shared" si="7"/>
        <v>23594.673430239607</v>
      </c>
      <c r="H27" s="451">
        <f t="shared" si="8"/>
        <v>6801.0359753048815</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30605.8959937748</v>
      </c>
    </row>
    <row r="28" spans="1:17" ht="16.5" customHeight="1">
      <c r="A28" s="446" t="s">
        <v>527</v>
      </c>
      <c r="B28" s="447">
        <f t="shared" ca="1" si="2"/>
        <v>2.4506534207134902</v>
      </c>
      <c r="C28" s="447">
        <f t="shared" ca="1" si="3"/>
        <v>0</v>
      </c>
      <c r="D28" s="447">
        <f t="shared" si="4"/>
        <v>0</v>
      </c>
      <c r="E28" s="447">
        <f t="shared" si="5"/>
        <v>0</v>
      </c>
      <c r="F28" s="447">
        <f t="shared" si="6"/>
        <v>0</v>
      </c>
      <c r="G28" s="447">
        <f t="shared" si="7"/>
        <v>249.55847946078131</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252.00913288149479</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119.99878933081105</v>
      </c>
      <c r="C32" s="447">
        <f t="shared" ca="1" si="3"/>
        <v>0</v>
      </c>
      <c r="D32" s="447">
        <f t="shared" si="4"/>
        <v>221.62145376789417</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341.6202430987052</v>
      </c>
    </row>
    <row r="33" spans="1:17" s="458" customFormat="1">
      <c r="A33" s="456" t="s">
        <v>531</v>
      </c>
      <c r="B33" s="457">
        <f ca="1">SUM(B22:B32)</f>
        <v>10310.290546229124</v>
      </c>
      <c r="C33" s="457">
        <f t="shared" ref="C33:Q33" ca="1" si="19">SUM(C22:C32)</f>
        <v>30.554621848739504</v>
      </c>
      <c r="D33" s="457">
        <f t="shared" ca="1" si="19"/>
        <v>16395.2559079233</v>
      </c>
      <c r="E33" s="457">
        <f t="shared" si="19"/>
        <v>920.74845421936504</v>
      </c>
      <c r="F33" s="457">
        <f t="shared" ca="1" si="19"/>
        <v>23933.719104731812</v>
      </c>
      <c r="G33" s="457">
        <f t="shared" si="19"/>
        <v>23844.231909700389</v>
      </c>
      <c r="H33" s="457">
        <f t="shared" si="19"/>
        <v>6801.0359753048815</v>
      </c>
      <c r="I33" s="457">
        <f t="shared" si="19"/>
        <v>0</v>
      </c>
      <c r="J33" s="457">
        <f t="shared" si="19"/>
        <v>251.46337823054495</v>
      </c>
      <c r="K33" s="457">
        <f t="shared" si="19"/>
        <v>0</v>
      </c>
      <c r="L33" s="457">
        <f t="shared" ca="1" si="19"/>
        <v>0</v>
      </c>
      <c r="M33" s="457">
        <f t="shared" si="19"/>
        <v>0</v>
      </c>
      <c r="N33" s="457">
        <f t="shared" ca="1" si="19"/>
        <v>0</v>
      </c>
      <c r="O33" s="457">
        <f t="shared" si="19"/>
        <v>0</v>
      </c>
      <c r="P33" s="457">
        <f t="shared" si="19"/>
        <v>0</v>
      </c>
      <c r="Q33" s="457">
        <f t="shared" ca="1" si="19"/>
        <v>82487.299898188154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6983.970242268776</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9183.6677783765099</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90</v>
      </c>
      <c r="D8" s="1014">
        <f>'SEAP template'!D76</f>
        <v>105.88235294117648</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21.388235294117649</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16167.638020645285</v>
      </c>
      <c r="C10" s="1016">
        <f>SUM(C4:C9)</f>
        <v>90</v>
      </c>
      <c r="D10" s="1016">
        <f t="shared" ref="D10:H10" si="0">SUM(D8:D9)</f>
        <v>105.88235294117648</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21.388235294117649</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0.1641406441263504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128.57142857142858</v>
      </c>
      <c r="D17" s="1015">
        <f>'SEAP template'!D87</f>
        <v>151.2605042016807</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30.554621848739504</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128.57142857142858</v>
      </c>
      <c r="D20" s="1016">
        <f t="shared" ref="D20:H20" si="2">SUM(D17:D19)</f>
        <v>151.2605042016807</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30.554621848739504</v>
      </c>
    </row>
    <row r="21" spans="1:16">
      <c r="B21" s="881"/>
    </row>
    <row r="22" spans="1:16">
      <c r="A22" s="459" t="s">
        <v>749</v>
      </c>
      <c r="B22" s="776" t="s">
        <v>747</v>
      </c>
      <c r="C22" s="776">
        <f ca="1">'EF ele_warmte'!B22</f>
        <v>0.23764705882352946</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0.1641406441263504</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1</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4.8972607658411542</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0.1641406441263504</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0.1641406441263504</v>
      </c>
      <c r="C29" s="497">
        <f ca="1">'EF ele_warmte'!B22</f>
        <v>0.23764705882352946</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10194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1697.51</v>
      </c>
      <c r="C14" s="326"/>
      <c r="D14" s="326"/>
      <c r="E14" s="326"/>
      <c r="F14" s="326"/>
    </row>
    <row r="15" spans="1:6">
      <c r="A15" s="1310" t="s">
        <v>177</v>
      </c>
      <c r="B15" s="1311">
        <v>15</v>
      </c>
      <c r="C15" s="326"/>
      <c r="D15" s="326"/>
      <c r="E15" s="326"/>
      <c r="F15" s="326"/>
    </row>
    <row r="16" spans="1:6">
      <c r="A16" s="1310" t="s">
        <v>6</v>
      </c>
      <c r="B16" s="1311">
        <v>512</v>
      </c>
      <c r="C16" s="326"/>
      <c r="D16" s="326"/>
      <c r="E16" s="326"/>
      <c r="F16" s="326"/>
    </row>
    <row r="17" spans="1:6">
      <c r="A17" s="1310" t="s">
        <v>7</v>
      </c>
      <c r="B17" s="1311">
        <v>192</v>
      </c>
      <c r="C17" s="326"/>
      <c r="D17" s="326"/>
      <c r="E17" s="326"/>
      <c r="F17" s="326"/>
    </row>
    <row r="18" spans="1:6">
      <c r="A18" s="1310" t="s">
        <v>8</v>
      </c>
      <c r="B18" s="1311">
        <v>392</v>
      </c>
      <c r="C18" s="326"/>
      <c r="D18" s="326"/>
      <c r="E18" s="326"/>
      <c r="F18" s="326"/>
    </row>
    <row r="19" spans="1:6">
      <c r="A19" s="1310" t="s">
        <v>9</v>
      </c>
      <c r="B19" s="1311">
        <v>371</v>
      </c>
      <c r="C19" s="326"/>
      <c r="D19" s="326"/>
      <c r="E19" s="326"/>
      <c r="F19" s="326"/>
    </row>
    <row r="20" spans="1:6">
      <c r="A20" s="1310" t="s">
        <v>10</v>
      </c>
      <c r="B20" s="1311">
        <v>202</v>
      </c>
      <c r="C20" s="326"/>
      <c r="D20" s="326"/>
      <c r="E20" s="326"/>
      <c r="F20" s="326"/>
    </row>
    <row r="21" spans="1:6">
      <c r="A21" s="1310" t="s">
        <v>11</v>
      </c>
      <c r="B21" s="1311">
        <v>0</v>
      </c>
      <c r="C21" s="326"/>
      <c r="D21" s="326"/>
      <c r="E21" s="326"/>
      <c r="F21" s="326"/>
    </row>
    <row r="22" spans="1:6">
      <c r="A22" s="1310" t="s">
        <v>12</v>
      </c>
      <c r="B22" s="1311">
        <v>2985</v>
      </c>
      <c r="C22" s="326"/>
      <c r="D22" s="326"/>
      <c r="E22" s="326"/>
      <c r="F22" s="326"/>
    </row>
    <row r="23" spans="1:6">
      <c r="A23" s="1310" t="s">
        <v>13</v>
      </c>
      <c r="B23" s="1311">
        <v>0</v>
      </c>
      <c r="C23" s="326"/>
      <c r="D23" s="326"/>
      <c r="E23" s="326"/>
      <c r="F23" s="326"/>
    </row>
    <row r="24" spans="1:6">
      <c r="A24" s="1310" t="s">
        <v>14</v>
      </c>
      <c r="B24" s="1311">
        <v>0</v>
      </c>
      <c r="C24" s="326"/>
      <c r="D24" s="326"/>
      <c r="E24" s="326"/>
      <c r="F24" s="326"/>
    </row>
    <row r="25" spans="1:6">
      <c r="A25" s="1310" t="s">
        <v>15</v>
      </c>
      <c r="B25" s="1311">
        <v>0</v>
      </c>
      <c r="C25" s="326"/>
      <c r="D25" s="326"/>
      <c r="E25" s="326"/>
      <c r="F25" s="326"/>
    </row>
    <row r="26" spans="1:6">
      <c r="A26" s="1310" t="s">
        <v>16</v>
      </c>
      <c r="B26" s="1311">
        <v>23</v>
      </c>
      <c r="C26" s="326"/>
      <c r="D26" s="326"/>
      <c r="E26" s="326"/>
      <c r="F26" s="326"/>
    </row>
    <row r="27" spans="1:6">
      <c r="A27" s="1310" t="s">
        <v>17</v>
      </c>
      <c r="B27" s="1311">
        <v>5</v>
      </c>
      <c r="C27" s="326"/>
      <c r="D27" s="326"/>
      <c r="E27" s="326"/>
      <c r="F27" s="326"/>
    </row>
    <row r="28" spans="1:6">
      <c r="A28" s="1310" t="s">
        <v>18</v>
      </c>
      <c r="B28" s="1312">
        <v>0</v>
      </c>
      <c r="C28" s="326"/>
      <c r="D28" s="326"/>
      <c r="E28" s="326"/>
      <c r="F28" s="326"/>
    </row>
    <row r="29" spans="1:6">
      <c r="A29" s="1310" t="s">
        <v>678</v>
      </c>
      <c r="B29" s="1312">
        <v>104</v>
      </c>
      <c r="C29" s="326"/>
      <c r="D29" s="326"/>
      <c r="E29" s="326"/>
      <c r="F29" s="326"/>
    </row>
    <row r="30" spans="1:6">
      <c r="A30" s="1305" t="s">
        <v>679</v>
      </c>
      <c r="B30" s="1313">
        <v>33</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5</v>
      </c>
      <c r="F36" s="1311">
        <v>23376.4299709472</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4446</v>
      </c>
      <c r="D39" s="1311">
        <v>66297366.249902397</v>
      </c>
      <c r="E39" s="1311">
        <v>10186</v>
      </c>
      <c r="F39" s="1311">
        <v>33157608.730505802</v>
      </c>
    </row>
    <row r="40" spans="1:6">
      <c r="A40" s="1310" t="s">
        <v>29</v>
      </c>
      <c r="B40" s="1310" t="s">
        <v>28</v>
      </c>
      <c r="C40" s="1311">
        <v>0</v>
      </c>
      <c r="D40" s="1311">
        <v>0</v>
      </c>
      <c r="E40" s="1311">
        <v>0</v>
      </c>
      <c r="F40" s="1311">
        <v>0</v>
      </c>
    </row>
    <row r="41" spans="1:6">
      <c r="A41" s="1310" t="s">
        <v>31</v>
      </c>
      <c r="B41" s="1310" t="s">
        <v>32</v>
      </c>
      <c r="C41" s="1311">
        <v>48</v>
      </c>
      <c r="D41" s="1311">
        <v>884708.36832004704</v>
      </c>
      <c r="E41" s="1311">
        <v>153</v>
      </c>
      <c r="F41" s="1311">
        <v>712000.54138417798</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6</v>
      </c>
      <c r="D44" s="1311">
        <v>104046.86752475399</v>
      </c>
      <c r="E44" s="1311">
        <v>26</v>
      </c>
      <c r="F44" s="1311">
        <v>240855.38139983799</v>
      </c>
    </row>
    <row r="45" spans="1:6">
      <c r="A45" s="1310" t="s">
        <v>31</v>
      </c>
      <c r="B45" s="1310" t="s">
        <v>36</v>
      </c>
      <c r="C45" s="1311">
        <v>0</v>
      </c>
      <c r="D45" s="1311">
        <v>0</v>
      </c>
      <c r="E45" s="1311">
        <v>3</v>
      </c>
      <c r="F45" s="1311">
        <v>87925.567656989995</v>
      </c>
    </row>
    <row r="46" spans="1:6">
      <c r="A46" s="1310" t="s">
        <v>31</v>
      </c>
      <c r="B46" s="1310" t="s">
        <v>37</v>
      </c>
      <c r="C46" s="1311">
        <v>0</v>
      </c>
      <c r="D46" s="1311">
        <v>0</v>
      </c>
      <c r="E46" s="1311">
        <v>0</v>
      </c>
      <c r="F46" s="1311">
        <v>0</v>
      </c>
    </row>
    <row r="47" spans="1:6">
      <c r="A47" s="1310" t="s">
        <v>31</v>
      </c>
      <c r="B47" s="1310" t="s">
        <v>38</v>
      </c>
      <c r="C47" s="1311">
        <v>0</v>
      </c>
      <c r="D47" s="1311">
        <v>0</v>
      </c>
      <c r="E47" s="1311">
        <v>3</v>
      </c>
      <c r="F47" s="1311">
        <v>38038.781791971</v>
      </c>
    </row>
    <row r="48" spans="1:6">
      <c r="A48" s="1310" t="s">
        <v>31</v>
      </c>
      <c r="B48" s="1310" t="s">
        <v>28</v>
      </c>
      <c r="C48" s="1311">
        <v>3</v>
      </c>
      <c r="D48" s="1311">
        <v>54820.2250726524</v>
      </c>
      <c r="E48" s="1311">
        <v>0</v>
      </c>
      <c r="F48" s="1311">
        <v>0</v>
      </c>
    </row>
    <row r="49" spans="1:6">
      <c r="A49" s="1310" t="s">
        <v>31</v>
      </c>
      <c r="B49" s="1310" t="s">
        <v>39</v>
      </c>
      <c r="C49" s="1311">
        <v>0</v>
      </c>
      <c r="D49" s="1311">
        <v>0</v>
      </c>
      <c r="E49" s="1311">
        <v>3</v>
      </c>
      <c r="F49" s="1311">
        <v>107688.238014056</v>
      </c>
    </row>
    <row r="50" spans="1:6">
      <c r="A50" s="1310" t="s">
        <v>31</v>
      </c>
      <c r="B50" s="1310" t="s">
        <v>40</v>
      </c>
      <c r="C50" s="1311">
        <v>8</v>
      </c>
      <c r="D50" s="1311">
        <v>473522.30674376502</v>
      </c>
      <c r="E50" s="1311">
        <v>15</v>
      </c>
      <c r="F50" s="1311">
        <v>942533.28685971699</v>
      </c>
    </row>
    <row r="51" spans="1:6">
      <c r="A51" s="1310" t="s">
        <v>41</v>
      </c>
      <c r="B51" s="1310" t="s">
        <v>42</v>
      </c>
      <c r="C51" s="1311">
        <v>14</v>
      </c>
      <c r="D51" s="1311">
        <v>1058334.58168212</v>
      </c>
      <c r="E51" s="1311">
        <v>45</v>
      </c>
      <c r="F51" s="1311">
        <v>961615.23177102802</v>
      </c>
    </row>
    <row r="52" spans="1:6">
      <c r="A52" s="1310" t="s">
        <v>41</v>
      </c>
      <c r="B52" s="1310" t="s">
        <v>28</v>
      </c>
      <c r="C52" s="1311">
        <v>0</v>
      </c>
      <c r="D52" s="1311">
        <v>0</v>
      </c>
      <c r="E52" s="1311">
        <v>0</v>
      </c>
      <c r="F52" s="1311">
        <v>0</v>
      </c>
    </row>
    <row r="53" spans="1:6">
      <c r="A53" s="1310" t="s">
        <v>43</v>
      </c>
      <c r="B53" s="1310" t="s">
        <v>44</v>
      </c>
      <c r="C53" s="1311">
        <v>93</v>
      </c>
      <c r="D53" s="1311">
        <v>1097135.9097420501</v>
      </c>
      <c r="E53" s="1311">
        <v>296</v>
      </c>
      <c r="F53" s="1311">
        <v>731072.97689437401</v>
      </c>
    </row>
    <row r="54" spans="1:6">
      <c r="A54" s="1310" t="s">
        <v>45</v>
      </c>
      <c r="B54" s="1310" t="s">
        <v>46</v>
      </c>
      <c r="C54" s="1311">
        <v>0</v>
      </c>
      <c r="D54" s="1311">
        <v>0</v>
      </c>
      <c r="E54" s="1311">
        <v>1</v>
      </c>
      <c r="F54" s="1311">
        <v>895183</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63</v>
      </c>
      <c r="D57" s="1311">
        <v>3585541.3297343398</v>
      </c>
      <c r="E57" s="1311">
        <v>134</v>
      </c>
      <c r="F57" s="1311">
        <v>4126956.1767508201</v>
      </c>
    </row>
    <row r="58" spans="1:6">
      <c r="A58" s="1310" t="s">
        <v>48</v>
      </c>
      <c r="B58" s="1310" t="s">
        <v>50</v>
      </c>
      <c r="C58" s="1311">
        <v>46</v>
      </c>
      <c r="D58" s="1311">
        <v>5087352.67641568</v>
      </c>
      <c r="E58" s="1311">
        <v>73</v>
      </c>
      <c r="F58" s="1311">
        <v>1879361.41252475</v>
      </c>
    </row>
    <row r="59" spans="1:6">
      <c r="A59" s="1310" t="s">
        <v>48</v>
      </c>
      <c r="B59" s="1310" t="s">
        <v>51</v>
      </c>
      <c r="C59" s="1311">
        <v>102</v>
      </c>
      <c r="D59" s="1311">
        <v>2991047.8789730701</v>
      </c>
      <c r="E59" s="1311">
        <v>238</v>
      </c>
      <c r="F59" s="1311">
        <v>5450441.7291620802</v>
      </c>
    </row>
    <row r="60" spans="1:6">
      <c r="A60" s="1310" t="s">
        <v>48</v>
      </c>
      <c r="B60" s="1310" t="s">
        <v>52</v>
      </c>
      <c r="C60" s="1311">
        <v>57</v>
      </c>
      <c r="D60" s="1311">
        <v>2178111.8573588799</v>
      </c>
      <c r="E60" s="1311">
        <v>110</v>
      </c>
      <c r="F60" s="1311">
        <v>1821547.29371904</v>
      </c>
    </row>
    <row r="61" spans="1:6">
      <c r="A61" s="1310" t="s">
        <v>48</v>
      </c>
      <c r="B61" s="1310" t="s">
        <v>53</v>
      </c>
      <c r="C61" s="1311">
        <v>146</v>
      </c>
      <c r="D61" s="1311">
        <v>4643543.3321714802</v>
      </c>
      <c r="E61" s="1311">
        <v>384</v>
      </c>
      <c r="F61" s="1311">
        <v>3321447.3449329399</v>
      </c>
    </row>
    <row r="62" spans="1:6">
      <c r="A62" s="1310" t="s">
        <v>48</v>
      </c>
      <c r="B62" s="1310" t="s">
        <v>54</v>
      </c>
      <c r="C62" s="1311">
        <v>13</v>
      </c>
      <c r="D62" s="1311">
        <v>977049.26188559399</v>
      </c>
      <c r="E62" s="1311">
        <v>22</v>
      </c>
      <c r="F62" s="1311">
        <v>179836.26753374701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6</v>
      </c>
      <c r="F66" s="1311">
        <v>7295.0823474480003</v>
      </c>
    </row>
    <row r="67" spans="1:6">
      <c r="A67" s="1310" t="s">
        <v>55</v>
      </c>
      <c r="B67" s="1310" t="s">
        <v>58</v>
      </c>
      <c r="C67" s="1311">
        <v>0</v>
      </c>
      <c r="D67" s="1311">
        <v>0</v>
      </c>
      <c r="E67" s="1311">
        <v>0</v>
      </c>
      <c r="F67" s="1311">
        <v>0</v>
      </c>
    </row>
    <row r="68" spans="1:6">
      <c r="A68" s="1305" t="s">
        <v>55</v>
      </c>
      <c r="B68" s="1305" t="s">
        <v>59</v>
      </c>
      <c r="C68" s="1313">
        <v>5</v>
      </c>
      <c r="D68" s="1313">
        <v>96074.857063130999</v>
      </c>
      <c r="E68" s="1313">
        <v>16</v>
      </c>
      <c r="F68" s="1313">
        <v>79574.983867942006</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66159403</v>
      </c>
      <c r="E73" s="445"/>
      <c r="F73" s="326"/>
    </row>
    <row r="74" spans="1:6">
      <c r="A74" s="1310" t="s">
        <v>63</v>
      </c>
      <c r="B74" s="1310" t="s">
        <v>632</v>
      </c>
      <c r="C74" s="1323" t="s">
        <v>634</v>
      </c>
      <c r="D74" s="1311">
        <v>5474844.5814024685</v>
      </c>
      <c r="E74" s="445"/>
      <c r="F74" s="326"/>
    </row>
    <row r="75" spans="1:6">
      <c r="A75" s="1310" t="s">
        <v>64</v>
      </c>
      <c r="B75" s="1310" t="s">
        <v>631</v>
      </c>
      <c r="C75" s="1323" t="s">
        <v>635</v>
      </c>
      <c r="D75" s="1311">
        <v>54456016</v>
      </c>
      <c r="E75" s="445"/>
      <c r="F75" s="326"/>
    </row>
    <row r="76" spans="1:6">
      <c r="A76" s="1310" t="s">
        <v>64</v>
      </c>
      <c r="B76" s="1310" t="s">
        <v>632</v>
      </c>
      <c r="C76" s="1323" t="s">
        <v>636</v>
      </c>
      <c r="D76" s="1311">
        <v>2232608.5814024685</v>
      </c>
      <c r="E76" s="445"/>
      <c r="F76" s="326"/>
    </row>
    <row r="77" spans="1:6">
      <c r="A77" s="1310" t="s">
        <v>65</v>
      </c>
      <c r="B77" s="1310" t="s">
        <v>631</v>
      </c>
      <c r="C77" s="1323" t="s">
        <v>637</v>
      </c>
      <c r="D77" s="1311">
        <v>12455144</v>
      </c>
      <c r="E77" s="445"/>
      <c r="F77" s="326"/>
    </row>
    <row r="78" spans="1:6">
      <c r="A78" s="1305" t="s">
        <v>65</v>
      </c>
      <c r="B78" s="1305" t="s">
        <v>632</v>
      </c>
      <c r="C78" s="1305" t="s">
        <v>638</v>
      </c>
      <c r="D78" s="1313">
        <v>1372582</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278480.83719506301</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6983.970242268776</v>
      </c>
      <c r="C90" s="326"/>
      <c r="D90" s="326"/>
      <c r="E90" s="326"/>
      <c r="F90" s="326"/>
    </row>
    <row r="91" spans="1:6">
      <c r="A91" s="1310" t="s">
        <v>67</v>
      </c>
      <c r="B91" s="1311">
        <v>7764.2069269949443</v>
      </c>
      <c r="C91" s="326"/>
      <c r="D91" s="326"/>
      <c r="E91" s="326"/>
      <c r="F91" s="326"/>
    </row>
    <row r="92" spans="1:6">
      <c r="A92" s="1305" t="s">
        <v>68</v>
      </c>
      <c r="B92" s="1306">
        <v>1419.4608513815654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1234</v>
      </c>
      <c r="C97" s="326"/>
      <c r="D97" s="326"/>
      <c r="E97" s="326"/>
      <c r="F97" s="326"/>
    </row>
    <row r="98" spans="1:6">
      <c r="A98" s="1310" t="s">
        <v>71</v>
      </c>
      <c r="B98" s="1311">
        <v>1</v>
      </c>
      <c r="C98" s="326"/>
      <c r="D98" s="326"/>
      <c r="E98" s="326"/>
      <c r="F98" s="326"/>
    </row>
    <row r="99" spans="1:6">
      <c r="A99" s="1310" t="s">
        <v>72</v>
      </c>
      <c r="B99" s="1311">
        <v>130</v>
      </c>
      <c r="C99" s="326"/>
      <c r="D99" s="326"/>
      <c r="E99" s="326"/>
      <c r="F99" s="326"/>
    </row>
    <row r="100" spans="1:6">
      <c r="A100" s="1310" t="s">
        <v>73</v>
      </c>
      <c r="B100" s="1311">
        <v>475</v>
      </c>
      <c r="C100" s="326"/>
      <c r="D100" s="326"/>
      <c r="E100" s="326"/>
      <c r="F100" s="326"/>
    </row>
    <row r="101" spans="1:6">
      <c r="A101" s="1310" t="s">
        <v>74</v>
      </c>
      <c r="B101" s="1311">
        <v>64</v>
      </c>
      <c r="C101" s="326"/>
      <c r="D101" s="326"/>
      <c r="E101" s="326"/>
      <c r="F101" s="326"/>
    </row>
    <row r="102" spans="1:6">
      <c r="A102" s="1310" t="s">
        <v>75</v>
      </c>
      <c r="B102" s="1311">
        <v>106</v>
      </c>
      <c r="C102" s="326"/>
      <c r="D102" s="326"/>
      <c r="E102" s="326"/>
      <c r="F102" s="326"/>
    </row>
    <row r="103" spans="1:6">
      <c r="A103" s="1310" t="s">
        <v>76</v>
      </c>
      <c r="B103" s="1311">
        <v>209</v>
      </c>
      <c r="C103" s="326"/>
      <c r="D103" s="326"/>
      <c r="E103" s="326"/>
      <c r="F103" s="326"/>
    </row>
    <row r="104" spans="1:6">
      <c r="A104" s="1310" t="s">
        <v>77</v>
      </c>
      <c r="B104" s="1311">
        <v>6605</v>
      </c>
      <c r="C104" s="326"/>
      <c r="D104" s="326"/>
      <c r="E104" s="326"/>
      <c r="F104" s="326"/>
    </row>
    <row r="105" spans="1:6">
      <c r="A105" s="1305" t="s">
        <v>78</v>
      </c>
      <c r="B105" s="1313">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1</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84</v>
      </c>
      <c r="C123" s="1311">
        <v>37</v>
      </c>
      <c r="D123" s="326"/>
      <c r="E123" s="326"/>
      <c r="F123" s="326"/>
    </row>
    <row r="124" spans="1:6">
      <c r="A124" s="1310" t="s">
        <v>88</v>
      </c>
      <c r="B124" s="1311">
        <v>3</v>
      </c>
      <c r="C124" s="1311">
        <v>0</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247</v>
      </c>
      <c r="C129" s="326"/>
      <c r="D129" s="326"/>
      <c r="E129" s="326"/>
      <c r="F129" s="326"/>
    </row>
    <row r="130" spans="1:6">
      <c r="A130" s="1310" t="s">
        <v>284</v>
      </c>
      <c r="B130" s="1311">
        <v>3</v>
      </c>
      <c r="C130" s="326"/>
      <c r="D130" s="326"/>
      <c r="E130" s="326"/>
      <c r="F130" s="326"/>
    </row>
    <row r="131" spans="1:6">
      <c r="A131" s="1310" t="s">
        <v>285</v>
      </c>
      <c r="B131" s="1311">
        <v>4</v>
      </c>
      <c r="C131" s="326"/>
      <c r="D131" s="326"/>
      <c r="E131" s="326"/>
      <c r="F131" s="326"/>
    </row>
    <row r="132" spans="1:6">
      <c r="A132" s="1305" t="s">
        <v>286</v>
      </c>
      <c r="B132" s="1306">
        <v>48</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62813.757074649831</v>
      </c>
      <c r="C3" s="43" t="s">
        <v>163</v>
      </c>
      <c r="D3" s="43"/>
      <c r="E3" s="154"/>
      <c r="F3" s="43"/>
      <c r="G3" s="43"/>
      <c r="H3" s="43"/>
      <c r="I3" s="43"/>
      <c r="J3" s="43"/>
      <c r="K3" s="96"/>
    </row>
    <row r="4" spans="1:11">
      <c r="A4" s="352" t="s">
        <v>164</v>
      </c>
      <c r="B4" s="49">
        <f>IF(ISERROR('SEAP template'!B78+'SEAP template'!C78),0,'SEAP template'!B78+'SEAP template'!C78)</f>
        <v>16257.638020645285</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21.388235294117649</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0.1641406441263504</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30.554621848739504</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128.57142857142858</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0.23764705882352946</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895.18299999999999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895.18299999999999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0.1641406441263504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146.93591423095873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33157.608730505803</v>
      </c>
      <c r="C5" s="17">
        <f>IF(ISERROR('Eigen informatie GS &amp; warmtenet'!B59),0,'Eigen informatie GS &amp; warmtenet'!B59)</f>
        <v>0</v>
      </c>
      <c r="D5" s="30">
        <f>(SUM(HH_hh_gas_kWh,HH_rest_gas_kWh)/1000)*0.903</f>
        <v>59866.521723661863</v>
      </c>
      <c r="E5" s="17">
        <f>B32*B41</f>
        <v>3704.0749066447693</v>
      </c>
      <c r="F5" s="17">
        <f>B36*B45</f>
        <v>81143.706890780872</v>
      </c>
      <c r="G5" s="18"/>
      <c r="H5" s="17"/>
      <c r="I5" s="17"/>
      <c r="J5" s="17">
        <f>B35*B44+C35*C44</f>
        <v>462.44686056274088</v>
      </c>
      <c r="K5" s="17"/>
      <c r="L5" s="17"/>
      <c r="M5" s="17"/>
      <c r="N5" s="17">
        <f>B34*B43+C34*C43</f>
        <v>14418.840666985716</v>
      </c>
      <c r="O5" s="17">
        <f>B52*B53*B54</f>
        <v>563.44413430591703</v>
      </c>
      <c r="P5" s="17">
        <f>B60*B61*B62/1000-B60*B61*B62/1000/B63</f>
        <v>1422.0845065374783</v>
      </c>
    </row>
    <row r="6" spans="1:16">
      <c r="A6" s="16" t="s">
        <v>597</v>
      </c>
      <c r="B6" s="778">
        <f>kWh_PV_kleiner_dan_10kW</f>
        <v>7764.2069269949443</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40921.815657500745</v>
      </c>
      <c r="C8" s="21">
        <f>C5</f>
        <v>0</v>
      </c>
      <c r="D8" s="21">
        <f>D5</f>
        <v>59866.521723661863</v>
      </c>
      <c r="E8" s="21">
        <f>E5</f>
        <v>3704.0749066447693</v>
      </c>
      <c r="F8" s="21">
        <f>F5</f>
        <v>81143.706890780872</v>
      </c>
      <c r="G8" s="21"/>
      <c r="H8" s="21"/>
      <c r="I8" s="21"/>
      <c r="J8" s="21">
        <f>J5</f>
        <v>462.44686056274088</v>
      </c>
      <c r="K8" s="21"/>
      <c r="L8" s="21">
        <f>L5</f>
        <v>0</v>
      </c>
      <c r="M8" s="21">
        <f>M5</f>
        <v>0</v>
      </c>
      <c r="N8" s="21">
        <f>N5</f>
        <v>14418.840666985716</v>
      </c>
      <c r="O8" s="21">
        <f>O5</f>
        <v>563.44413430591703</v>
      </c>
      <c r="P8" s="21">
        <f>P5</f>
        <v>1422.0845065374783</v>
      </c>
    </row>
    <row r="9" spans="1:16">
      <c r="B9" s="19"/>
      <c r="C9" s="19"/>
      <c r="D9" s="254"/>
      <c r="E9" s="19"/>
      <c r="F9" s="19"/>
      <c r="G9" s="19"/>
      <c r="H9" s="19"/>
      <c r="I9" s="19"/>
      <c r="J9" s="19"/>
      <c r="K9" s="19"/>
      <c r="L9" s="19"/>
      <c r="M9" s="19"/>
      <c r="N9" s="19"/>
      <c r="O9" s="19"/>
      <c r="P9" s="19"/>
    </row>
    <row r="10" spans="1:16">
      <c r="A10" s="24" t="s">
        <v>207</v>
      </c>
      <c r="B10" s="25">
        <f ca="1">'EF ele_warmte'!B12</f>
        <v>0.1641406441263504</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6716.9331808419438</v>
      </c>
      <c r="C12" s="23">
        <f ca="1">C10*C8</f>
        <v>0</v>
      </c>
      <c r="D12" s="23">
        <f>D8*D10</f>
        <v>12093.037388179697</v>
      </c>
      <c r="E12" s="23">
        <f>E10*E8</f>
        <v>840.82500380836268</v>
      </c>
      <c r="F12" s="23">
        <f>F10*F8</f>
        <v>21665.369739838494</v>
      </c>
      <c r="G12" s="23"/>
      <c r="H12" s="23"/>
      <c r="I12" s="23"/>
      <c r="J12" s="23">
        <f>J10*J8</f>
        <v>163.70618863921027</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10194</v>
      </c>
      <c r="C26" s="36"/>
      <c r="D26" s="225"/>
    </row>
    <row r="27" spans="1:5" s="15" customFormat="1">
      <c r="A27" s="227" t="s">
        <v>860</v>
      </c>
      <c r="B27" s="37">
        <f>SUM(HH_hh_gas_aantal,HH_rest_gas_aantal)</f>
        <v>4446</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4223.7</v>
      </c>
      <c r="C31" s="34" t="s">
        <v>104</v>
      </c>
      <c r="D31" s="171"/>
    </row>
    <row r="32" spans="1:5">
      <c r="A32" s="168" t="s">
        <v>72</v>
      </c>
      <c r="B32" s="33">
        <f>IF((B21*($B$26-($B$27-0.05*$B$27)-$B$60))&lt;0,0,(B21*($B$26-($B$27-0.05*$B$27)-$B$60)))</f>
        <v>92.636546938717146</v>
      </c>
      <c r="C32" s="34" t="s">
        <v>104</v>
      </c>
      <c r="D32" s="171"/>
    </row>
    <row r="33" spans="1:6">
      <c r="A33" s="168" t="s">
        <v>73</v>
      </c>
      <c r="B33" s="33">
        <f>IF((B22*($B$26-($B$27-0.05*$B$27)-$B$60))&lt;0,0,B22*($B$26-($B$27-0.05*$B$27)-$B$60))</f>
        <v>1504.2340535898225</v>
      </c>
      <c r="C33" s="34" t="s">
        <v>104</v>
      </c>
      <c r="D33" s="171"/>
    </row>
    <row r="34" spans="1:6">
      <c r="A34" s="168" t="s">
        <v>74</v>
      </c>
      <c r="B34" s="33">
        <f>IF((B24*($B$26-($B$27-0.05*$B$27)-$B$60))&lt;0,0,B24*($B$26-($B$27-0.05*$B$27)-$B$60))</f>
        <v>288.38179843138295</v>
      </c>
      <c r="C34" s="33">
        <f>B26*C24</f>
        <v>2088.8111503879113</v>
      </c>
      <c r="D34" s="230"/>
    </row>
    <row r="35" spans="1:6">
      <c r="A35" s="168" t="s">
        <v>76</v>
      </c>
      <c r="B35" s="33">
        <f>IF((B19*($B$26-($B$27-0.05*$B$27)-$B$60))&lt;0,0,B19*($B$26-($B$27-0.05*$B$27)-$B$60))</f>
        <v>40.268886102687425</v>
      </c>
      <c r="C35" s="33">
        <f>B35/2</f>
        <v>20.134443051343712</v>
      </c>
      <c r="D35" s="230"/>
    </row>
    <row r="36" spans="1:6">
      <c r="A36" s="168" t="s">
        <v>77</v>
      </c>
      <c r="B36" s="33">
        <f>IF((B18*($B$26-($B$27-0.05*$B$27)-$B$60))&lt;0,0,B18*($B$26-($B$27-0.05*$B$27)-$B$60))</f>
        <v>3909.7787149373889</v>
      </c>
      <c r="C36" s="34" t="s">
        <v>104</v>
      </c>
      <c r="D36" s="171"/>
    </row>
    <row r="37" spans="1:6">
      <c r="A37" s="168" t="s">
        <v>78</v>
      </c>
      <c r="B37" s="33">
        <f>B60</f>
        <v>135</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284</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135</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16779.590224623378</v>
      </c>
      <c r="C5" s="17">
        <f>IF(ISERROR('Eigen informatie GS &amp; warmtenet'!B60),0,'Eigen informatie GS &amp; warmtenet'!B60)</f>
        <v>0</v>
      </c>
      <c r="D5" s="30">
        <f>SUM(D6:D12)</f>
        <v>17574.769641894756</v>
      </c>
      <c r="E5" s="17">
        <f>SUM(E6:E12)</f>
        <v>97.864078018515144</v>
      </c>
      <c r="F5" s="17">
        <f>SUM(F6:F12)</f>
        <v>4941.7700150830806</v>
      </c>
      <c r="G5" s="18"/>
      <c r="H5" s="17"/>
      <c r="I5" s="17"/>
      <c r="J5" s="17">
        <f>SUM(J6:J12)</f>
        <v>4.1740745093601497E-2</v>
      </c>
      <c r="K5" s="17"/>
      <c r="L5" s="17"/>
      <c r="M5" s="17"/>
      <c r="N5" s="17">
        <f>SUM(N6:N12)</f>
        <v>1599.6148336704296</v>
      </c>
      <c r="O5" s="17">
        <f>B38*B39*B40</f>
        <v>14.691782297523464</v>
      </c>
      <c r="P5" s="17">
        <f>B46*B47*B48/1000-B46*B47*B48/1000/B49</f>
        <v>210.15655322598008</v>
      </c>
      <c r="R5" s="32"/>
    </row>
    <row r="6" spans="1:18">
      <c r="A6" s="32" t="s">
        <v>53</v>
      </c>
      <c r="B6" s="37">
        <f>B26</f>
        <v>3321.4473449329398</v>
      </c>
      <c r="C6" s="33"/>
      <c r="D6" s="37">
        <f>IF(ISERROR(TER_kantoor_gas_kWh/1000),0,TER_kantoor_gas_kWh/1000)*0.903</f>
        <v>4193.1196289508462</v>
      </c>
      <c r="E6" s="33">
        <f>$C$26*'E Balans VL '!I12/100/3.6*1000000</f>
        <v>0.79140300370747729</v>
      </c>
      <c r="F6" s="33">
        <f>$C$26*('E Balans VL '!L12+'E Balans VL '!N12)/100/3.6*1000000</f>
        <v>288.5002393003449</v>
      </c>
      <c r="G6" s="34"/>
      <c r="H6" s="33"/>
      <c r="I6" s="33"/>
      <c r="J6" s="33">
        <f>$C$26*('E Balans VL '!D12+'E Balans VL '!E12)/100/3.6*1000000</f>
        <v>0</v>
      </c>
      <c r="K6" s="33"/>
      <c r="L6" s="33"/>
      <c r="M6" s="33"/>
      <c r="N6" s="33">
        <f>$C$26*'E Balans VL '!Y12/100/3.6*1000000</f>
        <v>4.4395790476475678</v>
      </c>
      <c r="O6" s="33"/>
      <c r="P6" s="33"/>
      <c r="R6" s="32"/>
    </row>
    <row r="7" spans="1:18">
      <c r="A7" s="32" t="s">
        <v>52</v>
      </c>
      <c r="B7" s="37">
        <f t="shared" ref="B7:B12" si="0">B27</f>
        <v>1821.54729371904</v>
      </c>
      <c r="C7" s="33"/>
      <c r="D7" s="37">
        <f>IF(ISERROR(TER_horeca_gas_kWh/1000),0,TER_horeca_gas_kWh/1000)*0.903</f>
        <v>1966.8350071950683</v>
      </c>
      <c r="E7" s="33">
        <f>$C$27*'E Balans VL '!I9/100/3.6*1000000</f>
        <v>0</v>
      </c>
      <c r="F7" s="33">
        <f>$C$27*('E Balans VL '!L9+'E Balans VL '!N9)/100/3.6*1000000</f>
        <v>148.4231391410712</v>
      </c>
      <c r="G7" s="34"/>
      <c r="H7" s="33"/>
      <c r="I7" s="33"/>
      <c r="J7" s="33">
        <f>$C$27*('E Balans VL '!D9+'E Balans VL '!E9)/100/3.6*1000000</f>
        <v>0</v>
      </c>
      <c r="K7" s="33"/>
      <c r="L7" s="33"/>
      <c r="M7" s="33"/>
      <c r="N7" s="33">
        <f>$C$27*'E Balans VL '!Y9/100/3.6*1000000</f>
        <v>0.5045346879752578</v>
      </c>
      <c r="O7" s="33"/>
      <c r="P7" s="33"/>
      <c r="R7" s="32"/>
    </row>
    <row r="8" spans="1:18">
      <c r="A8" s="6" t="s">
        <v>51</v>
      </c>
      <c r="B8" s="37">
        <f t="shared" si="0"/>
        <v>5450.4417291620803</v>
      </c>
      <c r="C8" s="33"/>
      <c r="D8" s="37">
        <f>IF(ISERROR(TER_handel_gas_kWh/1000),0,TER_handel_gas_kWh/1000)*0.903</f>
        <v>2700.9162347126821</v>
      </c>
      <c r="E8" s="33">
        <f>$C$28*'E Balans VL '!I13/100/3.6*1000000</f>
        <v>43.568730575155008</v>
      </c>
      <c r="F8" s="33">
        <f>$C$28*('E Balans VL '!L13+'E Balans VL '!N13)/100/3.6*1000000</f>
        <v>541.4675038696297</v>
      </c>
      <c r="G8" s="34"/>
      <c r="H8" s="33"/>
      <c r="I8" s="33"/>
      <c r="J8" s="33">
        <f>$C$28*('E Balans VL '!D13+'E Balans VL '!E13)/100/3.6*1000000</f>
        <v>0</v>
      </c>
      <c r="K8" s="33"/>
      <c r="L8" s="33"/>
      <c r="M8" s="33"/>
      <c r="N8" s="33">
        <f>$C$28*'E Balans VL '!Y13/100/3.6*1000000</f>
        <v>2.0360644177290781</v>
      </c>
      <c r="O8" s="33"/>
      <c r="P8" s="33"/>
      <c r="R8" s="32"/>
    </row>
    <row r="9" spans="1:18">
      <c r="A9" s="32" t="s">
        <v>50</v>
      </c>
      <c r="B9" s="37">
        <f t="shared" si="0"/>
        <v>1879.36141252475</v>
      </c>
      <c r="C9" s="33"/>
      <c r="D9" s="37">
        <f>IF(ISERROR(TER_gezond_gas_kWh/1000),0,TER_gezond_gas_kWh/1000)*0.903</f>
        <v>4593.8794668033588</v>
      </c>
      <c r="E9" s="33">
        <f>$C$29*'E Balans VL '!I10/100/3.6*1000000</f>
        <v>0</v>
      </c>
      <c r="F9" s="33">
        <f>$C$29*('E Balans VL '!L10+'E Balans VL '!N10)/100/3.6*1000000</f>
        <v>171.33441825511207</v>
      </c>
      <c r="G9" s="34"/>
      <c r="H9" s="33"/>
      <c r="I9" s="33"/>
      <c r="J9" s="33">
        <f>$C$29*('E Balans VL '!D10+'E Balans VL '!E10)/100/3.6*1000000</f>
        <v>0</v>
      </c>
      <c r="K9" s="33"/>
      <c r="L9" s="33"/>
      <c r="M9" s="33"/>
      <c r="N9" s="33">
        <f>$C$29*'E Balans VL '!Y10/100/3.6*1000000</f>
        <v>13.73644771695027</v>
      </c>
      <c r="O9" s="33"/>
      <c r="P9" s="33"/>
      <c r="R9" s="32"/>
    </row>
    <row r="10" spans="1:18">
      <c r="A10" s="32" t="s">
        <v>49</v>
      </c>
      <c r="B10" s="37">
        <f t="shared" si="0"/>
        <v>4126.9561767508203</v>
      </c>
      <c r="C10" s="33"/>
      <c r="D10" s="37">
        <f>IF(ISERROR(TER_ander_gas_kWh/1000),0,TER_ander_gas_kWh/1000)*0.903</f>
        <v>3237.7438207501091</v>
      </c>
      <c r="E10" s="33">
        <f>$C$30*'E Balans VL '!I14/100/3.6*1000000</f>
        <v>53.503944439652656</v>
      </c>
      <c r="F10" s="33">
        <f>$C$30*('E Balans VL '!L14+'E Balans VL '!N14)/100/3.6*1000000</f>
        <v>3784.9982497295828</v>
      </c>
      <c r="G10" s="34"/>
      <c r="H10" s="33"/>
      <c r="I10" s="33"/>
      <c r="J10" s="33">
        <f>$C$30*('E Balans VL '!D14+'E Balans VL '!E14)/100/3.6*1000000</f>
        <v>4.1740745093601497E-2</v>
      </c>
      <c r="K10" s="33"/>
      <c r="L10" s="33"/>
      <c r="M10" s="33"/>
      <c r="N10" s="33">
        <f>$C$30*'E Balans VL '!Y14/100/3.6*1000000</f>
        <v>1578.3318589610087</v>
      </c>
      <c r="O10" s="33"/>
      <c r="P10" s="33"/>
      <c r="R10" s="32"/>
    </row>
    <row r="11" spans="1:18">
      <c r="A11" s="32" t="s">
        <v>54</v>
      </c>
      <c r="B11" s="37">
        <f t="shared" si="0"/>
        <v>179.83626753374702</v>
      </c>
      <c r="C11" s="33"/>
      <c r="D11" s="37">
        <f>IF(ISERROR(TER_onderwijs_gas_kWh/1000),0,TER_onderwijs_gas_kWh/1000)*0.903</f>
        <v>882.27548348269136</v>
      </c>
      <c r="E11" s="33">
        <f>$C$31*'E Balans VL '!I11/100/3.6*1000000</f>
        <v>0</v>
      </c>
      <c r="F11" s="33">
        <f>$C$31*('E Balans VL '!L11+'E Balans VL '!N11)/100/3.6*1000000</f>
        <v>7.0464647873395494</v>
      </c>
      <c r="G11" s="34"/>
      <c r="H11" s="33"/>
      <c r="I11" s="33"/>
      <c r="J11" s="33">
        <f>$C$31*('E Balans VL '!D11+'E Balans VL '!E11)/100/3.6*1000000</f>
        <v>0</v>
      </c>
      <c r="K11" s="33"/>
      <c r="L11" s="33"/>
      <c r="M11" s="33"/>
      <c r="N11" s="33">
        <f>$C$31*'E Balans VL '!Y11/100/3.6*1000000</f>
        <v>0.56634883911867751</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90</v>
      </c>
      <c r="C13" s="243">
        <f ca="1">'lokale energieproductie'!O38+'lokale energieproductie'!O31</f>
        <v>128.57142857142858</v>
      </c>
      <c r="D13" s="304">
        <f ca="1">('lokale energieproductie'!P31+'lokale energieproductie'!P38)*(-1)</f>
        <v>-257.14285714285717</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16869.590224623378</v>
      </c>
      <c r="C16" s="21">
        <f t="shared" ca="1" si="1"/>
        <v>128.57142857142858</v>
      </c>
      <c r="D16" s="21">
        <f t="shared" ca="1" si="1"/>
        <v>17317.626784751898</v>
      </c>
      <c r="E16" s="21">
        <f t="shared" si="1"/>
        <v>97.864078018515144</v>
      </c>
      <c r="F16" s="21">
        <f t="shared" ca="1" si="1"/>
        <v>4941.7700150830806</v>
      </c>
      <c r="G16" s="21">
        <f t="shared" si="1"/>
        <v>0</v>
      </c>
      <c r="H16" s="21">
        <f t="shared" si="1"/>
        <v>0</v>
      </c>
      <c r="I16" s="21">
        <f t="shared" si="1"/>
        <v>0</v>
      </c>
      <c r="J16" s="21">
        <f t="shared" si="1"/>
        <v>4.1740745093601497E-2</v>
      </c>
      <c r="K16" s="21">
        <f t="shared" si="1"/>
        <v>0</v>
      </c>
      <c r="L16" s="21">
        <f t="shared" ca="1" si="1"/>
        <v>0</v>
      </c>
      <c r="M16" s="21">
        <f t="shared" si="1"/>
        <v>0</v>
      </c>
      <c r="N16" s="21">
        <f t="shared" ca="1" si="1"/>
        <v>1599.6148336704296</v>
      </c>
      <c r="O16" s="21">
        <f>O5</f>
        <v>14.691782297523464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0.1641406441263504</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2768.9854056172653</v>
      </c>
      <c r="C20" s="23">
        <f t="shared" ref="C20:P20" ca="1" si="2">C16*C18</f>
        <v>30.554621848739504</v>
      </c>
      <c r="D20" s="23">
        <f t="shared" ca="1" si="2"/>
        <v>3498.1606105198834</v>
      </c>
      <c r="E20" s="23">
        <f t="shared" si="2"/>
        <v>22.21514571020294</v>
      </c>
      <c r="F20" s="23">
        <f t="shared" ca="1" si="2"/>
        <v>1319.4525940271826</v>
      </c>
      <c r="G20" s="23">
        <f t="shared" si="2"/>
        <v>0</v>
      </c>
      <c r="H20" s="23">
        <f t="shared" si="2"/>
        <v>0</v>
      </c>
      <c r="I20" s="23">
        <f t="shared" si="2"/>
        <v>0</v>
      </c>
      <c r="J20" s="23">
        <f t="shared" si="2"/>
        <v>1.477622376313493E-2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3321.4473449329398</v>
      </c>
      <c r="C26" s="39">
        <f>IF(ISERROR(B26*3.6/1000000/'E Balans VL '!Z12*100),0,B26*3.6/1000000/'E Balans VL '!Z12*100)</f>
        <v>9.5292011760970435E-2</v>
      </c>
      <c r="D26" s="233" t="s">
        <v>835</v>
      </c>
      <c r="F26" s="6"/>
    </row>
    <row r="27" spans="1:18" ht="30">
      <c r="A27" s="228" t="s">
        <v>52</v>
      </c>
      <c r="B27" s="33">
        <f>IF(ISERROR(TER_horeca_ele_kWh/1000),0,TER_horeca_ele_kWh/1000)</f>
        <v>1821.54729371904</v>
      </c>
      <c r="C27" s="39">
        <f>IF(ISERROR(B27*3.6/1000000/'E Balans VL '!Z9*100),0,B27*3.6/1000000/'E Balans VL '!Z9*100)</f>
        <v>0.13344719963037313</v>
      </c>
      <c r="D27" s="233" t="s">
        <v>835</v>
      </c>
      <c r="F27" s="6"/>
    </row>
    <row r="28" spans="1:18" ht="30">
      <c r="A28" s="168" t="s">
        <v>51</v>
      </c>
      <c r="B28" s="33">
        <f>IF(ISERROR(TER_handel_ele_kWh/1000),0,TER_handel_ele_kWh/1000)</f>
        <v>5450.4417291620803</v>
      </c>
      <c r="C28" s="39">
        <f>IF(ISERROR(B28*3.6/1000000/'E Balans VL '!Z13*100),0,B28*3.6/1000000/'E Balans VL '!Z13*100)</f>
        <v>0.16842324661347036</v>
      </c>
      <c r="D28" s="233" t="s">
        <v>835</v>
      </c>
      <c r="F28" s="6"/>
    </row>
    <row r="29" spans="1:18" ht="30">
      <c r="A29" s="228" t="s">
        <v>50</v>
      </c>
      <c r="B29" s="33">
        <f>IF(ISERROR(TER_gezond_ele_kWh/1000),0,TER_gezond_ele_kWh/1000)</f>
        <v>1879.36141252475</v>
      </c>
      <c r="C29" s="39">
        <f>IF(ISERROR(B29*3.6/1000000/'E Balans VL '!Z10*100),0,B29*3.6/1000000/'E Balans VL '!Z10*100)</f>
        <v>0.1841889745361775</v>
      </c>
      <c r="D29" s="233" t="s">
        <v>835</v>
      </c>
      <c r="F29" s="6"/>
    </row>
    <row r="30" spans="1:18" ht="30">
      <c r="A30" s="228" t="s">
        <v>49</v>
      </c>
      <c r="B30" s="33">
        <f>IF(ISERROR(TER_ander_ele_kWh/1000),0,TER_ander_ele_kWh/1000)</f>
        <v>4126.9561767508203</v>
      </c>
      <c r="C30" s="39">
        <f>IF(ISERROR(B30*3.6/1000000/'E Balans VL '!Z14*100),0,B30*3.6/1000000/'E Balans VL '!Z14*100)</f>
        <v>0.17095185703864091</v>
      </c>
      <c r="D30" s="233" t="s">
        <v>835</v>
      </c>
      <c r="F30" s="6"/>
    </row>
    <row r="31" spans="1:18" ht="30">
      <c r="A31" s="228" t="s">
        <v>54</v>
      </c>
      <c r="B31" s="33">
        <f>IF(ISERROR(TER_onderwijs_ele_kWh/1000),0,TER_onderwijs_ele_kWh/1000)</f>
        <v>179.83626753374702</v>
      </c>
      <c r="C31" s="39">
        <f>IF(ISERROR(B31*3.6/1000000/'E Balans VL '!Z11*100),0,B31*3.6/1000000/'E Balans VL '!Z11*100)</f>
        <v>5.5258217519401062E-2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3</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4</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2129.04179710675</v>
      </c>
      <c r="C5" s="17">
        <f>IF(ISERROR('Eigen informatie GS &amp; warmtenet'!B61),0,'Eigen informatie GS &amp; warmtenet'!B61)</f>
        <v>0</v>
      </c>
      <c r="D5" s="30">
        <f>SUM(D6:D15)</f>
        <v>1369.9392841980803</v>
      </c>
      <c r="E5" s="17">
        <f>SUM(E6:E15)</f>
        <v>7.1186203662032224</v>
      </c>
      <c r="F5" s="17">
        <f>SUM(F6:F15)</f>
        <v>509.94340101985927</v>
      </c>
      <c r="G5" s="18"/>
      <c r="H5" s="17"/>
      <c r="I5" s="17"/>
      <c r="J5" s="17">
        <f>SUM(J6:J15)</f>
        <v>3.3513683462371207</v>
      </c>
      <c r="K5" s="17"/>
      <c r="L5" s="17"/>
      <c r="M5" s="17"/>
      <c r="N5" s="17">
        <f>SUM(N6:N15)</f>
        <v>119.65107906555184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240.855381399838</v>
      </c>
      <c r="C8" s="33"/>
      <c r="D8" s="37">
        <f>IF( ISERROR(IND_metaal_Gas_kWH/1000),0,IND_metaal_Gas_kWH/1000)*0.903</f>
        <v>93.954321374852853</v>
      </c>
      <c r="E8" s="33">
        <f>C30*'E Balans VL '!I18/100/3.6*1000000</f>
        <v>1.3129402472069229</v>
      </c>
      <c r="F8" s="33">
        <f>C30*'E Balans VL '!L18/100/3.6*1000000+C30*'E Balans VL '!N18/100/3.6*1000000</f>
        <v>15.511104959334276</v>
      </c>
      <c r="G8" s="34"/>
      <c r="H8" s="33"/>
      <c r="I8" s="33"/>
      <c r="J8" s="40">
        <f>C30*'E Balans VL '!D18/100/3.6*1000000+C30*'E Balans VL '!E18/100/3.6*1000000</f>
        <v>0.19728993652245164</v>
      </c>
      <c r="K8" s="33"/>
      <c r="L8" s="33"/>
      <c r="M8" s="33"/>
      <c r="N8" s="33">
        <f>C30*'E Balans VL '!Y18/100/3.6*1000000</f>
        <v>5.2035213586547302</v>
      </c>
      <c r="O8" s="33"/>
      <c r="P8" s="33"/>
      <c r="R8" s="32"/>
    </row>
    <row r="9" spans="1:18">
      <c r="A9" s="6" t="s">
        <v>32</v>
      </c>
      <c r="B9" s="37">
        <f t="shared" si="0"/>
        <v>712.00054138417795</v>
      </c>
      <c r="C9" s="33"/>
      <c r="D9" s="37">
        <f>IF( ISERROR(IND_andere_gas_kWh/1000),0,IND_andere_gas_kWh/1000)*0.903</f>
        <v>798.89165659300249</v>
      </c>
      <c r="E9" s="33">
        <f>C31*'E Balans VL '!I19/100/3.6*1000000</f>
        <v>2.2984590016759388</v>
      </c>
      <c r="F9" s="33">
        <f>C31*'E Balans VL '!L19/100/3.6*1000000+C31*'E Balans VL '!N19/100/3.6*1000000</f>
        <v>460.38513930698952</v>
      </c>
      <c r="G9" s="34"/>
      <c r="H9" s="33"/>
      <c r="I9" s="33"/>
      <c r="J9" s="40">
        <f>C31*'E Balans VL '!D19/100/3.6*1000000+C31*'E Balans VL '!E19/100/3.6*1000000</f>
        <v>0</v>
      </c>
      <c r="K9" s="33"/>
      <c r="L9" s="33"/>
      <c r="M9" s="33"/>
      <c r="N9" s="33">
        <f>C31*'E Balans VL '!Y19/100/3.6*1000000</f>
        <v>28.771119444582055</v>
      </c>
      <c r="O9" s="33"/>
      <c r="P9" s="33"/>
      <c r="R9" s="32"/>
    </row>
    <row r="10" spans="1:18">
      <c r="A10" s="6" t="s">
        <v>40</v>
      </c>
      <c r="B10" s="37">
        <f t="shared" si="0"/>
        <v>942.53328685971701</v>
      </c>
      <c r="C10" s="33"/>
      <c r="D10" s="37">
        <f>IF( ISERROR(IND_voed_gas_kWh/1000),0,IND_voed_gas_kWh/1000)*0.903</f>
        <v>427.59064298961982</v>
      </c>
      <c r="E10" s="33">
        <f>C32*'E Balans VL '!I20/100/3.6*1000000</f>
        <v>1.9757807592453795</v>
      </c>
      <c r="F10" s="33">
        <f>C32*'E Balans VL '!L20/100/3.6*1000000+C32*'E Balans VL '!N20/100/3.6*1000000</f>
        <v>18.363805707282388</v>
      </c>
      <c r="G10" s="34"/>
      <c r="H10" s="33"/>
      <c r="I10" s="33"/>
      <c r="J10" s="40">
        <f>C32*'E Balans VL '!D20/100/3.6*1000000+C32*'E Balans VL '!E20/100/3.6*1000000</f>
        <v>0</v>
      </c>
      <c r="K10" s="33"/>
      <c r="L10" s="33"/>
      <c r="M10" s="33"/>
      <c r="N10" s="33">
        <f>C32*'E Balans VL '!Y20/100/3.6*1000000</f>
        <v>37.491361066039957</v>
      </c>
      <c r="O10" s="33"/>
      <c r="P10" s="33"/>
      <c r="R10" s="32"/>
    </row>
    <row r="11" spans="1:18">
      <c r="A11" s="6" t="s">
        <v>39</v>
      </c>
      <c r="B11" s="37">
        <f t="shared" si="0"/>
        <v>107.688238014056</v>
      </c>
      <c r="C11" s="33"/>
      <c r="D11" s="37">
        <f>IF( ISERROR(IND_textiel_gas_kWh/1000),0,IND_textiel_gas_kWh/1000)*0.903</f>
        <v>0</v>
      </c>
      <c r="E11" s="33">
        <f>C33*'E Balans VL '!I21/100/3.6*1000000</f>
        <v>9.2533265765921968E-2</v>
      </c>
      <c r="F11" s="33">
        <f>C33*'E Balans VL '!L21/100/3.6*1000000+C33*'E Balans VL '!N21/100/3.6*1000000</f>
        <v>2.2577956776642778</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87.925567656989998</v>
      </c>
      <c r="C12" s="33"/>
      <c r="D12" s="37">
        <f>IF( ISERROR(IND_min_gas_kWh/1000),0,IND_min_gas_kWh/1000)*0.903</f>
        <v>0</v>
      </c>
      <c r="E12" s="33">
        <f>C34*'E Balans VL '!I22/100/3.6*1000000</f>
        <v>1.4389070923090597</v>
      </c>
      <c r="F12" s="33">
        <f>C34*'E Balans VL '!L22/100/3.6*1000000+C34*'E Balans VL '!N22/100/3.6*1000000</f>
        <v>13.420459953844249</v>
      </c>
      <c r="G12" s="34"/>
      <c r="H12" s="33"/>
      <c r="I12" s="33"/>
      <c r="J12" s="40">
        <f>C34*'E Balans VL '!D22/100/3.6*1000000+C34*'E Balans VL '!E22/100/3.6*1000000</f>
        <v>3.1465540993373198</v>
      </c>
      <c r="K12" s="33"/>
      <c r="L12" s="33"/>
      <c r="M12" s="33"/>
      <c r="N12" s="33">
        <f>C34*'E Balans VL '!Y22/100/3.6*1000000</f>
        <v>48.185077196275095</v>
      </c>
      <c r="O12" s="33"/>
      <c r="P12" s="33"/>
      <c r="R12" s="32"/>
    </row>
    <row r="13" spans="1:18">
      <c r="A13" s="6" t="s">
        <v>38</v>
      </c>
      <c r="B13" s="37">
        <f t="shared" si="0"/>
        <v>38.038781791970997</v>
      </c>
      <c r="C13" s="33"/>
      <c r="D13" s="37">
        <f>IF( ISERROR(IND_papier_gas_kWh/1000),0,IND_papier_gas_kWh/1000)*0.903</f>
        <v>0</v>
      </c>
      <c r="E13" s="33">
        <f>C35*'E Balans VL '!I23/100/3.6*1000000</f>
        <v>0</v>
      </c>
      <c r="F13" s="33">
        <f>C35*'E Balans VL '!L23/100/3.6*1000000+C35*'E Balans VL '!N23/100/3.6*1000000</f>
        <v>5.095414744576583E-3</v>
      </c>
      <c r="G13" s="34"/>
      <c r="H13" s="33"/>
      <c r="I13" s="33"/>
      <c r="J13" s="40">
        <f>C35*'E Balans VL '!D23/100/3.6*1000000+C35*'E Balans VL '!E23/100/3.6*1000000</f>
        <v>7.5243103773492848E-3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0</v>
      </c>
      <c r="C15" s="33"/>
      <c r="D15" s="37">
        <f>IF( ISERROR(IND_rest_gas_kWh/1000),0,IND_rest_gas_kWh/1000)*0.903</f>
        <v>49.502663240605116</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2129.04179710675</v>
      </c>
      <c r="C18" s="21">
        <f>C5+C16</f>
        <v>0</v>
      </c>
      <c r="D18" s="21">
        <f>MAX((D5+D16),0)</f>
        <v>1369.9392841980803</v>
      </c>
      <c r="E18" s="21">
        <f>MAX((E5+E16),0)</f>
        <v>7.1186203662032224</v>
      </c>
      <c r="F18" s="21">
        <f>MAX((F5+F16),0)</f>
        <v>509.94340101985927</v>
      </c>
      <c r="G18" s="21"/>
      <c r="H18" s="21"/>
      <c r="I18" s="21"/>
      <c r="J18" s="21">
        <f>MAX((J5+J16),0)</f>
        <v>3.3513683462371207</v>
      </c>
      <c r="K18" s="21"/>
      <c r="L18" s="21">
        <f>MAX((L5+L16),0)</f>
        <v>0</v>
      </c>
      <c r="M18" s="21"/>
      <c r="N18" s="21">
        <f>MAX((N5+N16),0)</f>
        <v>119.65107906555184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0.1641406441263504</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349.46229194902457</v>
      </c>
      <c r="C22" s="23">
        <f ca="1">C18*C20</f>
        <v>0</v>
      </c>
      <c r="D22" s="23">
        <f>D18*D20</f>
        <v>276.72773540801222</v>
      </c>
      <c r="E22" s="23">
        <f>E18*E20</f>
        <v>1.6159268231281316</v>
      </c>
      <c r="F22" s="23">
        <f>F18*F20</f>
        <v>136.15488807230244</v>
      </c>
      <c r="G22" s="23"/>
      <c r="H22" s="23"/>
      <c r="I22" s="23"/>
      <c r="J22" s="23">
        <f>J18*J20</f>
        <v>1.1863843945679406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240.855381399838</v>
      </c>
      <c r="C30" s="39">
        <f>IF(ISERROR(B30*3.6/1000000/'E Balans VL '!Z18*100),0,B30*3.6/1000000/'E Balans VL '!Z18*100)</f>
        <v>1.4503650632649136E-2</v>
      </c>
      <c r="D30" s="233" t="s">
        <v>835</v>
      </c>
    </row>
    <row r="31" spans="1:18" ht="30">
      <c r="A31" s="6" t="s">
        <v>32</v>
      </c>
      <c r="B31" s="37">
        <f>IF( ISERROR(IND_ander_ele_kWh/1000),0,IND_ander_ele_kWh/1000)</f>
        <v>712.00054138417795</v>
      </c>
      <c r="C31" s="39">
        <f>IF(ISERROR(B31*3.6/1000000/'E Balans VL '!Z19*100),0,B31*3.6/1000000/'E Balans VL '!Z19*100)</f>
        <v>2.9008376066743117E-2</v>
      </c>
      <c r="D31" s="233" t="s">
        <v>835</v>
      </c>
    </row>
    <row r="32" spans="1:18" ht="30">
      <c r="A32" s="168" t="s">
        <v>40</v>
      </c>
      <c r="B32" s="37">
        <f>IF( ISERROR(IND_voed_ele_kWh/1000),0,IND_voed_ele_kWh/1000)</f>
        <v>942.53328685971701</v>
      </c>
      <c r="C32" s="39">
        <f>IF(ISERROR(B32*3.6/1000000/'E Balans VL '!Z20*100),0,B32*3.6/1000000/'E Balans VL '!Z20*100)</f>
        <v>2.7252430360487016E-2</v>
      </c>
      <c r="D32" s="233" t="s">
        <v>835</v>
      </c>
    </row>
    <row r="33" spans="1:5" ht="30">
      <c r="A33" s="168" t="s">
        <v>39</v>
      </c>
      <c r="B33" s="37">
        <f>IF( ISERROR(IND_textiel_ele_kWh/1000),0,IND_textiel_ele_kWh/1000)</f>
        <v>107.688238014056</v>
      </c>
      <c r="C33" s="39">
        <f>IF(ISERROR(B33*3.6/1000000/'E Balans VL '!Z21*100),0,B33*3.6/1000000/'E Balans VL '!Z21*100)</f>
        <v>1.7709715936061621E-2</v>
      </c>
      <c r="D33" s="233" t="s">
        <v>835</v>
      </c>
    </row>
    <row r="34" spans="1:5" ht="30">
      <c r="A34" s="168" t="s">
        <v>36</v>
      </c>
      <c r="B34" s="37">
        <f>IF( ISERROR(IND_min_ele_kWh/1000),0,IND_min_ele_kWh/1000)</f>
        <v>87.925567656989998</v>
      </c>
      <c r="C34" s="39">
        <f>IF(ISERROR(B34*3.6/1000000/'E Balans VL '!Z22*100),0,B34*3.6/1000000/'E Balans VL '!Z22*100)</f>
        <v>3.7543400363298222E-2</v>
      </c>
      <c r="D34" s="233" t="s">
        <v>835</v>
      </c>
    </row>
    <row r="35" spans="1:5" ht="30">
      <c r="A35" s="168" t="s">
        <v>38</v>
      </c>
      <c r="B35" s="37">
        <f>IF( ISERROR(IND_papier_ele_kWh/1000),0,IND_papier_ele_kWh/1000)</f>
        <v>38.038781791970997</v>
      </c>
      <c r="C35" s="39">
        <f>IF(ISERROR(B35*3.6/1000000/'E Balans VL '!Z22*100),0,B35*3.6/1000000/'E Balans VL '!Z22*100)</f>
        <v>1.624220635935323E-2</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0</v>
      </c>
      <c r="C37" s="39">
        <f>IF(ISERROR(B37*3.6/1000000/'E Balans VL '!Z15*100),0,B37*3.6/1000000/'E Balans VL '!Z15*100)</f>
        <v>0</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961.61523177102799</v>
      </c>
      <c r="C5" s="17">
        <f>'Eigen informatie GS &amp; warmtenet'!B62</f>
        <v>0</v>
      </c>
      <c r="D5" s="30">
        <f>IF(ISERROR(SUM(LB_lb_gas_kWh,LB_rest_gas_kWh)/1000),0,SUM(LB_lb_gas_kWh,LB_rest_gas_kWh)/1000)*0.903</f>
        <v>955.67612725895435</v>
      </c>
      <c r="E5" s="17">
        <f>B17*'E Balans VL '!I25/3.6*1000000/100</f>
        <v>27.542287588828913</v>
      </c>
      <c r="F5" s="17">
        <f>B17*('E Balans VL '!L25/3.6*1000000+'E Balans VL '!N25/3.6*1000000)/100</f>
        <v>3043.9770891154872</v>
      </c>
      <c r="G5" s="18"/>
      <c r="H5" s="17"/>
      <c r="I5" s="17"/>
      <c r="J5" s="17">
        <f>('E Balans VL '!D25+'E Balans VL '!E25)/3.6*1000000*landbouw!B17/100</f>
        <v>244.50855642091415</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961.61523177102799</v>
      </c>
      <c r="C8" s="21">
        <f>C5+C6</f>
        <v>0</v>
      </c>
      <c r="D8" s="21">
        <f>MAX((D5+D6),0)</f>
        <v>955.67612725895435</v>
      </c>
      <c r="E8" s="21">
        <f>MAX((E5+E6),0)</f>
        <v>27.542287588828913</v>
      </c>
      <c r="F8" s="21">
        <f>MAX((F5+F6),0)</f>
        <v>3043.9770891154872</v>
      </c>
      <c r="G8" s="21"/>
      <c r="H8" s="21"/>
      <c r="I8" s="21"/>
      <c r="J8" s="21">
        <f>MAX((J5+J6),0)</f>
        <v>244.50855642091415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0.1641406441263504</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157.84014354460626</v>
      </c>
      <c r="C12" s="23">
        <f ca="1">C8*C10</f>
        <v>0</v>
      </c>
      <c r="D12" s="23">
        <f>D8*D10</f>
        <v>193.0465777063088</v>
      </c>
      <c r="E12" s="23">
        <f>E8*E10</f>
        <v>6.2520992826641635</v>
      </c>
      <c r="F12" s="23">
        <f>F8*F10</f>
        <v>812.74188279383509</v>
      </c>
      <c r="G12" s="23"/>
      <c r="H12" s="23"/>
      <c r="I12" s="23"/>
      <c r="J12" s="23">
        <f>J8*J10</f>
        <v>86.556028973003606</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0.13316189487818261</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127.82356585260598</v>
      </c>
      <c r="C26" s="243">
        <f>B26*'GWP N2O_CH4'!B5</f>
        <v>2684.2948829047255</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35.186865242483243</v>
      </c>
      <c r="C27" s="243">
        <f>B27*'GWP N2O_CH4'!B5</f>
        <v>738.92417009214807</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1.6224238102234039</v>
      </c>
      <c r="C28" s="243">
        <f>B28*'GWP N2O_CH4'!B4</f>
        <v>502.95138116925523</v>
      </c>
      <c r="D28" s="50"/>
    </row>
    <row r="29" spans="1:4">
      <c r="A29" s="41" t="s">
        <v>266</v>
      </c>
      <c r="B29" s="243">
        <f>B34*'ha_N2O bodem landbouw'!B4</f>
        <v>11.070655159777623</v>
      </c>
      <c r="C29" s="243">
        <f>B29*'GWP N2O_CH4'!B4</f>
        <v>3431.9030995310632</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2.5150547177118471E-3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1.0458287352981177E-3</v>
      </c>
      <c r="C5" s="432" t="s">
        <v>204</v>
      </c>
      <c r="D5" s="417">
        <f>SUM(D6:D11)</f>
        <v>2.0078401605416736E-3</v>
      </c>
      <c r="E5" s="417">
        <f>SUM(E6:E11)</f>
        <v>7.904185151631092E-4</v>
      </c>
      <c r="F5" s="430" t="s">
        <v>204</v>
      </c>
      <c r="G5" s="417">
        <f>SUM(G6:G11)</f>
        <v>0.31813042827289356</v>
      </c>
      <c r="H5" s="417">
        <f>SUM(H6:H11)</f>
        <v>9.8328230968263347E-2</v>
      </c>
      <c r="I5" s="432" t="s">
        <v>204</v>
      </c>
      <c r="J5" s="432" t="s">
        <v>204</v>
      </c>
      <c r="K5" s="432" t="s">
        <v>204</v>
      </c>
      <c r="L5" s="432" t="s">
        <v>204</v>
      </c>
      <c r="M5" s="417">
        <f>SUM(M6:M11)</f>
        <v>2.523714033248637E-2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4.6392332374950006E-4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7.734929870127765E-4</v>
      </c>
      <c r="E6" s="884">
        <f>vkm_GW_PW*SUMIFS(TableVerdeelsleutelVkm[LPG],TableVerdeelsleutelVkm[Voertuigtype],"Lichte voertuigen")*SUMIFS(TableECFTransport[EnergieConsumptieFactor (PJ per km)],TableECFTransport[Index],CONCATENATE($A6,"_LPG_LPG"))</f>
        <v>3.0665850970431393E-4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9.2158585562913425E-2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3.7933449886221694E-2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7.9807627218428517E-3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1.3320202824341783E-6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5.280212358237045E-2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3.89603243546129E-7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3.0318086400948673E-3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4.7648656922659439E-4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1.0880347909783279E-3</v>
      </c>
      <c r="E8" s="420">
        <f>vkm_NGW_PW*SUMIFS(TableVerdeelsleutelVkm[LPG],TableVerdeelsleutelVkm[Voertuigtype],"Lichte voertuigen")*SUMIFS(TableECFTransport[EnergieConsumptieFactor (PJ per km)],TableECFTransport[Index],CONCATENATE($A8,"_LPG_LPG"))</f>
        <v>4.1302360821491717E-4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0.11369717253940016</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5.2860904619803174E-2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1.0275714606947456E-2</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5.4318983287063098E-7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2.7728654979546723E-2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1.9176961869587261E-7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1.5921315663745379E-3</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1.0320968536382279E-4</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1.4631238255056935E-4</v>
      </c>
      <c r="E10" s="420">
        <f>vkm_SW_PW*SUMIFS(TableVerdeelsleutelVkm[LPG],TableVerdeelsleutelVkm[Voertuigtype],"Lichte voertuigen")*SUMIFS(TableECFTransport[EnergieConsumptieFactor (PJ per km)],TableECFTransport[Index],CONCATENATE($A10,"_LPG_LPG"))</f>
        <v>7.0736397243878046E-5</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1.9286065606780225E-2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7.5331945538611349E-3</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1.6414148854492249E-3</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3.3394684289571551E-7</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1.245782600188261E-2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1.005355151038967E-7</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7.1530791177743447E-4</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290.50798202725491</v>
      </c>
      <c r="C14" s="21"/>
      <c r="D14" s="21">
        <f t="shared" ref="D14:M14" si="0">((D5)*10^9/3600)+D12</f>
        <v>557.7333779282427</v>
      </c>
      <c r="E14" s="21">
        <f t="shared" si="0"/>
        <v>219.56069865641922</v>
      </c>
      <c r="F14" s="21"/>
      <c r="G14" s="21">
        <f t="shared" si="0"/>
        <v>88369.563409137103</v>
      </c>
      <c r="H14" s="21">
        <f t="shared" si="0"/>
        <v>27313.397491184263</v>
      </c>
      <c r="I14" s="21"/>
      <c r="J14" s="21"/>
      <c r="K14" s="21"/>
      <c r="L14" s="21"/>
      <c r="M14" s="21">
        <f t="shared" si="0"/>
        <v>7010.3167590239909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0.1641406441263504</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47.684167293799845</v>
      </c>
      <c r="C18" s="23"/>
      <c r="D18" s="23">
        <f t="shared" ref="D18:M18" si="1">D14*D16</f>
        <v>112.66214234150503</v>
      </c>
      <c r="E18" s="23">
        <f t="shared" si="1"/>
        <v>49.840278595007163</v>
      </c>
      <c r="F18" s="23"/>
      <c r="G18" s="23">
        <f t="shared" si="1"/>
        <v>23594.673430239607</v>
      </c>
      <c r="H18" s="23">
        <f t="shared" si="1"/>
        <v>6801.0359753048815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5.3748737014687176E-5</v>
      </c>
      <c r="C50" s="315">
        <f t="shared" ref="C50:P50" si="2">SUM(C51:C52)</f>
        <v>0</v>
      </c>
      <c r="D50" s="315">
        <f t="shared" si="2"/>
        <v>0</v>
      </c>
      <c r="E50" s="315">
        <f t="shared" si="2"/>
        <v>0</v>
      </c>
      <c r="F50" s="315">
        <f t="shared" si="2"/>
        <v>0</v>
      </c>
      <c r="G50" s="315">
        <f t="shared" si="2"/>
        <v>3.3648334309318824E-3</v>
      </c>
      <c r="H50" s="315">
        <f t="shared" si="2"/>
        <v>0</v>
      </c>
      <c r="I50" s="315">
        <f t="shared" si="2"/>
        <v>0</v>
      </c>
      <c r="J50" s="315">
        <f t="shared" si="2"/>
        <v>0</v>
      </c>
      <c r="K50" s="315">
        <f t="shared" si="2"/>
        <v>0</v>
      </c>
      <c r="L50" s="315">
        <f t="shared" si="2"/>
        <v>0</v>
      </c>
      <c r="M50" s="315">
        <f t="shared" si="2"/>
        <v>1.9320128507941336E-4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5.3748737014687176E-5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3.3648334309318824E-3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1.9320128507941336E-4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14.930204726301993</v>
      </c>
      <c r="C54" s="21">
        <f t="shared" ref="C54:P54" si="3">(C50)*10^9/3600</f>
        <v>0</v>
      </c>
      <c r="D54" s="21">
        <f t="shared" si="3"/>
        <v>0</v>
      </c>
      <c r="E54" s="21">
        <f t="shared" si="3"/>
        <v>0</v>
      </c>
      <c r="F54" s="21">
        <f t="shared" si="3"/>
        <v>0</v>
      </c>
      <c r="G54" s="21">
        <f t="shared" si="3"/>
        <v>934.67595303663404</v>
      </c>
      <c r="H54" s="21">
        <f t="shared" si="3"/>
        <v>0</v>
      </c>
      <c r="I54" s="21">
        <f t="shared" si="3"/>
        <v>0</v>
      </c>
      <c r="J54" s="21">
        <f t="shared" si="3"/>
        <v>0</v>
      </c>
      <c r="K54" s="21">
        <f t="shared" si="3"/>
        <v>0</v>
      </c>
      <c r="L54" s="21">
        <f t="shared" si="3"/>
        <v>0</v>
      </c>
      <c r="M54" s="21">
        <f t="shared" si="3"/>
        <v>53.667023633170373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0.1641406441263504</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2.4506534207134902</v>
      </c>
      <c r="C58" s="23">
        <f t="shared" ref="C58:P58" ca="1" si="4">C54*C56</f>
        <v>0</v>
      </c>
      <c r="D58" s="23">
        <f t="shared" si="4"/>
        <v>0</v>
      </c>
      <c r="E58" s="23">
        <f t="shared" si="4"/>
        <v>0</v>
      </c>
      <c r="F58" s="23">
        <f t="shared" si="4"/>
        <v>0</v>
      </c>
      <c r="G58" s="23">
        <f t="shared" si="4"/>
        <v>249.55847946078131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6983.970242268776</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9183.6677783765099</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90</v>
      </c>
      <c r="C8" s="543">
        <f>B48</f>
        <v>105.88235294117648</v>
      </c>
      <c r="D8" s="544"/>
      <c r="E8" s="544">
        <f>E48</f>
        <v>0</v>
      </c>
      <c r="F8" s="545"/>
      <c r="G8" s="546"/>
      <c r="H8" s="544">
        <f>I48</f>
        <v>0</v>
      </c>
      <c r="I8" s="544">
        <f>G48+F48</f>
        <v>0</v>
      </c>
      <c r="J8" s="544">
        <f>H48+D48+C48</f>
        <v>0</v>
      </c>
      <c r="K8" s="544"/>
      <c r="L8" s="544"/>
      <c r="M8" s="544"/>
      <c r="N8" s="547"/>
      <c r="O8" s="548">
        <f>C8*$C$12+D8*$D$12+E8*$E$12+F8*$F$12+G8*$G$12+H8*$H$12+I8*$I$12+J8*$J$12</f>
        <v>21.388235294117649</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16257.638020645285</v>
      </c>
      <c r="C10" s="558">
        <f t="shared" ref="C10:L10" si="0">SUM(C8:C9)</f>
        <v>105.88235294117648</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21.388235294117649</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128.57142857142858</v>
      </c>
      <c r="C17" s="574">
        <f>B49</f>
        <v>151.2605042016807</v>
      </c>
      <c r="D17" s="575"/>
      <c r="E17" s="575">
        <f>E49</f>
        <v>0</v>
      </c>
      <c r="F17" s="576"/>
      <c r="G17" s="577"/>
      <c r="H17" s="574">
        <f>I49</f>
        <v>0</v>
      </c>
      <c r="I17" s="575">
        <f>G49+F49</f>
        <v>0</v>
      </c>
      <c r="J17" s="575">
        <f>H49+D49+C49</f>
        <v>0</v>
      </c>
      <c r="K17" s="575"/>
      <c r="L17" s="575"/>
      <c r="M17" s="575"/>
      <c r="N17" s="960"/>
      <c r="O17" s="578">
        <f>C17*$C$22+E17*$E$22+H17*$H$22+I17*$I$22+J17*$J$22+D17*$D$22+F17*$F$22+G17*$G$22+K17*$K$22+L17*$L$22</f>
        <v>30.554621848739504</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128.57142857142858</v>
      </c>
      <c r="C20" s="557">
        <f>SUM(C17:C19)</f>
        <v>151.2605042016807</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30.554621848739504</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63.75" hidden="1">
      <c r="A28" s="587"/>
      <c r="B28" s="785">
        <v>24134</v>
      </c>
      <c r="C28" s="785">
        <v>3271</v>
      </c>
      <c r="D28" s="635"/>
      <c r="E28" s="634"/>
      <c r="F28" s="634"/>
      <c r="G28" s="634" t="s">
        <v>868</v>
      </c>
      <c r="H28" s="634" t="s">
        <v>869</v>
      </c>
      <c r="I28" s="634"/>
      <c r="J28" s="784"/>
      <c r="K28" s="784"/>
      <c r="L28" s="634" t="s">
        <v>870</v>
      </c>
      <c r="M28" s="634">
        <v>20</v>
      </c>
      <c r="N28" s="634">
        <v>90</v>
      </c>
      <c r="O28" s="634">
        <v>128.57142857142858</v>
      </c>
      <c r="P28" s="634">
        <v>257.14285714285717</v>
      </c>
      <c r="Q28" s="634">
        <v>0</v>
      </c>
      <c r="R28" s="634">
        <v>0</v>
      </c>
      <c r="S28" s="634">
        <v>0</v>
      </c>
      <c r="T28" s="634">
        <v>0</v>
      </c>
      <c r="U28" s="634">
        <v>0</v>
      </c>
      <c r="V28" s="634">
        <v>0</v>
      </c>
      <c r="W28" s="634">
        <v>0</v>
      </c>
      <c r="X28" s="634">
        <v>1600</v>
      </c>
      <c r="Y28" s="634" t="s">
        <v>49</v>
      </c>
      <c r="Z28" s="636" t="s">
        <v>149</v>
      </c>
    </row>
    <row r="29" spans="1:26" s="568" customFormat="1" hidden="1">
      <c r="A29" s="590" t="s">
        <v>269</v>
      </c>
      <c r="B29" s="591"/>
      <c r="C29" s="591"/>
      <c r="D29" s="591"/>
      <c r="E29" s="591"/>
      <c r="F29" s="591"/>
      <c r="G29" s="591"/>
      <c r="H29" s="591"/>
      <c r="I29" s="591"/>
      <c r="J29" s="591"/>
      <c r="K29" s="591"/>
      <c r="L29" s="592"/>
      <c r="M29" s="592">
        <f>SUM(M28:M28)</f>
        <v>20</v>
      </c>
      <c r="N29" s="592">
        <f>SUM(N28:N28)</f>
        <v>90</v>
      </c>
      <c r="O29" s="592">
        <f>SUM(O28:O28)</f>
        <v>128.57142857142858</v>
      </c>
      <c r="P29" s="592">
        <f>SUM(P28:P28)</f>
        <v>257.14285714285717</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20</v>
      </c>
      <c r="N31" s="592">
        <f ca="1">SUMIF($Z$28:AD28,"tertiair",N28:N28)</f>
        <v>90</v>
      </c>
      <c r="O31" s="592">
        <f ca="1">SUMIF($Z$28:AE28,"tertiair",O28:O28)</f>
        <v>128.57142857142858</v>
      </c>
      <c r="P31" s="592">
        <f ca="1">SUMIF($Z$28:AF28,"tertiair",P28:P28)</f>
        <v>257.14285714285717</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105.88235294117648</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151.2605042016807</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2021-11-11T12:16:14Z</dcterms:modified>
</cp:coreProperties>
</file>