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347CDC9-1BAA-4D6D-AF40-AB69BB1ED82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<sst xmlns="http://schemas.openxmlformats.org/spreadsheetml/2006/main" count="2417" uniqueCount="868">
  <si>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</si>
  <si>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</si>
  <si>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</si>
  <si>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</si>
  <si>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</si>
  <si>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</si>
  <si>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</si>
  <si>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</si>
  <si>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</si>
  <si>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</si>
  <si>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</si>
  <si>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</si>
  <si>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</si>
  <si>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</si>
  <si>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</si>
  <si>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</si>
  <si>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</si>
  <si>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</si>
  <si>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</si>
  <si>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</si>
  <si>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</si>
  <si>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</si>
  <si>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</si>
  <si>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</si>
  <si>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</si>
  <si>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</si>
  <si>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</si>
  <si>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</si>
  <si>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</si>
  <si>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</si>
  <si>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</si>
  <si>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</si>
  <si>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</si>
  <si>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</si>
  <si>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</si>
  <si>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</si>
  <si>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</si>
  <si>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</si>
  <si>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</si>
  <si>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</si>
  <si>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</si>
  <si>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</si>
  <si>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</si>
  <si>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</si>
  <si>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</si>
  <si>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</si>
  <si>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</si>
  <si>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</si>
  <si>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</si>
  <si>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</si>
  <si>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</si>
  <si>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</si>
  <si>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</si>
  <si>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</si>
  <si>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</si>
  <si>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</si>
  <si>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</si>
  <si>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</si>
  <si>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</si>
  <si>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</si>
  <si>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</si>
  <si>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</si>
  <si>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</si>
  <si>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</si>
  <si>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</si>
  <si>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</si>
  <si>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</si>
  <si>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</si>
  <si>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</si>
  <si>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</si>
  <si>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</si>
  <si>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</si>
  <si>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</si>
  <si>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</si>
  <si>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</si>
  <si>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</si>
  <si>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</si>
  <si>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</si>
  <si>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</si>
  <si>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</si>
  <si>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</si>
  <si>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</si>
  <si>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</si>
  <si>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</si>
  <si>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</si>
  <si>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</si>
  <si>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</si>
  <si>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</si>
  <si>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</si>
  <si>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</si>
  <si>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</si>
  <si>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</si>
  <si>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</si>
  <si>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</si>
  <si>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</si>
  <si>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</si>
  <si>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</si>
  <si>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</si>
  <si>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</si>
  <si>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</si>
  <si>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</si>
  <si>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</si>
  <si>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</si>
  <si>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</si>
  <si>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</si>
  <si>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</si>
  <si>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</si>
  <si>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</si>
  <si>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</si>
  <si>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</si>
  <si>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</si>
  <si>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</si>
  <si>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</si>
  <si>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</si>
  <si>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</si>
  <si>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</si>
  <si>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</si>
  <si>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</si>
  <si>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</si>
  <si>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</si>
  <si>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</si>
  <si>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</si>
  <si>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</si>
  <si>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</si>
  <si>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</si>
  <si>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</si>
  <si>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</si>
  <si>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</si>
  <si>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</si>
  <si>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</si>
  <si>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</si>
  <si>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</si>
  <si>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</si>
  <si>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</si>
  <si>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</si>
  <si>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</si>
  <si>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</si>
  <si>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</si>
  <si>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</si>
  <si>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</si>
  <si>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</si>
  <si>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</si>
  <si>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</si>
  <si>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</si>
  <si>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</si>
  <si>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</si>
  <si>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</si>
  <si>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</si>
  <si>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</si>
  <si>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</si>
  <si>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</si>
  <si>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</si>
  <si>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</si>
  <si>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</si>
  <si>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</si>
  <si>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</si>
  <si>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</si>
  <si>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</si>
  <si>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</si>
  <si>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</si>
  <si>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</si>
  <si>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</si>
  <si>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</si>
  <si>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</si>
  <si>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</si>
  <si>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</si>
  <si>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</si>
  <si>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</si>
  <si>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</si>
  <si>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</si>
  <si>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</si>
  <si>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</si>
  <si>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</si>
  <si>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</si>
  <si>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</si>
  <si>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</si>
  <si>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</si>
  <si>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</si>
  <si>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</si>
  <si>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</si>
  <si>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</si>
  <si>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</si>
  <si>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</si>
  <si>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</si>
  <si>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</si>
  <si>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</si>
  <si>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</si>
  <si>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</si>
  <si>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</si>
  <si>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</si>
  <si>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</si>
  <si>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</si>
  <si>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</si>
  <si>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</si>
  <si>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</si>
  <si>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</si>
  <si>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</si>
  <si>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</si>
  <si>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</si>
  <si>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</si>
  <si>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</si>
  <si>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</si>
  <si>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</si>
  <si>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</si>
  <si>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</si>
  <si>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</si>
  <si>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</si>
  <si>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</si>
  <si>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</si>
  <si>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</si>
  <si>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</si>
  <si>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</si>
  <si>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</si>
  <si>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</si>
  <si>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</si>
  <si>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</si>
  <si>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</si>
  <si>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</si>
  <si>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</si>
  <si>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</si>
  <si>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</si>
  <si>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</si>
  <si>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</si>
  <si>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</si>
  <si>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</si>
  <si>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</si>
  <si>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</si>
  <si>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</si>
  <si>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</si>
  <si>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</si>
  <si>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</si>
  <si>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</si>
  <si>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</si>
  <si>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</si>
  <si>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</si>
  <si>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</si>
  <si>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</si>
  <si>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</si>
  <si>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</si>
  <si>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</si>
  <si>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</si>
  <si>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</si>
  <si>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</si>
  <si>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</si>
  <si>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</si>
  <si>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</si>
  <si>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</si>
  <si>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</si>
  <si>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</si>
  <si>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</si>
  <si>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</si>
  <si>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</si>
  <si>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</si>
  <si>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</si>
  <si>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</si>
  <si>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</si>
  <si>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</si>
  <si>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</si>
  <si>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</si>
  <si>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</si>
  <si>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</si>
  <si>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</si>
  <si>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</si>
  <si>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</si>
  <si>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</si>
  <si>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</si>
  <si>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</si>
  <si>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</si>
  <si>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</si>
  <si>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</si>
  <si>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</si>
  <si>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</si>
  <si>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</si>
  <si>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</si>
  <si>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</si>
  <si>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</si>
  <si>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</si>
  <si>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</si>
  <si>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</si>
  <si>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</si>
  <si>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</si>
  <si>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</si>
  <si>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</si>
  <si>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</si>
  <si>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</si>
  <si>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</si>
  <si>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</si>
  <si>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</si>
  <si>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</si>
  <si>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</si>
  <si>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</si>
  <si>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</si>
  <si>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</si>
  <si>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</si>
  <si>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</si>
  <si>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</si>
  <si>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</si>
  <si>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</si>
  <si>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</si>
  <si>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</si>
  <si>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</si>
  <si>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</si>
  <si>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</si>
  <si>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</si>
  <si>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</si>
  <si>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</si>
  <si>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</si>
  <si>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</si>
  <si>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</si>
  <si>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</si>
  <si>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</si>
  <si>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</si>
  <si>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</si>
  <si>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</si>
  <si>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</si>
  <si>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</si>
  <si>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</si>
  <si>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</si>
  <si>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</si>
  <si>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</si>
  <si>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</si>
  <si>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</si>
  <si>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</si>
  <si>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</si>
  <si>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</si>
  <si>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</si>
  <si>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</si>
  <si>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</si>
  <si>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</si>
  <si>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</si>
  <si>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</si>
  <si>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</si>
  <si>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</si>
  <si>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</si>
  <si>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</si>
  <si>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</si>
  <si>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</si>
  <si>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</si>
  <si>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</si>
  <si>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</si>
  <si>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</si>
  <si>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</si>
  <si>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</si>
  <si>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</si>
  <si>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</si>
  <si>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</si>
  <si>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</si>
  <si>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</si>
  <si>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</si>
  <si>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</si>
  <si>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</si>
  <si>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</si>
  <si>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</si>
  <si>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</si>
  <si>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</si>
  <si>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</si>
  <si>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</si>
  <si>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</si>
  <si>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</si>
  <si>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</si>
  <si>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</si>
  <si>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</si>
  <si>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</si>
  <si>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</si>
  <si>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</si>
  <si>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</si>
  <si>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</si>
  <si>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</si>
  <si>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</si>
  <si>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</si>
  <si>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</si>
  <si>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</si>
  <si>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</si>
  <si>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</si>
  <si>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</si>
  <si>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</si>
  <si>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</si>
  <si>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</si>
  <si>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</si>
  <si>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</si>
  <si>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</si>
  <si>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</si>
  <si>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</si>
  <si>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</si>
  <si>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</si>
  <si>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</si>
  <si>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</si>
  <si>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</si>
  <si>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</si>
  <si>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</si>
  <si>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</si>
  <si>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</si>
  <si>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</si>
  <si>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</si>
  <si>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</si>
  <si>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</si>
  <si>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</si>
  <si>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</si>
  <si>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</si>
  <si>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</si>
  <si>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</si>
  <si>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</si>
  <si>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</si>
  <si>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</si>
  <si>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</si>
  <si>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</si>
  <si>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</si>
  <si>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</si>
  <si>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</si>
  <si>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</si>
  <si>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</si>
  <si>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</si>
  <si>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</si>
  <si>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</si>
  <si>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</si>
  <si>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</si>
  <si>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</si>
  <si>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</si>
  <si>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</si>
  <si>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</si>
  <si>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</si>
  <si>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</si>
  <si>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</si>
  <si>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</si>
  <si>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</si>
  <si>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</si>
  <si>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</si>
  <si>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</si>
  <si>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</si>
  <si>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</si>
  <si>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</si>
  <si>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</si>
  <si>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</si>
  <si>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</si>
  <si>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</si>
  <si>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</si>
  <si>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</si>
  <si>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</si>
  <si>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</si>
  <si>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</si>
  <si>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</si>
  <si>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</si>
  <si>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</si>
  <si>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</si>
  <si>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</si>
  <si>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</si>
  <si>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</si>
  <si>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</si>
  <si>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</si>
  <si>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</si>
  <si>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</si>
  <si>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</si>
  <si>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</si>
  <si>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</si>
  <si>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</si>
  <si>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</si>
  <si>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</si>
  <si>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</si>
  <si>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</si>
  <si>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</si>
  <si>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</si>
  <si>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</si>
  <si>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</si>
  <si>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</si>
  <si>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</si>
  <si>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</si>
  <si>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</si>
  <si>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</si>
  <si>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</si>
  <si>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</si>
  <si>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</si>
  <si>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</si>
  <si>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</si>
  <si>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</si>
  <si>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</si>
  <si>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</si>
  <si>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</si>
  <si>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</si>
  <si>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</si>
  <si>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</si>
  <si>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</si>
  <si>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</si>
  <si>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</si>
  <si>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</si>
  <si>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</si>
  <si>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</si>
  <si>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</si>
  <si>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</si>
  <si>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</si>
  <si>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</si>
  <si>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</si>
  <si>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</si>
  <si>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</si>
  <si>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</si>
  <si>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</si>
  <si>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</si>
  <si>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</si>
  <si>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</si>
  <si>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</si>
  <si>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</si>
  <si>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</si>
  <si>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</si>
  <si>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</si>
  <si>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</si>
  <si>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</si>
  <si>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</si>
  <si>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</si>
  <si>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</si>
  <si>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</si>
  <si>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</si>
  <si>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</si>
  <si>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</si>
  <si>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</si>
  <si>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</si>
  <si>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</si>
  <si>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</si>
  <si>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</si>
  <si>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</si>
  <si>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</si>
  <si>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</si>
  <si>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</si>
  <si>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</si>
  <si>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</si>
  <si>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</si>
  <si>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</si>
  <si>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</si>
  <si>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</si>
  <si>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</si>
  <si>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</si>
  <si>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</si>
  <si>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</si>
  <si>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</si>
  <si>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</si>
  <si>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</si>
  <si>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</si>
  <si>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</si>
  <si>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</si>
  <si>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</si>
  <si>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</si>
  <si>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</si>
  <si>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</si>
  <si>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</si>
  <si>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</si>
  <si>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</si>
  <si>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</si>
  <si>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</si>
  <si>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</si>
  <si>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</si>
  <si>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</si>
  <si>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</si>
  <si>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</si>
  <si>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</si>
  <si>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</si>
  <si>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</si>
  <si>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</si>
  <si>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</si>
  <si>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</si>
  <si>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</si>
  <si>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</si>
  <si>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</si>
  <si>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</si>
  <si>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</si>
  <si>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</si>
  <si>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</si>
  <si>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</si>
  <si>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</si>
  <si>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</si>
  <si>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</si>
  <si>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</si>
  <si>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</si>
  <si>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</si>
  <si>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</si>
  <si>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</si>
  <si>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</si>
  <si>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</si>
  <si>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</si>
  <si>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</si>
  <si>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</si>
  <si>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</si>
  <si>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</si>
  <si>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</si>
  <si>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</si>
  <si>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</si>
  <si>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</si>
  <si>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</si>
  <si>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</si>
  <si>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</si>
  <si>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</si>
  <si>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</si>
  <si>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</si>
  <si>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</si>
  <si>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</si>
  <si>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</si>
  <si>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</si>
  <si>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</si>
  <si>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</si>
  <si>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</si>
  <si>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</si>
  <si>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</si>
  <si>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</si>
  <si>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</si>
  <si>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</si>
  <si>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</si>
  <si>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</si>
  <si>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</si>
  <si>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</si>
  <si>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</si>
  <si>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</si>
  <si>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</si>
  <si>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</si>
  <si>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</si>
  <si>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</si>
  <si>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</si>
  <si>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</si>
  <si>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</si>
  <si>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</si>
  <si>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</si>
  <si>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</si>
  <si>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</si>
  <si>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</si>
  <si>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</si>
  <si>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</si>
  <si>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</si>
  <si>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</si>
  <si>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</si>
  <si>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</si>
  <si>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</si>
  <si>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</si>
  <si>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</si>
  <si>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</si>
  <si>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</si>
  <si>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</si>
  <si>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</si>
  <si>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</si>
  <si>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</si>
  <si>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</si>
  <si>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</si>
  <si>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</si>
  <si>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</si>
  <si>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</si>
  <si>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</si>
  <si>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</si>
  <si>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</si>
  <si>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</si>
  <si>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</si>
  <si>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</si>
  <si>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</si>
  <si>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</si>
  <si>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</si>
  <si>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</si>
  <si>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</si>
  <si>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</si>
  <si>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</si>
  <si>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</si>
  <si>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</si>
  <si>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</si>
  <si>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</si>
  <si>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</si>
  <si>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</si>
  <si>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</si>
  <si>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</si>
  <si>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</si>
  <si>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</si>
  <si>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</si>
  <si>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</si>
  <si>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</si>
  <si>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</si>
  <si>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</si>
  <si>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</si>
  <si>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</si>
  <si>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</si>
  <si>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</si>
  <si>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</si>
  <si>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</si>
  <si>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</si>
  <si>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</si>
  <si>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</si>
  <si>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</si>
  <si>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</si>
  <si>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</si>
  <si>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</si>
  <si>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</si>
  <si>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</si>
  <si>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</si>
  <si>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</si>
  <si>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</si>
  <si>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</si>
  <si>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</si>
  <si>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</si>
  <si>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</si>
  <si>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</si>
  <si>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</si>
  <si>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</si>
  <si>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</si>
  <si>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</si>
  <si>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</si>
  <si>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</si>
  <si>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</si>
  <si>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</si>
  <si>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</si>
  <si>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</si>
  <si>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</si>
  <si>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</si>
  <si>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</si>
  <si>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</si>
  <si>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</si>
  <si>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</si>
  <si>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</si>
  <si>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</si>
  <si>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</si>
  <si>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</si>
  <si>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</si>
  <si>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</si>
  <si>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</si>
  <si>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</si>
  <si>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</si>
  <si>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</si>
  <si>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</si>
  <si>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</si>
  <si>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</si>
  <si>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</si>
  <si>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</si>
  <si>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</si>
  <si>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</si>
  <si>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</si>
  <si>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</si>
  <si>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</si>
  <si>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</si>
  <si>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</si>
  <si>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</si>
  <si>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</si>
  <si>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</si>
  <si>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</si>
  <si>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</si>
  <si>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</si>
  <si>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</si>
  <si>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</si>
  <si>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</si>
  <si>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</si>
  <si>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</si>
  <si>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</si>
  <si>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</si>
  <si>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</si>
  <si>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</si>
  <si>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</si>
  <si>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</si>
  <si>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</si>
  <si>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</si>
  <si>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</si>
  <si>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</si>
  <si>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</si>
  <si>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</si>
  <si>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</si>
  <si>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</si>
  <si>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</si>
  <si>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</si>
  <si>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</si>
  <si>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</si>
  <si>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</si>
  <si>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</si>
  <si>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</si>
  <si>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</si>
  <si>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</si>
  <si>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</si>
  <si>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</si>
  <si>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</si>
  <si>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</si>
  <si>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</si>
  <si>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</si>
  <si>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</si>
  <si>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</si>
  <si>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</si>
  <si>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</si>
  <si>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</si>
  <si>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</si>
  <si>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</si>
  <si>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</si>
  <si>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</si>
  <si>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</si>
  <si>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</si>
  <si>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</si>
  <si>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</si>
  <si>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</si>
  <si>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</si>
  <si>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</si>
  <si>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</si>
  <si>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</si>
  <si>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</si>
  <si>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</si>
  <si>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</si>
  <si>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</si>
  <si>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</si>
  <si>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</si>
  <si>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</si>
  <si>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</si>
  <si>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</si>
  <si>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</si>
  <si>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</si>
  <si>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</si>
  <si>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</si>
  <si>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</si>
  <si>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</si>
  <si>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</si>
  <si>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</si>
  <si>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</si>
  <si>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</si>
  <si>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</si>
  <si>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</si>
  <si>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</si>
  <si>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</si>
  <si>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</si>
  <si>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</si>
  <si>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</si>
  <si>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</si>
  <si>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</si>
  <si>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</si>
  <si>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</si>
  <si>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</si>
  <si>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</si>
  <si>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</si>
  <si>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</si>
  <si>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</si>
  <si>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</si>
  <si>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</si>
  <si>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</si>
  <si>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</si>
  <si>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</si>
  <si>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</si>
  <si>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</si>
  <si>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</si>
  <si>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</si>
  <si>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</si>
  <si>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</si>
  <si>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</si>
  <si>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</si>
  <si>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</si>
  <si>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</si>
  <si>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</si>
  <si>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</si>
  <si>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</si>
  <si>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</si>
  <si>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</si>
  <si>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</si>
  <si>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</si>
  <si>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</si>
  <si>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</si>
  <si>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</si>
  <si>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</si>
  <si>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</si>
  <si>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</si>
  <si>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</si>
  <si>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</si>
  <si>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</si>
  <si>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</si>
  <si>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</si>
  <si>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</si>
  <si>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</si>
  <si>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</si>
  <si>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</si>
  <si>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</si>
  <si>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</si>
  <si>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</si>
  <si>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</si>
  <si>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</si>
  <si>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24107</t>
  </si>
  <si>
    <t>TIENEN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</si>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</sst>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DF053DF-3508-4B17-B618-468439E9243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294318.14033486217</c:v>
                </c:pt>
                <c:pt idx="1">
                  <c:v>166950.71363911816</c:v>
                </c:pt>
                <c:pt idx="2">
                  <c:v>2343.8040000000001</c:v>
                </c:pt>
                <c:pt idx="3">
                  <c:v>9510.8741364165871</c:v>
                </c:pt>
                <c:pt idx="4">
                  <c:v>156650.42947468697</c:v>
                </c:pt>
                <c:pt idx="5">
                  <c:v>224472.10326464681</c:v>
                </c:pt>
                <c:pt idx="6">
                  <c:v>3288.4496680346251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294318.14033486217</c:v>
                </c:pt>
                <c:pt idx="1">
                  <c:v>166950.71363911816</c:v>
                </c:pt>
                <c:pt idx="2">
                  <c:v>2343.8040000000001</c:v>
                </c:pt>
                <c:pt idx="3">
                  <c:v>9510.8741364165871</c:v>
                </c:pt>
                <c:pt idx="4">
                  <c:v>156650.42947468697</c:v>
                </c:pt>
                <c:pt idx="5">
                  <c:v>224472.10326464681</c:v>
                </c:pt>
                <c:pt idx="6">
                  <c:v>3288.4496680346251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59576.826700711536</c:v>
                </c:pt>
                <c:pt idx="1">
                  <c:v>34323.141709138778</c:v>
                </c:pt>
                <c:pt idx="2">
                  <c:v>489.54261002364115</c:v>
                </c:pt>
                <c:pt idx="3">
                  <c:v>2428.4246343746195</c:v>
                </c:pt>
                <c:pt idx="4">
                  <c:v>34181.474781086014</c:v>
                </c:pt>
                <c:pt idx="5">
                  <c:v>55686.256581158959</c:v>
                </c:pt>
                <c:pt idx="6">
                  <c:v>828.20441146694998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59576.826700711536</c:v>
                </c:pt>
                <c:pt idx="1">
                  <c:v>34323.141709138778</c:v>
                </c:pt>
                <c:pt idx="2">
                  <c:v>489.54261002364115</c:v>
                </c:pt>
                <c:pt idx="3">
                  <c:v>2428.4246343746195</c:v>
                </c:pt>
                <c:pt idx="4">
                  <c:v>34181.474781086014</c:v>
                </c:pt>
                <c:pt idx="5">
                  <c:v>55686.256581158959</c:v>
                </c:pt>
                <c:pt idx="6">
                  <c:v>828.20441146694998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24107</v>
      </c>
      <c r="B6" s="384"/>
      <c r="C6" s="385"/>
    </row>
    <row r="7" spans="1:7" s="382" customFormat="1" ht="15.75" customHeight="1">
      <c r="A7" s="386" t="str">
        <f>txtMunicipality</f>
        <v>TIENEN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69727.404717946702</v>
      </c>
      <c r="D10" s="681">
        <f ca="1">tertiair!C16</f>
        <v>0</v>
      </c>
      <c r="E10" s="681">
        <f ca="1">tertiair!D16</f>
        <v>86439.546147138302</v>
      </c>
      <c r="F10" s="681">
        <f>tertiair!E16</f>
        <v>205.4799456468246</v>
      </c>
      <c r="G10" s="681">
        <f ca="1">tertiair!F16</f>
        <v>10267.793049278755</v>
      </c>
      <c r="H10" s="681">
        <f>tertiair!G16</f>
        <v>0</v>
      </c>
      <c r="I10" s="681">
        <f>tertiair!H16</f>
        <v>0</v>
      </c>
      <c r="J10" s="681">
        <f>tertiair!I16</f>
        <v>0</v>
      </c>
      <c r="K10" s="681">
        <f>tertiair!J16</f>
        <v>5.1668048724232557E-2</v>
      </c>
      <c r="L10" s="681">
        <f>tertiair!K16</f>
        <v>0</v>
      </c>
      <c r="M10" s="681">
        <f ca="1">tertiair!L16</f>
        <v>0</v>
      </c>
      <c r="N10" s="681">
        <f>tertiair!M16</f>
        <v>0</v>
      </c>
      <c r="O10" s="681">
        <f ca="1">tertiair!N16</f>
        <v>2066.5170681557206</v>
      </c>
      <c r="P10" s="681">
        <f>tertiair!O16</f>
        <v>9.7945215316823084</v>
      </c>
      <c r="Q10" s="682">
        <f>tertiair!P16</f>
        <v>577.93052137144514</v>
      </c>
      <c r="R10" s="684">
        <f ca="1">SUM(C10:Q10)</f>
        <v>169294.51763911816</v>
      </c>
      <c r="S10" s="67"/>
    </row>
    <row r="11" spans="1:19" s="443" customFormat="1">
      <c r="A11" s="802" t="s">
        <v>214</v>
      </c>
      <c r="B11" s="807"/>
      <c r="C11" s="681">
        <f>huishoudens!B8</f>
        <v>52376.208764548152</v>
      </c>
      <c r="D11" s="681">
        <f>huishoudens!C8</f>
        <v>0</v>
      </c>
      <c r="E11" s="681">
        <f>huishoudens!D8</f>
        <v>157652.50219714202</v>
      </c>
      <c r="F11" s="681">
        <f>huishoudens!E8</f>
        <v>2743.5722855302533</v>
      </c>
      <c r="G11" s="681">
        <f>huishoudens!F8</f>
        <v>60102.355103934417</v>
      </c>
      <c r="H11" s="681">
        <f>huishoudens!G8</f>
        <v>0</v>
      </c>
      <c r="I11" s="681">
        <f>huishoudens!H8</f>
        <v>0</v>
      </c>
      <c r="J11" s="681">
        <f>huishoudens!I8</f>
        <v>0</v>
      </c>
      <c r="K11" s="681">
        <f>huishoudens!J8</f>
        <v>342.52989535777948</v>
      </c>
      <c r="L11" s="681">
        <f>huishoudens!K8</f>
        <v>0</v>
      </c>
      <c r="M11" s="681">
        <f>huishoudens!L8</f>
        <v>0</v>
      </c>
      <c r="N11" s="681">
        <f>huishoudens!M8</f>
        <v>0</v>
      </c>
      <c r="O11" s="681">
        <f>huishoudens!N8</f>
        <v>19768.50057072044</v>
      </c>
      <c r="P11" s="681">
        <f>huishoudens!O8</f>
        <v>426.55101716821184</v>
      </c>
      <c r="Q11" s="682">
        <f>huishoudens!P8</f>
        <v>905.92050046091197</v>
      </c>
      <c r="R11" s="684">
        <f>SUM(C11:Q11)</f>
        <v>294318.14033486217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103103.04107739704</v>
      </c>
      <c r="D13" s="681">
        <f>industrie!C18</f>
        <v>0</v>
      </c>
      <c r="E13" s="681">
        <f>industrie!D18</f>
        <v>23597.23975871272</v>
      </c>
      <c r="F13" s="681">
        <f>industrie!E18</f>
        <v>1888.5857071765445</v>
      </c>
      <c r="G13" s="681">
        <f>industrie!F18</f>
        <v>17364.45379610033</v>
      </c>
      <c r="H13" s="681">
        <f>industrie!G18</f>
        <v>0</v>
      </c>
      <c r="I13" s="681">
        <f>industrie!H18</f>
        <v>0</v>
      </c>
      <c r="J13" s="681">
        <f>industrie!I18</f>
        <v>0</v>
      </c>
      <c r="K13" s="681">
        <f>industrie!J18</f>
        <v>7952.0399568049679</v>
      </c>
      <c r="L13" s="681">
        <f>industrie!K18</f>
        <v>0</v>
      </c>
      <c r="M13" s="681">
        <f>industrie!L18</f>
        <v>0</v>
      </c>
      <c r="N13" s="681">
        <f>industrie!M18</f>
        <v>0</v>
      </c>
      <c r="O13" s="681">
        <f>industrie!N18</f>
        <v>2745.0691784953588</v>
      </c>
      <c r="P13" s="681">
        <f>industrie!O18</f>
        <v>0</v>
      </c>
      <c r="Q13" s="682">
        <f>industrie!P18</f>
        <v>0</v>
      </c>
      <c r="R13" s="684">
        <f>SUM(C13:Q13)</f>
        <v>156650.42947468697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225206.6545598919</v>
      </c>
      <c r="D16" s="717">
        <f t="shared" ref="D16:R16" ca="1" si="0">SUM(D9:D15)</f>
        <v>0</v>
      </c>
      <c r="E16" s="717">
        <f t="shared" ca="1" si="0"/>
        <v>267689.28810299304</v>
      </c>
      <c r="F16" s="717">
        <f t="shared" si="0"/>
        <v>4837.6379383536223</v>
      </c>
      <c r="G16" s="717">
        <f t="shared" ca="1" si="0"/>
        <v>87734.60194931351</v>
      </c>
      <c r="H16" s="717">
        <f t="shared" si="0"/>
        <v>0</v>
      </c>
      <c r="I16" s="717">
        <f t="shared" si="0"/>
        <v>0</v>
      </c>
      <c r="J16" s="717">
        <f t="shared" si="0"/>
        <v>0</v>
      </c>
      <c r="K16" s="717">
        <f t="shared" si="0"/>
        <v>8294.6215202114709</v>
      </c>
      <c r="L16" s="717">
        <f t="shared" si="0"/>
        <v>0</v>
      </c>
      <c r="M16" s="717">
        <f t="shared" ca="1" si="0"/>
        <v>0</v>
      </c>
      <c r="N16" s="717">
        <f t="shared" si="0"/>
        <v>0</v>
      </c>
      <c r="O16" s="717">
        <f t="shared" ca="1" si="0"/>
        <v>24580.086817371521</v>
      </c>
      <c r="P16" s="717">
        <f t="shared" si="0"/>
        <v>436.34553869989418</v>
      </c>
      <c r="Q16" s="717">
        <f t="shared" si="0"/>
        <v>1483.8510218323572</v>
      </c>
      <c r="R16" s="717">
        <f t="shared" ca="1" si="0"/>
        <v>620263.08744866727</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48.937046944258448</v>
      </c>
      <c r="D19" s="681">
        <f>transport!C54</f>
        <v>0</v>
      </c>
      <c r="E19" s="681">
        <f>transport!D54</f>
        <v>0</v>
      </c>
      <c r="F19" s="681">
        <f>transport!E54</f>
        <v>0</v>
      </c>
      <c r="G19" s="681">
        <f>transport!F54</f>
        <v>0</v>
      </c>
      <c r="H19" s="681">
        <f>transport!G54</f>
        <v>3063.6070857651598</v>
      </c>
      <c r="I19" s="681">
        <f>transport!H54</f>
        <v>0</v>
      </c>
      <c r="J19" s="681">
        <f>transport!I54</f>
        <v>0</v>
      </c>
      <c r="K19" s="681">
        <f>transport!J54</f>
        <v>0</v>
      </c>
      <c r="L19" s="681">
        <f>transport!K54</f>
        <v>0</v>
      </c>
      <c r="M19" s="681">
        <f>transport!L54</f>
        <v>0</v>
      </c>
      <c r="N19" s="681">
        <f>transport!M54</f>
        <v>175.9055353252069</v>
      </c>
      <c r="O19" s="681">
        <f>transport!N54</f>
        <v>0</v>
      </c>
      <c r="P19" s="681">
        <f>transport!O54</f>
        <v>0</v>
      </c>
      <c r="Q19" s="682">
        <f>transport!P54</f>
        <v>0</v>
      </c>
      <c r="R19" s="684">
        <f>SUM(C19:Q19)</f>
        <v>3288.4496680346251</v>
      </c>
      <c r="S19" s="67"/>
    </row>
    <row r="20" spans="1:19" s="443" customFormat="1">
      <c r="A20" s="802" t="s">
        <v>296</v>
      </c>
      <c r="B20" s="807"/>
      <c r="C20" s="681">
        <f>transport!B14</f>
        <v>499.18907627073065</v>
      </c>
      <c r="D20" s="681">
        <f>transport!C14</f>
        <v>0</v>
      </c>
      <c r="E20" s="681">
        <f>transport!D14</f>
        <v>869.03783150083075</v>
      </c>
      <c r="F20" s="681">
        <f>transport!E14</f>
        <v>355.16446423717622</v>
      </c>
      <c r="G20" s="681">
        <f>transport!F14</f>
        <v>0</v>
      </c>
      <c r="H20" s="681">
        <f>transport!G14</f>
        <v>167184.08923028698</v>
      </c>
      <c r="I20" s="681">
        <f>transport!H14</f>
        <v>42922.380745506176</v>
      </c>
      <c r="J20" s="681">
        <f>transport!I14</f>
        <v>0</v>
      </c>
      <c r="K20" s="681">
        <f>transport!J14</f>
        <v>0</v>
      </c>
      <c r="L20" s="681">
        <f>transport!K14</f>
        <v>0</v>
      </c>
      <c r="M20" s="681">
        <f>transport!L14</f>
        <v>0</v>
      </c>
      <c r="N20" s="681">
        <f>transport!M14</f>
        <v>12642.241916844918</v>
      </c>
      <c r="O20" s="681">
        <f>transport!N14</f>
        <v>0</v>
      </c>
      <c r="P20" s="681">
        <f>transport!O14</f>
        <v>0</v>
      </c>
      <c r="Q20" s="682">
        <f>transport!P14</f>
        <v>0</v>
      </c>
      <c r="R20" s="684">
        <f>SUM(C20:Q20)</f>
        <v>224472.10326464681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548.12612321498909</v>
      </c>
      <c r="D22" s="805">
        <f t="shared" ref="D22:R22" si="1">SUM(D18:D21)</f>
        <v>0</v>
      </c>
      <c r="E22" s="805">
        <f t="shared" si="1"/>
        <v>869.03783150083075</v>
      </c>
      <c r="F22" s="805">
        <f t="shared" si="1"/>
        <v>355.16446423717622</v>
      </c>
      <c r="G22" s="805">
        <f t="shared" si="1"/>
        <v>0</v>
      </c>
      <c r="H22" s="805">
        <f t="shared" si="1"/>
        <v>170247.69631605214</v>
      </c>
      <c r="I22" s="805">
        <f t="shared" si="1"/>
        <v>42922.380745506176</v>
      </c>
      <c r="J22" s="805">
        <f t="shared" si="1"/>
        <v>0</v>
      </c>
      <c r="K22" s="805">
        <f t="shared" si="1"/>
        <v>0</v>
      </c>
      <c r="L22" s="805">
        <f t="shared" si="1"/>
        <v>0</v>
      </c>
      <c r="M22" s="805">
        <f t="shared" si="1"/>
        <v>0</v>
      </c>
      <c r="N22" s="805">
        <f t="shared" si="1"/>
        <v>12818.147452170124</v>
      </c>
      <c r="O22" s="805">
        <f t="shared" si="1"/>
        <v>0</v>
      </c>
      <c r="P22" s="805">
        <f t="shared" si="1"/>
        <v>0</v>
      </c>
      <c r="Q22" s="805">
        <f t="shared" si="1"/>
        <v>0</v>
      </c>
      <c r="R22" s="805">
        <f t="shared" si="1"/>
        <v>227760.55293268143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2012.9056587319199</v>
      </c>
      <c r="D24" s="681">
        <f>+landbouw!C8</f>
        <v>0</v>
      </c>
      <c r="E24" s="681">
        <f>+landbouw!D8</f>
        <v>556.67723086480385</v>
      </c>
      <c r="F24" s="681">
        <f>+landbouw!E8</f>
        <v>57.653024526109611</v>
      </c>
      <c r="G24" s="681">
        <f>+landbouw!F8</f>
        <v>6371.8195233307733</v>
      </c>
      <c r="H24" s="681">
        <f>+landbouw!G8</f>
        <v>0</v>
      </c>
      <c r="I24" s="681">
        <f>+landbouw!H8</f>
        <v>0</v>
      </c>
      <c r="J24" s="681">
        <f>+landbouw!I8</f>
        <v>0</v>
      </c>
      <c r="K24" s="681">
        <f>+landbouw!J8</f>
        <v>511.81869896297894</v>
      </c>
      <c r="L24" s="681">
        <f>+landbouw!K8</f>
        <v>0</v>
      </c>
      <c r="M24" s="681">
        <f>+landbouw!L8</f>
        <v>0</v>
      </c>
      <c r="N24" s="681">
        <f>+landbouw!M8</f>
        <v>0</v>
      </c>
      <c r="O24" s="681">
        <f>+landbouw!N8</f>
        <v>0</v>
      </c>
      <c r="P24" s="681">
        <f>+landbouw!O8</f>
        <v>0</v>
      </c>
      <c r="Q24" s="682">
        <f>+landbouw!P8</f>
        <v>0</v>
      </c>
      <c r="R24" s="684">
        <f>SUM(C24:Q24)</f>
        <v>9510.8741364165871</v>
      </c>
      <c r="S24" s="67"/>
    </row>
    <row r="25" spans="1:19" s="443" customFormat="1" ht="15" thickBot="1">
      <c r="A25" s="824" t="s">
        <v>690</v>
      </c>
      <c r="B25" s="937"/>
      <c r="C25" s="938">
        <f>IF(Onbekend_ele_kWh="---",0,Onbekend_ele_kWh)/1000+IF(REST_rest_ele_kWh="---",0,REST_rest_ele_kWh)/1000</f>
        <v>1695.1859944760001</v>
      </c>
      <c r="D25" s="938"/>
      <c r="E25" s="938">
        <f>IF(onbekend_gas_kWh="---",0,onbekend_gas_kWh)/1000+IF(REST_rest_gas_kWh="---",0,REST_rest_gas_kWh)/1000</f>
        <v>7595.7914171748998</v>
      </c>
      <c r="F25" s="938"/>
      <c r="G25" s="938"/>
      <c r="H25" s="938"/>
      <c r="I25" s="938"/>
      <c r="J25" s="938"/>
      <c r="K25" s="938"/>
      <c r="L25" s="938"/>
      <c r="M25" s="938"/>
      <c r="N25" s="938"/>
      <c r="O25" s="938"/>
      <c r="P25" s="938"/>
      <c r="Q25" s="939"/>
      <c r="R25" s="684">
        <f>SUM(C25:Q25)</f>
        <v>9290.9774116508997</v>
      </c>
      <c r="S25" s="67"/>
    </row>
    <row r="26" spans="1:19" s="443" customFormat="1" ht="15.75" thickBot="1">
      <c r="A26" s="689" t="s">
        <v>691</v>
      </c>
      <c r="B26" s="810"/>
      <c r="C26" s="805">
        <f>SUM(C24:C25)</f>
        <v>3708.09165320792</v>
      </c>
      <c r="D26" s="805">
        <f t="shared" ref="D26:R26" si="2">SUM(D24:D25)</f>
        <v>0</v>
      </c>
      <c r="E26" s="805">
        <f t="shared" si="2"/>
        <v>8152.468648039704</v>
      </c>
      <c r="F26" s="805">
        <f t="shared" si="2"/>
        <v>57.653024526109611</v>
      </c>
      <c r="G26" s="805">
        <f t="shared" si="2"/>
        <v>6371.8195233307733</v>
      </c>
      <c r="H26" s="805">
        <f t="shared" si="2"/>
        <v>0</v>
      </c>
      <c r="I26" s="805">
        <f t="shared" si="2"/>
        <v>0</v>
      </c>
      <c r="J26" s="805">
        <f t="shared" si="2"/>
        <v>0</v>
      </c>
      <c r="K26" s="805">
        <f t="shared" si="2"/>
        <v>511.81869896297894</v>
      </c>
      <c r="L26" s="805">
        <f t="shared" si="2"/>
        <v>0</v>
      </c>
      <c r="M26" s="805">
        <f t="shared" si="2"/>
        <v>0</v>
      </c>
      <c r="N26" s="805">
        <f t="shared" si="2"/>
        <v>0</v>
      </c>
      <c r="O26" s="805">
        <f t="shared" si="2"/>
        <v>0</v>
      </c>
      <c r="P26" s="805">
        <f t="shared" si="2"/>
        <v>0</v>
      </c>
      <c r="Q26" s="805">
        <f t="shared" si="2"/>
        <v>0</v>
      </c>
      <c r="R26" s="805">
        <f t="shared" si="2"/>
        <v>18801.851548067487</v>
      </c>
      <c r="S26" s="67"/>
    </row>
    <row r="27" spans="1:19" s="443" customFormat="1" ht="17.25" thickTop="1" thickBot="1">
      <c r="A27" s="690" t="s">
        <v>109</v>
      </c>
      <c r="B27" s="797"/>
      <c r="C27" s="691">
        <f ca="1">C22+C16+C26</f>
        <v>229462.87233631482</v>
      </c>
      <c r="D27" s="691">
        <f t="shared" ref="D27:R27" ca="1" si="3">D22+D16+D26</f>
        <v>0</v>
      </c>
      <c r="E27" s="691">
        <f t="shared" ca="1" si="3"/>
        <v>276710.79458253353</v>
      </c>
      <c r="F27" s="691">
        <f t="shared" si="3"/>
        <v>5250.4554271169081</v>
      </c>
      <c r="G27" s="691">
        <f t="shared" ca="1" si="3"/>
        <v>94106.421472644288</v>
      </c>
      <c r="H27" s="691">
        <f t="shared" si="3"/>
        <v>170247.69631605214</v>
      </c>
      <c r="I27" s="691">
        <f t="shared" si="3"/>
        <v>42922.380745506176</v>
      </c>
      <c r="J27" s="691">
        <f t="shared" si="3"/>
        <v>0</v>
      </c>
      <c r="K27" s="691">
        <f t="shared" si="3"/>
        <v>8806.4402191744502</v>
      </c>
      <c r="L27" s="691">
        <f t="shared" si="3"/>
        <v>0</v>
      </c>
      <c r="M27" s="691">
        <f t="shared" ca="1" si="3"/>
        <v>0</v>
      </c>
      <c r="N27" s="691">
        <f t="shared" si="3"/>
        <v>12818.147452170124</v>
      </c>
      <c r="O27" s="691">
        <f t="shared" ca="1" si="3"/>
        <v>24580.086817371521</v>
      </c>
      <c r="P27" s="691">
        <f t="shared" si="3"/>
        <v>436.34553869989418</v>
      </c>
      <c r="Q27" s="691">
        <f t="shared" si="3"/>
        <v>1483.8510218323572</v>
      </c>
      <c r="R27" s="691">
        <f t="shared" ca="1" si="3"/>
        <v>866825.4919294162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14563.733015131971</v>
      </c>
      <c r="D40" s="681">
        <f ca="1">tertiair!C20</f>
        <v>0</v>
      </c>
      <c r="E40" s="681">
        <f ca="1">tertiair!D20</f>
        <v>17460.788321721939</v>
      </c>
      <c r="F40" s="681">
        <f>tertiair!E20</f>
        <v>46.643947661829188</v>
      </c>
      <c r="G40" s="681">
        <f ca="1">tertiair!F20</f>
        <v>2741.5007441574276</v>
      </c>
      <c r="H40" s="681">
        <f>tertiair!G20</f>
        <v>0</v>
      </c>
      <c r="I40" s="681">
        <f>tertiair!H20</f>
        <v>0</v>
      </c>
      <c r="J40" s="681">
        <f>tertiair!I20</f>
        <v>0</v>
      </c>
      <c r="K40" s="681">
        <f>tertiair!J20</f>
        <v>1.8290489248378325E-2</v>
      </c>
      <c r="L40" s="681">
        <f>tertiair!K20</f>
        <v>0</v>
      </c>
      <c r="M40" s="681">
        <f ca="1">tertiair!L20</f>
        <v>0</v>
      </c>
      <c r="N40" s="681">
        <f>tertiair!M20</f>
        <v>0</v>
      </c>
      <c r="O40" s="681">
        <f ca="1">tertiair!N20</f>
        <v>0</v>
      </c>
      <c r="P40" s="681">
        <f>tertiair!O20</f>
        <v>0</v>
      </c>
      <c r="Q40" s="764">
        <f>tertiair!P20</f>
        <v>0</v>
      </c>
      <c r="R40" s="843">
        <f t="shared" ca="1" si="4"/>
        <v>34812.684319162421</v>
      </c>
    </row>
    <row r="41" spans="1:18">
      <c r="A41" s="815" t="s">
        <v>214</v>
      </c>
      <c r="B41" s="822"/>
      <c r="C41" s="681">
        <f ca="1">huishoudens!B12</f>
        <v>10939.645952366329</v>
      </c>
      <c r="D41" s="681">
        <f ca="1">huishoudens!C12</f>
        <v>0</v>
      </c>
      <c r="E41" s="681">
        <f>huishoudens!D12</f>
        <v>31845.80544382269</v>
      </c>
      <c r="F41" s="681">
        <f>huishoudens!E12</f>
        <v>622.79090881536752</v>
      </c>
      <c r="G41" s="681">
        <f>huishoudens!F12</f>
        <v>16047.328812750489</v>
      </c>
      <c r="H41" s="681">
        <f>huishoudens!G12</f>
        <v>0</v>
      </c>
      <c r="I41" s="681">
        <f>huishoudens!H12</f>
        <v>0</v>
      </c>
      <c r="J41" s="681">
        <f>huishoudens!I12</f>
        <v>0</v>
      </c>
      <c r="K41" s="681">
        <f>huishoudens!J12</f>
        <v>121.25558295665392</v>
      </c>
      <c r="L41" s="681">
        <f>huishoudens!K12</f>
        <v>0</v>
      </c>
      <c r="M41" s="681">
        <f>huishoudens!L12</f>
        <v>0</v>
      </c>
      <c r="N41" s="681">
        <f>huishoudens!M12</f>
        <v>0</v>
      </c>
      <c r="O41" s="681">
        <f>huishoudens!N12</f>
        <v>0</v>
      </c>
      <c r="P41" s="681">
        <f>huishoudens!O12</f>
        <v>0</v>
      </c>
      <c r="Q41" s="764">
        <f>huishoudens!P12</f>
        <v>0</v>
      </c>
      <c r="R41" s="843">
        <f t="shared" ca="1" si="4"/>
        <v>59576.826700711536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21534.792086029218</v>
      </c>
      <c r="D43" s="681">
        <f ca="1">industrie!C22</f>
        <v>0</v>
      </c>
      <c r="E43" s="681">
        <f>industrie!D22</f>
        <v>4766.6424312599693</v>
      </c>
      <c r="F43" s="681">
        <f>industrie!E22</f>
        <v>428.70895552907558</v>
      </c>
      <c r="G43" s="681">
        <f>industrie!F22</f>
        <v>4636.309163558788</v>
      </c>
      <c r="H43" s="681">
        <f>industrie!G22</f>
        <v>0</v>
      </c>
      <c r="I43" s="681">
        <f>industrie!H22</f>
        <v>0</v>
      </c>
      <c r="J43" s="681">
        <f>industrie!I22</f>
        <v>0</v>
      </c>
      <c r="K43" s="681">
        <f>industrie!J22</f>
        <v>2815.0221447089584</v>
      </c>
      <c r="L43" s="681">
        <f>industrie!K22</f>
        <v>0</v>
      </c>
      <c r="M43" s="681">
        <f>industrie!L22</f>
        <v>0</v>
      </c>
      <c r="N43" s="681">
        <f>industrie!M22</f>
        <v>0</v>
      </c>
      <c r="O43" s="681">
        <f>industrie!N22</f>
        <v>0</v>
      </c>
      <c r="P43" s="681">
        <f>industrie!O22</f>
        <v>0</v>
      </c>
      <c r="Q43" s="764">
        <f>industrie!P22</f>
        <v>0</v>
      </c>
      <c r="R43" s="842">
        <f t="shared" ca="1" si="4"/>
        <v>34181.474781086014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47038.17105352752</v>
      </c>
      <c r="D46" s="717">
        <f t="shared" ref="D46:Q46" ca="1" si="5">SUM(D39:D45)</f>
        <v>0</v>
      </c>
      <c r="E46" s="717">
        <f t="shared" ca="1" si="5"/>
        <v>54073.236196804603</v>
      </c>
      <c r="F46" s="717">
        <f t="shared" si="5"/>
        <v>1098.1438120062724</v>
      </c>
      <c r="G46" s="717">
        <f t="shared" ca="1" si="5"/>
        <v>23425.138720466704</v>
      </c>
      <c r="H46" s="717">
        <f t="shared" si="5"/>
        <v>0</v>
      </c>
      <c r="I46" s="717">
        <f t="shared" si="5"/>
        <v>0</v>
      </c>
      <c r="J46" s="717">
        <f t="shared" si="5"/>
        <v>0</v>
      </c>
      <c r="K46" s="717">
        <f t="shared" si="5"/>
        <v>2936.2960181548606</v>
      </c>
      <c r="L46" s="717">
        <f t="shared" si="5"/>
        <v>0</v>
      </c>
      <c r="M46" s="717">
        <f t="shared" ca="1" si="5"/>
        <v>0</v>
      </c>
      <c r="N46" s="717">
        <f t="shared" si="5"/>
        <v>0</v>
      </c>
      <c r="O46" s="717">
        <f t="shared" ca="1" si="5"/>
        <v>0</v>
      </c>
      <c r="P46" s="717">
        <f t="shared" si="5"/>
        <v>0</v>
      </c>
      <c r="Q46" s="717">
        <f t="shared" si="5"/>
        <v>0</v>
      </c>
      <c r="R46" s="717">
        <f ca="1">SUM(R39:R45)</f>
        <v>128570.98580095997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10.2213195676523</v>
      </c>
      <c r="D49" s="681">
        <f ca="1">transport!C58</f>
        <v>0</v>
      </c>
      <c r="E49" s="681">
        <f>transport!D58</f>
        <v>0</v>
      </c>
      <c r="F49" s="681">
        <f>transport!E58</f>
        <v>0</v>
      </c>
      <c r="G49" s="681">
        <f>transport!F58</f>
        <v>0</v>
      </c>
      <c r="H49" s="681">
        <f>transport!G58</f>
        <v>817.98309189929773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828.20441146694998</v>
      </c>
    </row>
    <row r="50" spans="1:18">
      <c r="A50" s="818" t="s">
        <v>296</v>
      </c>
      <c r="B50" s="828"/>
      <c r="C50" s="687">
        <f ca="1">transport!B18</f>
        <v>104.26397569628857</v>
      </c>
      <c r="D50" s="687">
        <f>transport!C18</f>
        <v>0</v>
      </c>
      <c r="E50" s="687">
        <f>transport!D18</f>
        <v>175.54564196316781</v>
      </c>
      <c r="F50" s="687">
        <f>transport!E18</f>
        <v>80.622333381838999</v>
      </c>
      <c r="G50" s="687">
        <f>transport!F18</f>
        <v>0</v>
      </c>
      <c r="H50" s="687">
        <f>transport!G18</f>
        <v>44638.151824486624</v>
      </c>
      <c r="I50" s="687">
        <f>transport!H18</f>
        <v>10687.672805631038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55686.256581158959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114.48529526394087</v>
      </c>
      <c r="D52" s="717">
        <f t="shared" ref="D52:Q52" ca="1" si="6">SUM(D48:D51)</f>
        <v>0</v>
      </c>
      <c r="E52" s="717">
        <f t="shared" si="6"/>
        <v>175.54564196316781</v>
      </c>
      <c r="F52" s="717">
        <f t="shared" si="6"/>
        <v>80.622333381838999</v>
      </c>
      <c r="G52" s="717">
        <f t="shared" si="6"/>
        <v>0</v>
      </c>
      <c r="H52" s="717">
        <f t="shared" si="6"/>
        <v>45456.134916385919</v>
      </c>
      <c r="I52" s="717">
        <f t="shared" si="6"/>
        <v>10687.672805631038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56514.460992625907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420.42896501029122</v>
      </c>
      <c r="D54" s="687">
        <f ca="1">+landbouw!C12</f>
        <v>0</v>
      </c>
      <c r="E54" s="687">
        <f>+landbouw!D12</f>
        <v>112.44880063469039</v>
      </c>
      <c r="F54" s="687">
        <f>+landbouw!E12</f>
        <v>13.087236567426881</v>
      </c>
      <c r="G54" s="687">
        <f>+landbouw!F12</f>
        <v>1701.2758127293166</v>
      </c>
      <c r="H54" s="687">
        <f>+landbouw!G12</f>
        <v>0</v>
      </c>
      <c r="I54" s="687">
        <f>+landbouw!H12</f>
        <v>0</v>
      </c>
      <c r="J54" s="687">
        <f>+landbouw!I12</f>
        <v>0</v>
      </c>
      <c r="K54" s="687">
        <f>+landbouw!J12</f>
        <v>181.18381943289452</v>
      </c>
      <c r="L54" s="687">
        <f>+landbouw!K12</f>
        <v>0</v>
      </c>
      <c r="M54" s="687">
        <f>+landbouw!L12</f>
        <v>0</v>
      </c>
      <c r="N54" s="687">
        <f>+landbouw!M12</f>
        <v>0</v>
      </c>
      <c r="O54" s="687">
        <f>+landbouw!N12</f>
        <v>0</v>
      </c>
      <c r="P54" s="687">
        <f>+landbouw!O12</f>
        <v>0</v>
      </c>
      <c r="Q54" s="688">
        <f>+landbouw!P12</f>
        <v>0</v>
      </c>
      <c r="R54" s="716">
        <f ca="1">SUM(C54:Q54)</f>
        <v>2428.4246343746195</v>
      </c>
    </row>
    <row r="55" spans="1:18" ht="15" thickBot="1">
      <c r="A55" s="818" t="s">
        <v>690</v>
      </c>
      <c r="B55" s="828"/>
      <c r="C55" s="687">
        <f ca="1">C25*'EF ele_warmte'!B12</f>
        <v>354.06790679225003</v>
      </c>
      <c r="D55" s="687"/>
      <c r="E55" s="687">
        <f>E25*EF_CO2_aardgas</f>
        <v>1534.3498662693298</v>
      </c>
      <c r="F55" s="687"/>
      <c r="G55" s="687"/>
      <c r="H55" s="687"/>
      <c r="I55" s="687"/>
      <c r="J55" s="687"/>
      <c r="K55" s="687"/>
      <c r="L55" s="687"/>
      <c r="M55" s="687"/>
      <c r="N55" s="687"/>
      <c r="O55" s="687"/>
      <c r="P55" s="687"/>
      <c r="Q55" s="688"/>
      <c r="R55" s="716">
        <f ca="1">SUM(C55:Q55)</f>
        <v>1888.4177730615797</v>
      </c>
    </row>
    <row r="56" spans="1:18" ht="15.75" thickBot="1">
      <c r="A56" s="816" t="s">
        <v>691</v>
      </c>
      <c r="B56" s="829"/>
      <c r="C56" s="717">
        <f ca="1">SUM(C54:C55)</f>
        <v>774.49687180254125</v>
      </c>
      <c r="D56" s="717">
        <f t="shared" ref="D56:Q56" ca="1" si="7">SUM(D54:D55)</f>
        <v>0</v>
      </c>
      <c r="E56" s="717">
        <f t="shared" si="7"/>
        <v>1646.7986669040201</v>
      </c>
      <c r="F56" s="717">
        <f t="shared" si="7"/>
        <v>13.087236567426881</v>
      </c>
      <c r="G56" s="717">
        <f t="shared" si="7"/>
        <v>1701.2758127293166</v>
      </c>
      <c r="H56" s="717">
        <f t="shared" si="7"/>
        <v>0</v>
      </c>
      <c r="I56" s="717">
        <f t="shared" si="7"/>
        <v>0</v>
      </c>
      <c r="J56" s="717">
        <f t="shared" si="7"/>
        <v>0</v>
      </c>
      <c r="K56" s="717">
        <f t="shared" si="7"/>
        <v>181.18381943289452</v>
      </c>
      <c r="L56" s="717">
        <f t="shared" si="7"/>
        <v>0</v>
      </c>
      <c r="M56" s="717">
        <f t="shared" si="7"/>
        <v>0</v>
      </c>
      <c r="N56" s="717">
        <f t="shared" si="7"/>
        <v>0</v>
      </c>
      <c r="O56" s="717">
        <f t="shared" si="7"/>
        <v>0</v>
      </c>
      <c r="P56" s="717">
        <f t="shared" si="7"/>
        <v>0</v>
      </c>
      <c r="Q56" s="718">
        <f t="shared" si="7"/>
        <v>0</v>
      </c>
      <c r="R56" s="719">
        <f ca="1">SUM(R54:R55)</f>
        <v>4316.8424074361992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47927.153220594002</v>
      </c>
      <c r="D61" s="725">
        <f t="shared" ref="D61:Q61" ca="1" si="8">D46+D52+D56</f>
        <v>0</v>
      </c>
      <c r="E61" s="725">
        <f t="shared" ca="1" si="8"/>
        <v>55895.580505671787</v>
      </c>
      <c r="F61" s="725">
        <f t="shared" si="8"/>
        <v>1191.8533819555382</v>
      </c>
      <c r="G61" s="725">
        <f t="shared" ca="1" si="8"/>
        <v>25126.414533196021</v>
      </c>
      <c r="H61" s="725">
        <f t="shared" si="8"/>
        <v>45456.134916385919</v>
      </c>
      <c r="I61" s="725">
        <f t="shared" si="8"/>
        <v>10687.672805631038</v>
      </c>
      <c r="J61" s="725">
        <f t="shared" si="8"/>
        <v>0</v>
      </c>
      <c r="K61" s="725">
        <f t="shared" si="8"/>
        <v>3117.4798375877549</v>
      </c>
      <c r="L61" s="725">
        <f t="shared" si="8"/>
        <v>0</v>
      </c>
      <c r="M61" s="725">
        <f t="shared" ca="1" si="8"/>
        <v>0</v>
      </c>
      <c r="N61" s="725">
        <f t="shared" si="8"/>
        <v>0</v>
      </c>
      <c r="O61" s="725">
        <f t="shared" ca="1" si="8"/>
        <v>0</v>
      </c>
      <c r="P61" s="725">
        <f t="shared" si="8"/>
        <v>0</v>
      </c>
      <c r="Q61" s="725">
        <f t="shared" si="8"/>
        <v>0</v>
      </c>
      <c r="R61" s="725">
        <f ca="1">R46+R52+R56</f>
        <v>189402.28920102207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0.20886670132128843</v>
      </c>
      <c r="D63" s="771">
        <f t="shared" ca="1" si="9"/>
        <v>0</v>
      </c>
      <c r="E63" s="963">
        <f t="shared" ca="1" si="9"/>
        <v>0.20200000000000004</v>
      </c>
      <c r="F63" s="771">
        <f t="shared" si="9"/>
        <v>0.22700000000000001</v>
      </c>
      <c r="G63" s="771">
        <f t="shared" ca="1" si="9"/>
        <v>0.26699999999999996</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12597.925636794436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12597.925636794436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52376.208764548152</v>
      </c>
      <c r="C4" s="447">
        <f>huishoudens!C8</f>
        <v>0</v>
      </c>
      <c r="D4" s="447">
        <f>huishoudens!D8</f>
        <v>157652.50219714202</v>
      </c>
      <c r="E4" s="447">
        <f>huishoudens!E8</f>
        <v>2743.5722855302533</v>
      </c>
      <c r="F4" s="447">
        <f>huishoudens!F8</f>
        <v>60102.355103934417</v>
      </c>
      <c r="G4" s="447">
        <f>huishoudens!G8</f>
        <v>0</v>
      </c>
      <c r="H4" s="447">
        <f>huishoudens!H8</f>
        <v>0</v>
      </c>
      <c r="I4" s="447">
        <f>huishoudens!I8</f>
        <v>0</v>
      </c>
      <c r="J4" s="447">
        <f>huishoudens!J8</f>
        <v>342.52989535777948</v>
      </c>
      <c r="K4" s="447">
        <f>huishoudens!K8</f>
        <v>0</v>
      </c>
      <c r="L4" s="447">
        <f>huishoudens!L8</f>
        <v>0</v>
      </c>
      <c r="M4" s="447">
        <f>huishoudens!M8</f>
        <v>0</v>
      </c>
      <c r="N4" s="447">
        <f>huishoudens!N8</f>
        <v>19768.50057072044</v>
      </c>
      <c r="O4" s="447">
        <f>huishoudens!O8</f>
        <v>426.55101716821184</v>
      </c>
      <c r="P4" s="448">
        <f>huishoudens!P8</f>
        <v>905.92050046091197</v>
      </c>
      <c r="Q4" s="449">
        <f>SUM(B4:P4)</f>
        <v>294318.14033486217</v>
      </c>
    </row>
    <row r="5" spans="1:17">
      <c r="A5" s="446" t="s">
        <v>149</v>
      </c>
      <c r="B5" s="447">
        <f ca="1">tertiair!B16</f>
        <v>67383.600717946698</v>
      </c>
      <c r="C5" s="447">
        <f ca="1">tertiair!C16</f>
        <v>0</v>
      </c>
      <c r="D5" s="447">
        <f ca="1">tertiair!D16</f>
        <v>86439.546147138302</v>
      </c>
      <c r="E5" s="447">
        <f>tertiair!E16</f>
        <v>205.4799456468246</v>
      </c>
      <c r="F5" s="447">
        <f ca="1">tertiair!F16</f>
        <v>10267.793049278755</v>
      </c>
      <c r="G5" s="447">
        <f>tertiair!G16</f>
        <v>0</v>
      </c>
      <c r="H5" s="447">
        <f>tertiair!H16</f>
        <v>0</v>
      </c>
      <c r="I5" s="447">
        <f>tertiair!I16</f>
        <v>0</v>
      </c>
      <c r="J5" s="447">
        <f>tertiair!J16</f>
        <v>5.1668048724232557E-2</v>
      </c>
      <c r="K5" s="447">
        <f>tertiair!K16</f>
        <v>0</v>
      </c>
      <c r="L5" s="447">
        <f ca="1">tertiair!L16</f>
        <v>0</v>
      </c>
      <c r="M5" s="447">
        <f>tertiair!M16</f>
        <v>0</v>
      </c>
      <c r="N5" s="447">
        <f ca="1">tertiair!N16</f>
        <v>2066.5170681557206</v>
      </c>
      <c r="O5" s="447">
        <f>tertiair!O16</f>
        <v>9.7945215316823084</v>
      </c>
      <c r="P5" s="448">
        <f>tertiair!P16</f>
        <v>577.93052137144514</v>
      </c>
      <c r="Q5" s="446">
        <f t="shared" ref="Q5:Q14" ca="1" si="0">SUM(B5:P5)</f>
        <v>166950.71363911816</v>
      </c>
    </row>
    <row r="6" spans="1:17">
      <c r="A6" s="446" t="s">
        <v>187</v>
      </c>
      <c r="B6" s="447">
        <f>'openbare verlichting'!B8</f>
        <v>2343.8040000000001</v>
      </c>
      <c r="C6" s="447"/>
      <c r="D6" s="447"/>
      <c r="E6" s="447"/>
      <c r="F6" s="447"/>
      <c r="G6" s="447"/>
      <c r="H6" s="447"/>
      <c r="I6" s="447"/>
      <c r="J6" s="447"/>
      <c r="K6" s="447"/>
      <c r="L6" s="447"/>
      <c r="M6" s="447"/>
      <c r="N6" s="447"/>
      <c r="O6" s="447"/>
      <c r="P6" s="448"/>
      <c r="Q6" s="446">
        <f t="shared" si="0"/>
        <v>2343.8040000000001</v>
      </c>
    </row>
    <row r="7" spans="1:17">
      <c r="A7" s="446" t="s">
        <v>105</v>
      </c>
      <c r="B7" s="447">
        <f>landbouw!B8</f>
        <v>2012.9056587319199</v>
      </c>
      <c r="C7" s="447">
        <f>landbouw!C8</f>
        <v>0</v>
      </c>
      <c r="D7" s="447">
        <f>landbouw!D8</f>
        <v>556.67723086480385</v>
      </c>
      <c r="E7" s="447">
        <f>landbouw!E8</f>
        <v>57.653024526109611</v>
      </c>
      <c r="F7" s="447">
        <f>landbouw!F8</f>
        <v>6371.8195233307733</v>
      </c>
      <c r="G7" s="447">
        <f>landbouw!G8</f>
        <v>0</v>
      </c>
      <c r="H7" s="447">
        <f>landbouw!H8</f>
        <v>0</v>
      </c>
      <c r="I7" s="447">
        <f>landbouw!I8</f>
        <v>0</v>
      </c>
      <c r="J7" s="447">
        <f>landbouw!J8</f>
        <v>511.81869896297894</v>
      </c>
      <c r="K7" s="447">
        <f>landbouw!K8</f>
        <v>0</v>
      </c>
      <c r="L7" s="447">
        <f>landbouw!L8</f>
        <v>0</v>
      </c>
      <c r="M7" s="447">
        <f>landbouw!M8</f>
        <v>0</v>
      </c>
      <c r="N7" s="447">
        <f>landbouw!N8</f>
        <v>0</v>
      </c>
      <c r="O7" s="447">
        <f>landbouw!O8</f>
        <v>0</v>
      </c>
      <c r="P7" s="448">
        <f>landbouw!P8</f>
        <v>0</v>
      </c>
      <c r="Q7" s="446">
        <f t="shared" si="0"/>
        <v>9510.8741364165871</v>
      </c>
    </row>
    <row r="8" spans="1:17">
      <c r="A8" s="446" t="s">
        <v>611</v>
      </c>
      <c r="B8" s="447">
        <f>industrie!B18</f>
        <v>103103.04107739704</v>
      </c>
      <c r="C8" s="447">
        <f>industrie!C18</f>
        <v>0</v>
      </c>
      <c r="D8" s="447">
        <f>industrie!D18</f>
        <v>23597.23975871272</v>
      </c>
      <c r="E8" s="447">
        <f>industrie!E18</f>
        <v>1888.5857071765445</v>
      </c>
      <c r="F8" s="447">
        <f>industrie!F18</f>
        <v>17364.45379610033</v>
      </c>
      <c r="G8" s="447">
        <f>industrie!G18</f>
        <v>0</v>
      </c>
      <c r="H8" s="447">
        <f>industrie!H18</f>
        <v>0</v>
      </c>
      <c r="I8" s="447">
        <f>industrie!I18</f>
        <v>0</v>
      </c>
      <c r="J8" s="447">
        <f>industrie!J18</f>
        <v>7952.0399568049679</v>
      </c>
      <c r="K8" s="447">
        <f>industrie!K18</f>
        <v>0</v>
      </c>
      <c r="L8" s="447">
        <f>industrie!L18</f>
        <v>0</v>
      </c>
      <c r="M8" s="447">
        <f>industrie!M18</f>
        <v>0</v>
      </c>
      <c r="N8" s="447">
        <f>industrie!N18</f>
        <v>2745.0691784953588</v>
      </c>
      <c r="O8" s="447">
        <f>industrie!O18</f>
        <v>0</v>
      </c>
      <c r="P8" s="448">
        <f>industrie!P18</f>
        <v>0</v>
      </c>
      <c r="Q8" s="446">
        <f t="shared" si="0"/>
        <v>156650.42947468697</v>
      </c>
    </row>
    <row r="9" spans="1:17" s="452" customFormat="1">
      <c r="A9" s="450" t="s">
        <v>537</v>
      </c>
      <c r="B9" s="451">
        <f>transport!B14</f>
        <v>499.18907627073065</v>
      </c>
      <c r="C9" s="451">
        <f>transport!C14</f>
        <v>0</v>
      </c>
      <c r="D9" s="451">
        <f>transport!D14</f>
        <v>869.03783150083075</v>
      </c>
      <c r="E9" s="451">
        <f>transport!E14</f>
        <v>355.16446423717622</v>
      </c>
      <c r="F9" s="451">
        <f>transport!F14</f>
        <v>0</v>
      </c>
      <c r="G9" s="451">
        <f>transport!G14</f>
        <v>167184.08923028698</v>
      </c>
      <c r="H9" s="451">
        <f>transport!H14</f>
        <v>42922.380745506176</v>
      </c>
      <c r="I9" s="451">
        <f>transport!I14</f>
        <v>0</v>
      </c>
      <c r="J9" s="451">
        <f>transport!J14</f>
        <v>0</v>
      </c>
      <c r="K9" s="451">
        <f>transport!K14</f>
        <v>0</v>
      </c>
      <c r="L9" s="451">
        <f>transport!L14</f>
        <v>0</v>
      </c>
      <c r="M9" s="451">
        <f>transport!M14</f>
        <v>12642.241916844918</v>
      </c>
      <c r="N9" s="451">
        <f>transport!N14</f>
        <v>0</v>
      </c>
      <c r="O9" s="451">
        <f>transport!O14</f>
        <v>0</v>
      </c>
      <c r="P9" s="451">
        <f>transport!P14</f>
        <v>0</v>
      </c>
      <c r="Q9" s="450">
        <f>SUM(B9:P9)</f>
        <v>224472.10326464681</v>
      </c>
    </row>
    <row r="10" spans="1:17">
      <c r="A10" s="446" t="s">
        <v>527</v>
      </c>
      <c r="B10" s="447">
        <f>transport!B54</f>
        <v>48.937046944258448</v>
      </c>
      <c r="C10" s="447">
        <f>transport!C54</f>
        <v>0</v>
      </c>
      <c r="D10" s="447">
        <f>transport!D54</f>
        <v>0</v>
      </c>
      <c r="E10" s="447">
        <f>transport!E54</f>
        <v>0</v>
      </c>
      <c r="F10" s="447">
        <f>transport!F54</f>
        <v>0</v>
      </c>
      <c r="G10" s="447">
        <f>transport!G54</f>
        <v>3063.6070857651598</v>
      </c>
      <c r="H10" s="447">
        <f>transport!H54</f>
        <v>0</v>
      </c>
      <c r="I10" s="447">
        <f>transport!I54</f>
        <v>0</v>
      </c>
      <c r="J10" s="447">
        <f>transport!J54</f>
        <v>0</v>
      </c>
      <c r="K10" s="447">
        <f>transport!K54</f>
        <v>0</v>
      </c>
      <c r="L10" s="447">
        <f>transport!L54</f>
        <v>0</v>
      </c>
      <c r="M10" s="447">
        <f>transport!M54</f>
        <v>175.9055353252069</v>
      </c>
      <c r="N10" s="447">
        <f>transport!N54</f>
        <v>0</v>
      </c>
      <c r="O10" s="447">
        <f>transport!O54</f>
        <v>0</v>
      </c>
      <c r="P10" s="448">
        <f>transport!P54</f>
        <v>0</v>
      </c>
      <c r="Q10" s="446">
        <f t="shared" si="0"/>
        <v>3288.4496680346251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1695.1859944760001</v>
      </c>
      <c r="C14" s="454"/>
      <c r="D14" s="454">
        <f>'SEAP template'!E25</f>
        <v>7595.7914171748998</v>
      </c>
      <c r="E14" s="454"/>
      <c r="F14" s="454"/>
      <c r="G14" s="454"/>
      <c r="H14" s="454"/>
      <c r="I14" s="454"/>
      <c r="J14" s="454"/>
      <c r="K14" s="454"/>
      <c r="L14" s="454"/>
      <c r="M14" s="454"/>
      <c r="N14" s="454"/>
      <c r="O14" s="454"/>
      <c r="P14" s="455"/>
      <c r="Q14" s="446">
        <f t="shared" si="0"/>
        <v>9290.9774116508997</v>
      </c>
    </row>
    <row r="15" spans="1:17" s="458" customFormat="1">
      <c r="A15" s="456" t="s">
        <v>531</v>
      </c>
      <c r="B15" s="457">
        <f ca="1">SUM(B4:B14)</f>
        <v>229462.87233631479</v>
      </c>
      <c r="C15" s="457">
        <f t="shared" ref="C15:Q15" ca="1" si="1">SUM(C4:C14)</f>
        <v>0</v>
      </c>
      <c r="D15" s="457">
        <f t="shared" ca="1" si="1"/>
        <v>276710.79458253359</v>
      </c>
      <c r="E15" s="457">
        <f t="shared" si="1"/>
        <v>5250.4554271169081</v>
      </c>
      <c r="F15" s="457">
        <f t="shared" ca="1" si="1"/>
        <v>94106.421472644288</v>
      </c>
      <c r="G15" s="457">
        <f t="shared" si="1"/>
        <v>170247.69631605214</v>
      </c>
      <c r="H15" s="457">
        <f t="shared" si="1"/>
        <v>42922.380745506176</v>
      </c>
      <c r="I15" s="457">
        <f t="shared" si="1"/>
        <v>0</v>
      </c>
      <c r="J15" s="457">
        <f t="shared" si="1"/>
        <v>8806.4402191744502</v>
      </c>
      <c r="K15" s="457">
        <f t="shared" si="1"/>
        <v>0</v>
      </c>
      <c r="L15" s="457">
        <f t="shared" ca="1" si="1"/>
        <v>0</v>
      </c>
      <c r="M15" s="457">
        <f t="shared" si="1"/>
        <v>12818.147452170124</v>
      </c>
      <c r="N15" s="457">
        <f t="shared" ca="1" si="1"/>
        <v>24580.086817371521</v>
      </c>
      <c r="O15" s="457">
        <f t="shared" si="1"/>
        <v>436.34553869989418</v>
      </c>
      <c r="P15" s="457">
        <f t="shared" si="1"/>
        <v>1483.8510218323572</v>
      </c>
      <c r="Q15" s="457">
        <f t="shared" ca="1" si="1"/>
        <v>866825.49192941631</v>
      </c>
    </row>
    <row r="17" spans="1:17">
      <c r="A17" s="459" t="s">
        <v>532</v>
      </c>
      <c r="B17" s="776">
        <f ca="1">huishoudens!B10</f>
        <v>0.20886670132128843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10939.645952366329</v>
      </c>
      <c r="C22" s="447">
        <f t="shared" ref="C22:C32" ca="1" si="3">C4*$C$17</f>
        <v>0</v>
      </c>
      <c r="D22" s="447">
        <f t="shared" ref="D22:D32" si="4">D4*$D$17</f>
        <v>31845.80544382269</v>
      </c>
      <c r="E22" s="447">
        <f t="shared" ref="E22:E32" si="5">E4*$E$17</f>
        <v>622.79090881536752</v>
      </c>
      <c r="F22" s="447">
        <f t="shared" ref="F22:F32" si="6">F4*$F$17</f>
        <v>16047.328812750489</v>
      </c>
      <c r="G22" s="447">
        <f t="shared" ref="G22:G32" si="7">G4*$G$17</f>
        <v>0</v>
      </c>
      <c r="H22" s="447">
        <f t="shared" ref="H22:H32" si="8">H4*$H$17</f>
        <v>0</v>
      </c>
      <c r="I22" s="447">
        <f t="shared" ref="I22:I32" si="9">I4*$I$17</f>
        <v>0</v>
      </c>
      <c r="J22" s="447">
        <f t="shared" ref="J22:J32" si="10">J4*$J$17</f>
        <v>121.25558295665392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59576.826700711536</v>
      </c>
    </row>
    <row r="23" spans="1:17">
      <c r="A23" s="446" t="s">
        <v>149</v>
      </c>
      <c r="B23" s="447">
        <f t="shared" ca="1" si="2"/>
        <v>14074.190405108329</v>
      </c>
      <c r="C23" s="447">
        <f t="shared" ca="1" si="3"/>
        <v>0</v>
      </c>
      <c r="D23" s="447">
        <f t="shared" ca="1" si="4"/>
        <v>17460.788321721939</v>
      </c>
      <c r="E23" s="447">
        <f t="shared" si="5"/>
        <v>46.643947661829188</v>
      </c>
      <c r="F23" s="447">
        <f t="shared" ca="1" si="6"/>
        <v>2741.5007441574276</v>
      </c>
      <c r="G23" s="447">
        <f t="shared" si="7"/>
        <v>0</v>
      </c>
      <c r="H23" s="447">
        <f t="shared" si="8"/>
        <v>0</v>
      </c>
      <c r="I23" s="447">
        <f t="shared" si="9"/>
        <v>0</v>
      </c>
      <c r="J23" s="447">
        <f t="shared" si="10"/>
        <v>1.8290489248378325E-2</v>
      </c>
      <c r="K23" s="447">
        <f t="shared" si="11"/>
        <v>0</v>
      </c>
      <c r="L23" s="447">
        <f t="shared" ca="1" si="12"/>
        <v>0</v>
      </c>
      <c r="M23" s="447">
        <f t="shared" si="13"/>
        <v>0</v>
      </c>
      <c r="N23" s="447">
        <f t="shared" ca="1" si="14"/>
        <v>0</v>
      </c>
      <c r="O23" s="447">
        <f t="shared" si="15"/>
        <v>0</v>
      </c>
      <c r="P23" s="448">
        <f t="shared" si="16"/>
        <v>0</v>
      </c>
      <c r="Q23" s="446">
        <f t="shared" ref="Q23:Q31" ca="1" si="17">SUM(B23:P23)</f>
        <v>34323.141709138778</v>
      </c>
    </row>
    <row r="24" spans="1:17">
      <c r="A24" s="446" t="s">
        <v>187</v>
      </c>
      <c r="B24" s="447">
        <f t="shared" ca="1" si="2"/>
        <v>489.54261002364115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489.54261002364115</v>
      </c>
    </row>
    <row r="25" spans="1:17">
      <c r="A25" s="446" t="s">
        <v>105</v>
      </c>
      <c r="B25" s="447">
        <f t="shared" ca="1" si="2"/>
        <v>420.42896501029122</v>
      </c>
      <c r="C25" s="447">
        <f t="shared" ca="1" si="3"/>
        <v>0</v>
      </c>
      <c r="D25" s="447">
        <f t="shared" si="4"/>
        <v>112.44880063469039</v>
      </c>
      <c r="E25" s="447">
        <f t="shared" si="5"/>
        <v>13.087236567426881</v>
      </c>
      <c r="F25" s="447">
        <f t="shared" si="6"/>
        <v>1701.2758127293166</v>
      </c>
      <c r="G25" s="447">
        <f t="shared" si="7"/>
        <v>0</v>
      </c>
      <c r="H25" s="447">
        <f t="shared" si="8"/>
        <v>0</v>
      </c>
      <c r="I25" s="447">
        <f t="shared" si="9"/>
        <v>0</v>
      </c>
      <c r="J25" s="447">
        <f t="shared" si="10"/>
        <v>181.18381943289452</v>
      </c>
      <c r="K25" s="447">
        <f t="shared" si="11"/>
        <v>0</v>
      </c>
      <c r="L25" s="447">
        <f t="shared" si="12"/>
        <v>0</v>
      </c>
      <c r="M25" s="447">
        <f t="shared" si="13"/>
        <v>0</v>
      </c>
      <c r="N25" s="447">
        <f t="shared" si="14"/>
        <v>0</v>
      </c>
      <c r="O25" s="447">
        <f t="shared" si="15"/>
        <v>0</v>
      </c>
      <c r="P25" s="448">
        <f t="shared" si="16"/>
        <v>0</v>
      </c>
      <c r="Q25" s="446">
        <f t="shared" ca="1" si="17"/>
        <v>2428.4246343746195</v>
      </c>
    </row>
    <row r="26" spans="1:17">
      <c r="A26" s="446" t="s">
        <v>611</v>
      </c>
      <c r="B26" s="447">
        <f t="shared" ca="1" si="2"/>
        <v>21534.792086029218</v>
      </c>
      <c r="C26" s="447">
        <f t="shared" ca="1" si="3"/>
        <v>0</v>
      </c>
      <c r="D26" s="447">
        <f t="shared" si="4"/>
        <v>4766.6424312599693</v>
      </c>
      <c r="E26" s="447">
        <f t="shared" si="5"/>
        <v>428.70895552907558</v>
      </c>
      <c r="F26" s="447">
        <f t="shared" si="6"/>
        <v>4636.309163558788</v>
      </c>
      <c r="G26" s="447">
        <f t="shared" si="7"/>
        <v>0</v>
      </c>
      <c r="H26" s="447">
        <f t="shared" si="8"/>
        <v>0</v>
      </c>
      <c r="I26" s="447">
        <f t="shared" si="9"/>
        <v>0</v>
      </c>
      <c r="J26" s="447">
        <f t="shared" si="10"/>
        <v>2815.0221447089584</v>
      </c>
      <c r="K26" s="447">
        <f t="shared" si="11"/>
        <v>0</v>
      </c>
      <c r="L26" s="447">
        <f t="shared" si="12"/>
        <v>0</v>
      </c>
      <c r="M26" s="447">
        <f t="shared" si="13"/>
        <v>0</v>
      </c>
      <c r="N26" s="447">
        <f t="shared" si="14"/>
        <v>0</v>
      </c>
      <c r="O26" s="447">
        <f t="shared" si="15"/>
        <v>0</v>
      </c>
      <c r="P26" s="448">
        <f t="shared" si="16"/>
        <v>0</v>
      </c>
      <c r="Q26" s="446">
        <f t="shared" ca="1" si="17"/>
        <v>34181.474781086014</v>
      </c>
    </row>
    <row r="27" spans="1:17" s="452" customFormat="1">
      <c r="A27" s="450" t="s">
        <v>537</v>
      </c>
      <c r="B27" s="770">
        <f t="shared" ca="1" si="2"/>
        <v>104.26397569628857</v>
      </c>
      <c r="C27" s="451">
        <f t="shared" ca="1" si="3"/>
        <v>0</v>
      </c>
      <c r="D27" s="451">
        <f t="shared" si="4"/>
        <v>175.54564196316781</v>
      </c>
      <c r="E27" s="451">
        <f t="shared" si="5"/>
        <v>80.622333381838999</v>
      </c>
      <c r="F27" s="451">
        <f t="shared" si="6"/>
        <v>0</v>
      </c>
      <c r="G27" s="451">
        <f t="shared" si="7"/>
        <v>44638.151824486624</v>
      </c>
      <c r="H27" s="451">
        <f t="shared" si="8"/>
        <v>10687.672805631038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55686.256581158959</v>
      </c>
    </row>
    <row r="28" spans="1:17" ht="16.5" customHeight="1">
      <c r="A28" s="446" t="s">
        <v>527</v>
      </c>
      <c r="B28" s="447">
        <f t="shared" ca="1" si="2"/>
        <v>10.2213195676523</v>
      </c>
      <c r="C28" s="447">
        <f t="shared" ca="1" si="3"/>
        <v>0</v>
      </c>
      <c r="D28" s="447">
        <f t="shared" si="4"/>
        <v>0</v>
      </c>
      <c r="E28" s="447">
        <f t="shared" si="5"/>
        <v>0</v>
      </c>
      <c r="F28" s="447">
        <f t="shared" si="6"/>
        <v>0</v>
      </c>
      <c r="G28" s="447">
        <f t="shared" si="7"/>
        <v>817.98309189929773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828.20441146694998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354.06790679225003</v>
      </c>
      <c r="C32" s="447">
        <f t="shared" ca="1" si="3"/>
        <v>0</v>
      </c>
      <c r="D32" s="447">
        <f t="shared" si="4"/>
        <v>1534.3498662693298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1888.4177730615797</v>
      </c>
    </row>
    <row r="33" spans="1:17" s="458" customFormat="1">
      <c r="A33" s="456" t="s">
        <v>531</v>
      </c>
      <c r="B33" s="457">
        <f ca="1">SUM(B22:B32)</f>
        <v>47927.153220593995</v>
      </c>
      <c r="C33" s="457">
        <f t="shared" ref="C33:Q33" ca="1" si="19">SUM(C22:C32)</f>
        <v>0</v>
      </c>
      <c r="D33" s="457">
        <f t="shared" ca="1" si="19"/>
        <v>55895.580505671787</v>
      </c>
      <c r="E33" s="457">
        <f t="shared" si="19"/>
        <v>1191.8533819555382</v>
      </c>
      <c r="F33" s="457">
        <f t="shared" ca="1" si="19"/>
        <v>25126.414533196021</v>
      </c>
      <c r="G33" s="457">
        <f t="shared" si="19"/>
        <v>45456.134916385919</v>
      </c>
      <c r="H33" s="457">
        <f t="shared" si="19"/>
        <v>10687.672805631038</v>
      </c>
      <c r="I33" s="457">
        <f t="shared" si="19"/>
        <v>0</v>
      </c>
      <c r="J33" s="457">
        <f t="shared" si="19"/>
        <v>3117.4798375877554</v>
      </c>
      <c r="K33" s="457">
        <f t="shared" si="19"/>
        <v>0</v>
      </c>
      <c r="L33" s="457">
        <f t="shared" ca="1" si="19"/>
        <v>0</v>
      </c>
      <c r="M33" s="457">
        <f t="shared" si="19"/>
        <v>0</v>
      </c>
      <c r="N33" s="457">
        <f t="shared" ca="1" si="19"/>
        <v>0</v>
      </c>
      <c r="O33" s="457">
        <f t="shared" si="19"/>
        <v>0</v>
      </c>
      <c r="P33" s="457">
        <f t="shared" si="19"/>
        <v>0</v>
      </c>
      <c r="Q33" s="457">
        <f t="shared" ca="1" si="19"/>
        <v>189402.2892010221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12597.925636794436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12597.925636794436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0.20886670132128843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0.20886670132128843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0.20886670132128843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0.20886670132128843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15469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4728.96</v>
      </c>
      <c r="C14" s="326"/>
      <c r="D14" s="326"/>
      <c r="E14" s="326"/>
      <c r="F14" s="326"/>
    </row>
    <row r="15" spans="1:6">
      <c r="A15" s="1310" t="s">
        <v>177</v>
      </c>
      <c r="B15" s="1311">
        <v>33</v>
      </c>
      <c r="C15" s="326"/>
      <c r="D15" s="326"/>
      <c r="E15" s="326"/>
      <c r="F15" s="326"/>
    </row>
    <row r="16" spans="1:6">
      <c r="A16" s="1310" t="s">
        <v>6</v>
      </c>
      <c r="B16" s="1311">
        <v>1003</v>
      </c>
      <c r="C16" s="326"/>
      <c r="D16" s="326"/>
      <c r="E16" s="326"/>
      <c r="F16" s="326"/>
    </row>
    <row r="17" spans="1:6">
      <c r="A17" s="1310" t="s">
        <v>7</v>
      </c>
      <c r="B17" s="1311">
        <v>850</v>
      </c>
      <c r="C17" s="326"/>
      <c r="D17" s="326"/>
      <c r="E17" s="326"/>
      <c r="F17" s="326"/>
    </row>
    <row r="18" spans="1:6">
      <c r="A18" s="1310" t="s">
        <v>8</v>
      </c>
      <c r="B18" s="1311">
        <v>1219</v>
      </c>
      <c r="C18" s="326"/>
      <c r="D18" s="326"/>
      <c r="E18" s="326"/>
      <c r="F18" s="326"/>
    </row>
    <row r="19" spans="1:6">
      <c r="A19" s="1310" t="s">
        <v>9</v>
      </c>
      <c r="B19" s="1311">
        <v>775</v>
      </c>
      <c r="C19" s="326"/>
      <c r="D19" s="326"/>
      <c r="E19" s="326"/>
      <c r="F19" s="326"/>
    </row>
    <row r="20" spans="1:6">
      <c r="A20" s="1310" t="s">
        <v>10</v>
      </c>
      <c r="B20" s="1311">
        <v>708</v>
      </c>
      <c r="C20" s="326"/>
      <c r="D20" s="326"/>
      <c r="E20" s="326"/>
      <c r="F20" s="326"/>
    </row>
    <row r="21" spans="1:6">
      <c r="A21" s="1310" t="s">
        <v>11</v>
      </c>
      <c r="B21" s="1311">
        <v>1514</v>
      </c>
      <c r="C21" s="326"/>
      <c r="D21" s="326"/>
      <c r="E21" s="326"/>
      <c r="F21" s="326"/>
    </row>
    <row r="22" spans="1:6">
      <c r="A22" s="1310" t="s">
        <v>12</v>
      </c>
      <c r="B22" s="1311">
        <v>7973</v>
      </c>
      <c r="C22" s="326"/>
      <c r="D22" s="326"/>
      <c r="E22" s="326"/>
      <c r="F22" s="326"/>
    </row>
    <row r="23" spans="1:6">
      <c r="A23" s="1310" t="s">
        <v>13</v>
      </c>
      <c r="B23" s="1311">
        <v>52</v>
      </c>
      <c r="C23" s="326"/>
      <c r="D23" s="326"/>
      <c r="E23" s="326"/>
      <c r="F23" s="326"/>
    </row>
    <row r="24" spans="1:6">
      <c r="A24" s="1310" t="s">
        <v>14</v>
      </c>
      <c r="B24" s="1311">
        <v>11</v>
      </c>
      <c r="C24" s="326"/>
      <c r="D24" s="326"/>
      <c r="E24" s="326"/>
      <c r="F24" s="326"/>
    </row>
    <row r="25" spans="1:6">
      <c r="A25" s="1310" t="s">
        <v>15</v>
      </c>
      <c r="B25" s="1311">
        <v>225</v>
      </c>
      <c r="C25" s="326"/>
      <c r="D25" s="326"/>
      <c r="E25" s="326"/>
      <c r="F25" s="326"/>
    </row>
    <row r="26" spans="1:6">
      <c r="A26" s="1310" t="s">
        <v>16</v>
      </c>
      <c r="B26" s="1311">
        <v>277</v>
      </c>
      <c r="C26" s="326"/>
      <c r="D26" s="326"/>
      <c r="E26" s="326"/>
      <c r="F26" s="326"/>
    </row>
    <row r="27" spans="1:6">
      <c r="A27" s="1310" t="s">
        <v>17</v>
      </c>
      <c r="B27" s="1311">
        <v>13</v>
      </c>
      <c r="C27" s="326"/>
      <c r="D27" s="326"/>
      <c r="E27" s="326"/>
      <c r="F27" s="326"/>
    </row>
    <row r="28" spans="1:6">
      <c r="A28" s="1310" t="s">
        <v>18</v>
      </c>
      <c r="B28" s="1312">
        <v>25620</v>
      </c>
      <c r="C28" s="326"/>
      <c r="D28" s="326"/>
      <c r="E28" s="326"/>
      <c r="F28" s="326"/>
    </row>
    <row r="29" spans="1:6">
      <c r="A29" s="1310" t="s">
        <v>678</v>
      </c>
      <c r="B29" s="1312">
        <v>191</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4</v>
      </c>
      <c r="D36" s="1311">
        <v>194336.16579194399</v>
      </c>
      <c r="E36" s="1311">
        <v>23</v>
      </c>
      <c r="F36" s="1311">
        <v>46249.684445171297</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11372.2343146609</v>
      </c>
    </row>
    <row r="39" spans="1:6">
      <c r="A39" s="1310" t="s">
        <v>29</v>
      </c>
      <c r="B39" s="1310" t="s">
        <v>30</v>
      </c>
      <c r="C39" s="1311">
        <v>11643</v>
      </c>
      <c r="D39" s="1311">
        <v>174587488.59041199</v>
      </c>
      <c r="E39" s="1311">
        <v>15563</v>
      </c>
      <c r="F39" s="1311">
        <v>45060832.521803796</v>
      </c>
    </row>
    <row r="40" spans="1:6">
      <c r="A40" s="1310" t="s">
        <v>29</v>
      </c>
      <c r="B40" s="1310" t="s">
        <v>28</v>
      </c>
      <c r="C40" s="1311">
        <v>0</v>
      </c>
      <c r="D40" s="1311">
        <v>0</v>
      </c>
      <c r="E40" s="1311">
        <v>0</v>
      </c>
      <c r="F40" s="1311">
        <v>0</v>
      </c>
    </row>
    <row r="41" spans="1:6">
      <c r="A41" s="1310" t="s">
        <v>31</v>
      </c>
      <c r="B41" s="1310" t="s">
        <v>32</v>
      </c>
      <c r="C41" s="1311">
        <v>148</v>
      </c>
      <c r="D41" s="1311">
        <v>2859273.1080896598</v>
      </c>
      <c r="E41" s="1311">
        <v>296</v>
      </c>
      <c r="F41" s="1311">
        <v>11990844.383267701</v>
      </c>
    </row>
    <row r="42" spans="1:6">
      <c r="A42" s="1310" t="s">
        <v>31</v>
      </c>
      <c r="B42" s="1310" t="s">
        <v>33</v>
      </c>
      <c r="C42" s="1311">
        <v>3</v>
      </c>
      <c r="D42" s="1311">
        <v>111835.520623192</v>
      </c>
      <c r="E42" s="1311">
        <v>0</v>
      </c>
      <c r="F42" s="1311">
        <v>0</v>
      </c>
    </row>
    <row r="43" spans="1:6">
      <c r="A43" s="1310" t="s">
        <v>31</v>
      </c>
      <c r="B43" s="1310" t="s">
        <v>34</v>
      </c>
      <c r="C43" s="1311">
        <v>0</v>
      </c>
      <c r="D43" s="1311">
        <v>0</v>
      </c>
      <c r="E43" s="1311">
        <v>0</v>
      </c>
      <c r="F43" s="1311">
        <v>0</v>
      </c>
    </row>
    <row r="44" spans="1:6">
      <c r="A44" s="1310" t="s">
        <v>31</v>
      </c>
      <c r="B44" s="1310" t="s">
        <v>35</v>
      </c>
      <c r="C44" s="1311">
        <v>29</v>
      </c>
      <c r="D44" s="1311">
        <v>17731699.917482901</v>
      </c>
      <c r="E44" s="1311">
        <v>37</v>
      </c>
      <c r="F44" s="1311">
        <v>25163913.6571269</v>
      </c>
    </row>
    <row r="45" spans="1:6">
      <c r="A45" s="1310" t="s">
        <v>31</v>
      </c>
      <c r="B45" s="1310" t="s">
        <v>36</v>
      </c>
      <c r="C45" s="1311">
        <v>0</v>
      </c>
      <c r="D45" s="1311">
        <v>0</v>
      </c>
      <c r="E45" s="1311">
        <v>4</v>
      </c>
      <c r="F45" s="1311">
        <v>305319.60271819303</v>
      </c>
    </row>
    <row r="46" spans="1:6">
      <c r="A46" s="1310" t="s">
        <v>31</v>
      </c>
      <c r="B46" s="1310" t="s">
        <v>37</v>
      </c>
      <c r="C46" s="1311">
        <v>0</v>
      </c>
      <c r="D46" s="1311">
        <v>0</v>
      </c>
      <c r="E46" s="1311">
        <v>3</v>
      </c>
      <c r="F46" s="1311">
        <v>20853469.750286799</v>
      </c>
    </row>
    <row r="47" spans="1:6">
      <c r="A47" s="1310" t="s">
        <v>31</v>
      </c>
      <c r="B47" s="1310" t="s">
        <v>38</v>
      </c>
      <c r="C47" s="1311">
        <v>4</v>
      </c>
      <c r="D47" s="1311">
        <v>138778.88325826201</v>
      </c>
      <c r="E47" s="1311">
        <v>4</v>
      </c>
      <c r="F47" s="1311">
        <v>16834.572182923199</v>
      </c>
    </row>
    <row r="48" spans="1:6">
      <c r="A48" s="1310" t="s">
        <v>31</v>
      </c>
      <c r="B48" s="1310" t="s">
        <v>28</v>
      </c>
      <c r="C48" s="1311">
        <v>5</v>
      </c>
      <c r="D48" s="1311">
        <v>3145982.6087615876</v>
      </c>
      <c r="E48" s="1311">
        <v>3</v>
      </c>
      <c r="F48" s="1311">
        <v>28230067.057527512</v>
      </c>
    </row>
    <row r="49" spans="1:6">
      <c r="A49" s="1310" t="s">
        <v>31</v>
      </c>
      <c r="B49" s="1310" t="s">
        <v>39</v>
      </c>
      <c r="C49" s="1311">
        <v>3</v>
      </c>
      <c r="D49" s="1311">
        <v>41130.1238821734</v>
      </c>
      <c r="E49" s="1311">
        <v>3</v>
      </c>
      <c r="F49" s="1311">
        <v>8834.8777246040008</v>
      </c>
    </row>
    <row r="50" spans="1:6">
      <c r="A50" s="1310" t="s">
        <v>31</v>
      </c>
      <c r="B50" s="1310" t="s">
        <v>40</v>
      </c>
      <c r="C50" s="1311">
        <v>18</v>
      </c>
      <c r="D50" s="1311">
        <v>2103348.2971632602</v>
      </c>
      <c r="E50" s="1311">
        <v>27</v>
      </c>
      <c r="F50" s="1311">
        <v>16533757.176562401</v>
      </c>
    </row>
    <row r="51" spans="1:6">
      <c r="A51" s="1310" t="s">
        <v>41</v>
      </c>
      <c r="B51" s="1310" t="s">
        <v>42</v>
      </c>
      <c r="C51" s="1311">
        <v>26</v>
      </c>
      <c r="D51" s="1311">
        <v>616475.33872071304</v>
      </c>
      <c r="E51" s="1311">
        <v>113</v>
      </c>
      <c r="F51" s="1311">
        <v>2012905.6587319199</v>
      </c>
    </row>
    <row r="52" spans="1:6">
      <c r="A52" s="1310" t="s">
        <v>41</v>
      </c>
      <c r="B52" s="1310" t="s">
        <v>28</v>
      </c>
      <c r="C52" s="1311">
        <v>0</v>
      </c>
      <c r="D52" s="1311">
        <v>0</v>
      </c>
      <c r="E52" s="1311">
        <v>0</v>
      </c>
      <c r="F52" s="1311">
        <v>0</v>
      </c>
    </row>
    <row r="53" spans="1:6">
      <c r="A53" s="1310" t="s">
        <v>43</v>
      </c>
      <c r="B53" s="1310" t="s">
        <v>44</v>
      </c>
      <c r="C53" s="1311">
        <v>313</v>
      </c>
      <c r="D53" s="1311">
        <v>7595791.4171749</v>
      </c>
      <c r="E53" s="1311">
        <v>554</v>
      </c>
      <c r="F53" s="1311">
        <v>1695185.9944760001</v>
      </c>
    </row>
    <row r="54" spans="1:6">
      <c r="A54" s="1310" t="s">
        <v>45</v>
      </c>
      <c r="B54" s="1310" t="s">
        <v>46</v>
      </c>
      <c r="C54" s="1311">
        <v>0</v>
      </c>
      <c r="D54" s="1311">
        <v>0</v>
      </c>
      <c r="E54" s="1311">
        <v>1</v>
      </c>
      <c r="F54" s="1311">
        <v>2343804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113</v>
      </c>
      <c r="D57" s="1311">
        <v>4171047.3121704101</v>
      </c>
      <c r="E57" s="1311">
        <v>175</v>
      </c>
      <c r="F57" s="1311">
        <v>5108480.2713744696</v>
      </c>
    </row>
    <row r="58" spans="1:6">
      <c r="A58" s="1310" t="s">
        <v>48</v>
      </c>
      <c r="B58" s="1310" t="s">
        <v>50</v>
      </c>
      <c r="C58" s="1311">
        <v>114</v>
      </c>
      <c r="D58" s="1311">
        <v>17909052.115021899</v>
      </c>
      <c r="E58" s="1311">
        <v>139</v>
      </c>
      <c r="F58" s="1311">
        <v>8314259.8314464996</v>
      </c>
    </row>
    <row r="59" spans="1:6">
      <c r="A59" s="1310" t="s">
        <v>48</v>
      </c>
      <c r="B59" s="1310" t="s">
        <v>51</v>
      </c>
      <c r="C59" s="1311">
        <v>339</v>
      </c>
      <c r="D59" s="1311">
        <v>17390268.992852598</v>
      </c>
      <c r="E59" s="1311">
        <v>507</v>
      </c>
      <c r="F59" s="1311">
        <v>16488337.3861391</v>
      </c>
    </row>
    <row r="60" spans="1:6">
      <c r="A60" s="1310" t="s">
        <v>48</v>
      </c>
      <c r="B60" s="1310" t="s">
        <v>52</v>
      </c>
      <c r="C60" s="1311">
        <v>165</v>
      </c>
      <c r="D60" s="1311">
        <v>12773755.7454798</v>
      </c>
      <c r="E60" s="1311">
        <v>168</v>
      </c>
      <c r="F60" s="1311">
        <v>5382828.2790932404</v>
      </c>
    </row>
    <row r="61" spans="1:6">
      <c r="A61" s="1310" t="s">
        <v>48</v>
      </c>
      <c r="B61" s="1310" t="s">
        <v>53</v>
      </c>
      <c r="C61" s="1311">
        <v>446</v>
      </c>
      <c r="D61" s="1311">
        <v>39662442.305609196</v>
      </c>
      <c r="E61" s="1311">
        <v>985</v>
      </c>
      <c r="F61" s="1311">
        <v>31265355.295486901</v>
      </c>
    </row>
    <row r="62" spans="1:6">
      <c r="A62" s="1310" t="s">
        <v>48</v>
      </c>
      <c r="B62" s="1310" t="s">
        <v>54</v>
      </c>
      <c r="C62" s="1311">
        <v>28</v>
      </c>
      <c r="D62" s="1311">
        <v>3818290.8346670899</v>
      </c>
      <c r="E62" s="1311">
        <v>33</v>
      </c>
      <c r="F62" s="1311">
        <v>824339.65440649097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147115.77295543801</v>
      </c>
      <c r="E65" s="1311">
        <v>0</v>
      </c>
      <c r="F65" s="1311">
        <v>0</v>
      </c>
    </row>
    <row r="66" spans="1:6">
      <c r="A66" s="1310" t="s">
        <v>55</v>
      </c>
      <c r="B66" s="1310" t="s">
        <v>57</v>
      </c>
      <c r="C66" s="1311">
        <v>0</v>
      </c>
      <c r="D66" s="1311">
        <v>0</v>
      </c>
      <c r="E66" s="1311">
        <v>30</v>
      </c>
      <c r="F66" s="1311">
        <v>622364.88517536898</v>
      </c>
    </row>
    <row r="67" spans="1:6">
      <c r="A67" s="1310" t="s">
        <v>55</v>
      </c>
      <c r="B67" s="1310" t="s">
        <v>58</v>
      </c>
      <c r="C67" s="1311">
        <v>0</v>
      </c>
      <c r="D67" s="1311">
        <v>0</v>
      </c>
      <c r="E67" s="1311">
        <v>0</v>
      </c>
      <c r="F67" s="1311">
        <v>0</v>
      </c>
    </row>
    <row r="68" spans="1:6">
      <c r="A68" s="1305" t="s">
        <v>55</v>
      </c>
      <c r="B68" s="1305" t="s">
        <v>59</v>
      </c>
      <c r="C68" s="1313">
        <v>6</v>
      </c>
      <c r="D68" s="1313">
        <v>368858.43033917103</v>
      </c>
      <c r="E68" s="1313">
        <v>19</v>
      </c>
      <c r="F68" s="1313">
        <v>1243893.69277887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134876688</v>
      </c>
      <c r="E73" s="445"/>
      <c r="F73" s="326"/>
    </row>
    <row r="74" spans="1:6">
      <c r="A74" s="1310" t="s">
        <v>63</v>
      </c>
      <c r="B74" s="1310" t="s">
        <v>632</v>
      </c>
      <c r="C74" s="1323" t="s">
        <v>634</v>
      </c>
      <c r="D74" s="1311">
        <v>15740238.743057515</v>
      </c>
      <c r="E74" s="445"/>
      <c r="F74" s="326"/>
    </row>
    <row r="75" spans="1:6">
      <c r="A75" s="1310" t="s">
        <v>64</v>
      </c>
      <c r="B75" s="1310" t="s">
        <v>631</v>
      </c>
      <c r="C75" s="1323" t="s">
        <v>635</v>
      </c>
      <c r="D75" s="1311">
        <v>46621256</v>
      </c>
      <c r="E75" s="445"/>
      <c r="F75" s="326"/>
    </row>
    <row r="76" spans="1:6">
      <c r="A76" s="1310" t="s">
        <v>64</v>
      </c>
      <c r="B76" s="1310" t="s">
        <v>632</v>
      </c>
      <c r="C76" s="1323" t="s">
        <v>636</v>
      </c>
      <c r="D76" s="1311">
        <v>1668489.743057515</v>
      </c>
      <c r="E76" s="445"/>
      <c r="F76" s="326"/>
    </row>
    <row r="77" spans="1:6">
      <c r="A77" s="1310" t="s">
        <v>65</v>
      </c>
      <c r="B77" s="1310" t="s">
        <v>631</v>
      </c>
      <c r="C77" s="1323" t="s">
        <v>637</v>
      </c>
      <c r="D77" s="1311">
        <v>52791495</v>
      </c>
      <c r="E77" s="445"/>
      <c r="F77" s="326"/>
    </row>
    <row r="78" spans="1:6">
      <c r="A78" s="1305" t="s">
        <v>65</v>
      </c>
      <c r="B78" s="1305" t="s">
        <v>632</v>
      </c>
      <c r="C78" s="1305" t="s">
        <v>638</v>
      </c>
      <c r="D78" s="1313">
        <v>6871781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912782.51388496999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7315.3762427443553</v>
      </c>
      <c r="C91" s="326"/>
      <c r="D91" s="326"/>
      <c r="E91" s="326"/>
      <c r="F91" s="326"/>
    </row>
    <row r="92" spans="1:6">
      <c r="A92" s="1305" t="s">
        <v>68</v>
      </c>
      <c r="B92" s="1306">
        <v>5282.549394050081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7932</v>
      </c>
      <c r="C97" s="326"/>
      <c r="D97" s="326"/>
      <c r="E97" s="326"/>
      <c r="F97" s="326"/>
    </row>
    <row r="98" spans="1:6">
      <c r="A98" s="1310" t="s">
        <v>71</v>
      </c>
      <c r="B98" s="1311">
        <v>4</v>
      </c>
      <c r="C98" s="326"/>
      <c r="D98" s="326"/>
      <c r="E98" s="326"/>
      <c r="F98" s="326"/>
    </row>
    <row r="99" spans="1:6">
      <c r="A99" s="1310" t="s">
        <v>72</v>
      </c>
      <c r="B99" s="1311">
        <v>90</v>
      </c>
      <c r="C99" s="326"/>
      <c r="D99" s="326"/>
      <c r="E99" s="326"/>
      <c r="F99" s="326"/>
    </row>
    <row r="100" spans="1:6">
      <c r="A100" s="1310" t="s">
        <v>73</v>
      </c>
      <c r="B100" s="1311">
        <v>630</v>
      </c>
      <c r="C100" s="326"/>
      <c r="D100" s="326"/>
      <c r="E100" s="326"/>
      <c r="F100" s="326"/>
    </row>
    <row r="101" spans="1:6">
      <c r="A101" s="1310" t="s">
        <v>74</v>
      </c>
      <c r="B101" s="1311">
        <v>56</v>
      </c>
      <c r="C101" s="326"/>
      <c r="D101" s="326"/>
      <c r="E101" s="326"/>
      <c r="F101" s="326"/>
    </row>
    <row r="102" spans="1:6">
      <c r="A102" s="1310" t="s">
        <v>75</v>
      </c>
      <c r="B102" s="1311">
        <v>307</v>
      </c>
      <c r="C102" s="326"/>
      <c r="D102" s="326"/>
      <c r="E102" s="326"/>
      <c r="F102" s="326"/>
    </row>
    <row r="103" spans="1:6">
      <c r="A103" s="1310" t="s">
        <v>76</v>
      </c>
      <c r="B103" s="1311">
        <v>329</v>
      </c>
      <c r="C103" s="326"/>
      <c r="D103" s="326"/>
      <c r="E103" s="326"/>
      <c r="F103" s="326"/>
    </row>
    <row r="104" spans="1:6">
      <c r="A104" s="1310" t="s">
        <v>77</v>
      </c>
      <c r="B104" s="1311">
        <v>4635</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62</v>
      </c>
      <c r="C123" s="1311">
        <v>42</v>
      </c>
      <c r="D123" s="326"/>
      <c r="E123" s="326"/>
      <c r="F123" s="326"/>
    </row>
    <row r="124" spans="1:6">
      <c r="A124" s="1310" t="s">
        <v>88</v>
      </c>
      <c r="B124" s="1311">
        <v>1</v>
      </c>
      <c r="C124" s="1311">
        <v>1</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172</v>
      </c>
      <c r="C129" s="326"/>
      <c r="D129" s="326"/>
      <c r="E129" s="326"/>
      <c r="F129" s="326"/>
    </row>
    <row r="130" spans="1:6">
      <c r="A130" s="1310" t="s">
        <v>284</v>
      </c>
      <c r="B130" s="1311">
        <v>2</v>
      </c>
      <c r="C130" s="326"/>
      <c r="D130" s="326"/>
      <c r="E130" s="326"/>
      <c r="F130" s="326"/>
    </row>
    <row r="131" spans="1:6">
      <c r="A131" s="1310" t="s">
        <v>285</v>
      </c>
      <c r="B131" s="1311">
        <v>8</v>
      </c>
      <c r="C131" s="326"/>
      <c r="D131" s="326"/>
      <c r="E131" s="326"/>
      <c r="F131" s="326"/>
    </row>
    <row r="132" spans="1:6">
      <c r="A132" s="1305" t="s">
        <v>286</v>
      </c>
      <c r="B132" s="1306">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229462.87233631482</v>
      </c>
      <c r="C3" s="43" t="s">
        <v>163</v>
      </c>
      <c r="D3" s="43"/>
      <c r="E3" s="154"/>
      <c r="F3" s="43"/>
      <c r="G3" s="43"/>
      <c r="H3" s="43"/>
      <c r="I3" s="43"/>
      <c r="J3" s="43"/>
      <c r="K3" s="96"/>
    </row>
    <row r="4" spans="1:11">
      <c r="A4" s="352" t="s">
        <v>164</v>
      </c>
      <c r="B4" s="49">
        <f>IF(ISERROR('SEAP template'!B78+'SEAP template'!C78),0,'SEAP template'!B78+'SEAP template'!C78)</f>
        <v>12597.925636794436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0.20886670132128843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2343.8040000000001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2343.8040000000001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0.20886670132128843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489.54261002364115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45060.832521803793</v>
      </c>
      <c r="C5" s="17">
        <f>IF(ISERROR('Eigen informatie GS &amp; warmtenet'!B59),0,'Eigen informatie GS &amp; warmtenet'!B59)</f>
        <v>0</v>
      </c>
      <c r="D5" s="30">
        <f>(SUM(HH_hh_gas_kWh,HH_rest_gas_kWh)/1000)*0.903</f>
        <v>157652.50219714202</v>
      </c>
      <c r="E5" s="17">
        <f>B32*B41</f>
        <v>2743.5722855302533</v>
      </c>
      <c r="F5" s="17">
        <f>B36*B45</f>
        <v>60102.355103934417</v>
      </c>
      <c r="G5" s="18"/>
      <c r="H5" s="17"/>
      <c r="I5" s="17"/>
      <c r="J5" s="17">
        <f>B35*B44+C35*C44</f>
        <v>342.52989535777948</v>
      </c>
      <c r="K5" s="17"/>
      <c r="L5" s="17"/>
      <c r="M5" s="17"/>
      <c r="N5" s="17">
        <f>B34*B43+C34*C43</f>
        <v>19768.50057072044</v>
      </c>
      <c r="O5" s="17">
        <f>B52*B53*B54</f>
        <v>426.55101716821184</v>
      </c>
      <c r="P5" s="17">
        <f>B60*B61*B62/1000-B60*B61*B62/1000/B63</f>
        <v>905.92050046091197</v>
      </c>
    </row>
    <row r="6" spans="1:16">
      <c r="A6" s="16" t="s">
        <v>597</v>
      </c>
      <c r="B6" s="778">
        <f>kWh_PV_kleiner_dan_10kW</f>
        <v>7315.3762427443553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52376.208764548152</v>
      </c>
      <c r="C8" s="21">
        <f>C5</f>
        <v>0</v>
      </c>
      <c r="D8" s="21">
        <f>D5</f>
        <v>157652.50219714202</v>
      </c>
      <c r="E8" s="21">
        <f>E5</f>
        <v>2743.5722855302533</v>
      </c>
      <c r="F8" s="21">
        <f>F5</f>
        <v>60102.355103934417</v>
      </c>
      <c r="G8" s="21"/>
      <c r="H8" s="21"/>
      <c r="I8" s="21"/>
      <c r="J8" s="21">
        <f>J5</f>
        <v>342.52989535777948</v>
      </c>
      <c r="K8" s="21"/>
      <c r="L8" s="21">
        <f>L5</f>
        <v>0</v>
      </c>
      <c r="M8" s="21">
        <f>M5</f>
        <v>0</v>
      </c>
      <c r="N8" s="21">
        <f>N5</f>
        <v>19768.50057072044</v>
      </c>
      <c r="O8" s="21">
        <f>O5</f>
        <v>426.55101716821184</v>
      </c>
      <c r="P8" s="21">
        <f>P5</f>
        <v>905.92050046091197</v>
      </c>
    </row>
    <row r="9" spans="1:16">
      <c r="B9" s="19"/>
      <c r="C9" s="19"/>
      <c r="D9" s="254"/>
      <c r="E9" s="19"/>
      <c r="F9" s="19"/>
      <c r="G9" s="19"/>
      <c r="H9" s="19"/>
      <c r="I9" s="19"/>
      <c r="J9" s="19"/>
      <c r="K9" s="19"/>
      <c r="L9" s="19"/>
      <c r="M9" s="19"/>
      <c r="N9" s="19"/>
      <c r="O9" s="19"/>
      <c r="P9" s="19"/>
    </row>
    <row r="10" spans="1:16">
      <c r="A10" s="24" t="s">
        <v>207</v>
      </c>
      <c r="B10" s="25">
        <f ca="1">'EF ele_warmte'!B12</f>
        <v>0.20886670132128843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10939.645952366329</v>
      </c>
      <c r="C12" s="23">
        <f ca="1">C10*C8</f>
        <v>0</v>
      </c>
      <c r="D12" s="23">
        <f>D8*D10</f>
        <v>31845.80544382269</v>
      </c>
      <c r="E12" s="23">
        <f>E10*E8</f>
        <v>622.79090881536752</v>
      </c>
      <c r="F12" s="23">
        <f>F10*F8</f>
        <v>16047.328812750489</v>
      </c>
      <c r="G12" s="23"/>
      <c r="H12" s="23"/>
      <c r="I12" s="23"/>
      <c r="J12" s="23">
        <f>J10*J8</f>
        <v>121.25558295665392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15469</v>
      </c>
      <c r="C26" s="36"/>
      <c r="D26" s="225"/>
    </row>
    <row r="27" spans="1:5" s="15" customFormat="1">
      <c r="A27" s="227" t="s">
        <v>860</v>
      </c>
      <c r="B27" s="37">
        <f>SUM(HH_hh_gas_aantal,HH_rest_gas_aantal)</f>
        <v>11643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11060.85</v>
      </c>
      <c r="C31" s="34" t="s">
        <v>104</v>
      </c>
      <c r="D31" s="171"/>
    </row>
    <row r="32" spans="1:5">
      <c r="A32" s="168" t="s">
        <v>72</v>
      </c>
      <c r="B32" s="33">
        <f>IF((B21*($B$26-($B$27-0.05*$B$27)-$B$60))&lt;0,0,(B21*($B$26-($B$27-0.05*$B$27)-$B$60)))</f>
        <v>68.614990034989845</v>
      </c>
      <c r="C32" s="34" t="s">
        <v>104</v>
      </c>
      <c r="D32" s="171"/>
    </row>
    <row r="33" spans="1:6">
      <c r="A33" s="168" t="s">
        <v>73</v>
      </c>
      <c r="B33" s="33">
        <f>IF((B22*($B$26-($B$27-0.05*$B$27)-$B$60))&lt;0,0,B22*($B$26-($B$27-0.05*$B$27)-$B$60))</f>
        <v>1114.1715446889193</v>
      </c>
      <c r="C33" s="34" t="s">
        <v>104</v>
      </c>
      <c r="D33" s="171"/>
    </row>
    <row r="34" spans="1:6">
      <c r="A34" s="168" t="s">
        <v>74</v>
      </c>
      <c r="B34" s="33">
        <f>IF((B24*($B$26-($B$27-0.05*$B$27)-$B$60))&lt;0,0,B24*($B$26-($B$27-0.05*$B$27)-$B$60))</f>
        <v>213.6015954775593</v>
      </c>
      <c r="C34" s="33">
        <f>B26*C24</f>
        <v>3169.6899828674318</v>
      </c>
      <c r="D34" s="230"/>
    </row>
    <row r="35" spans="1:6">
      <c r="A35" s="168" t="s">
        <v>76</v>
      </c>
      <c r="B35" s="33">
        <f>IF((B19*($B$26-($B$27-0.05*$B$27)-$B$60))&lt;0,0,B19*($B$26-($B$27-0.05*$B$27)-$B$60))</f>
        <v>29.826772585596359</v>
      </c>
      <c r="C35" s="33">
        <f>B35/2</f>
        <v>14.91338629279818</v>
      </c>
      <c r="D35" s="230"/>
    </row>
    <row r="36" spans="1:6">
      <c r="A36" s="168" t="s">
        <v>77</v>
      </c>
      <c r="B36" s="33">
        <f>IF((B18*($B$26-($B$27-0.05*$B$27)-$B$60))&lt;0,0,B18*($B$26-($B$27-0.05*$B$27)-$B$60))</f>
        <v>2895.9350972129341</v>
      </c>
      <c r="C36" s="34" t="s">
        <v>104</v>
      </c>
      <c r="D36" s="171"/>
    </row>
    <row r="37" spans="1:6">
      <c r="A37" s="168" t="s">
        <v>78</v>
      </c>
      <c r="B37" s="33">
        <f>B60</f>
        <v>86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86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67383.600717946698</v>
      </c>
      <c r="C5" s="17">
        <f>IF(ISERROR('Eigen informatie GS &amp; warmtenet'!B60),0,'Eigen informatie GS &amp; warmtenet'!B60)</f>
        <v>0</v>
      </c>
      <c r="D5" s="30">
        <f>SUM(D6:D12)</f>
        <v>86439.546147138302</v>
      </c>
      <c r="E5" s="17">
        <f>SUM(E6:E12)</f>
        <v>205.4799456468246</v>
      </c>
      <c r="F5" s="17">
        <f>SUM(F6:F12)</f>
        <v>10267.793049278755</v>
      </c>
      <c r="G5" s="18"/>
      <c r="H5" s="17"/>
      <c r="I5" s="17"/>
      <c r="J5" s="17">
        <f>SUM(J6:J12)</f>
        <v>5.1668048724232557E-2</v>
      </c>
      <c r="K5" s="17"/>
      <c r="L5" s="17"/>
      <c r="M5" s="17"/>
      <c r="N5" s="17">
        <f>SUM(N6:N12)</f>
        <v>2066.5170681557206</v>
      </c>
      <c r="O5" s="17">
        <f>B38*B39*B40</f>
        <v>9.7945215316823084</v>
      </c>
      <c r="P5" s="17">
        <f>B46*B47*B48/1000-B46*B47*B48/1000/B49</f>
        <v>577.93052137144514</v>
      </c>
      <c r="R5" s="32"/>
    </row>
    <row r="6" spans="1:18">
      <c r="A6" s="32" t="s">
        <v>53</v>
      </c>
      <c r="B6" s="37">
        <f>B26</f>
        <v>31265.355295486901</v>
      </c>
      <c r="C6" s="33"/>
      <c r="D6" s="37">
        <f>IF(ISERROR(TER_kantoor_gas_kWh/1000),0,TER_kantoor_gas_kWh/1000)*0.903</f>
        <v>35815.185401965107</v>
      </c>
      <c r="E6" s="33">
        <f>$C$26*'E Balans VL '!I12/100/3.6*1000000</f>
        <v>7.4496126306435215</v>
      </c>
      <c r="F6" s="33">
        <f>$C$26*('E Balans VL '!L12+'E Balans VL '!N12)/100/3.6*1000000</f>
        <v>2715.702387490473</v>
      </c>
      <c r="G6" s="34"/>
      <c r="H6" s="33"/>
      <c r="I6" s="33"/>
      <c r="J6" s="33">
        <f>$C$26*('E Balans VL '!D12+'E Balans VL '!E12)/100/3.6*1000000</f>
        <v>0</v>
      </c>
      <c r="K6" s="33"/>
      <c r="L6" s="33"/>
      <c r="M6" s="33"/>
      <c r="N6" s="33">
        <f>$C$26*'E Balans VL '!Y12/100/3.6*1000000</f>
        <v>41.790521381847491</v>
      </c>
      <c r="O6" s="33"/>
      <c r="P6" s="33"/>
      <c r="R6" s="32"/>
    </row>
    <row r="7" spans="1:18">
      <c r="A7" s="32" t="s">
        <v>52</v>
      </c>
      <c r="B7" s="37">
        <f t="shared" ref="B7:B12" si="0">B27</f>
        <v>5382.8282790932408</v>
      </c>
      <c r="C7" s="33"/>
      <c r="D7" s="37">
        <f>IF(ISERROR(TER_horeca_gas_kWh/1000),0,TER_horeca_gas_kWh/1000)*0.903</f>
        <v>11534.70143816826</v>
      </c>
      <c r="E7" s="33">
        <f>$C$27*'E Balans VL '!I9/100/3.6*1000000</f>
        <v>0</v>
      </c>
      <c r="F7" s="33">
        <f>$C$27*('E Balans VL '!L9+'E Balans VL '!N9)/100/3.6*1000000</f>
        <v>438.60308946970389</v>
      </c>
      <c r="G7" s="34"/>
      <c r="H7" s="33"/>
      <c r="I7" s="33"/>
      <c r="J7" s="33">
        <f>$C$27*('E Balans VL '!D9+'E Balans VL '!E9)/100/3.6*1000000</f>
        <v>0</v>
      </c>
      <c r="K7" s="33"/>
      <c r="L7" s="33"/>
      <c r="M7" s="33"/>
      <c r="N7" s="33">
        <f>$C$27*'E Balans VL '!Y9/100/3.6*1000000</f>
        <v>1.4909432193066066</v>
      </c>
      <c r="O7" s="33"/>
      <c r="P7" s="33"/>
      <c r="R7" s="32"/>
    </row>
    <row r="8" spans="1:18">
      <c r="A8" s="6" t="s">
        <v>51</v>
      </c>
      <c r="B8" s="37">
        <f t="shared" si="0"/>
        <v>16488.337386139101</v>
      </c>
      <c r="C8" s="33"/>
      <c r="D8" s="37">
        <f>IF(ISERROR(TER_handel_gas_kWh/1000),0,TER_handel_gas_kWh/1000)*0.903</f>
        <v>15703.412900545896</v>
      </c>
      <c r="E8" s="33">
        <f>$C$28*'E Balans VL '!I13/100/3.6*1000000</f>
        <v>131.80141443680546</v>
      </c>
      <c r="F8" s="33">
        <f>$C$28*('E Balans VL '!L13+'E Balans VL '!N13)/100/3.6*1000000</f>
        <v>1638.0138218275306</v>
      </c>
      <c r="G8" s="34"/>
      <c r="H8" s="33"/>
      <c r="I8" s="33"/>
      <c r="J8" s="33">
        <f>$C$28*('E Balans VL '!D13+'E Balans VL '!E13)/100/3.6*1000000</f>
        <v>0</v>
      </c>
      <c r="K8" s="33"/>
      <c r="L8" s="33"/>
      <c r="M8" s="33"/>
      <c r="N8" s="33">
        <f>$C$28*'E Balans VL '!Y13/100/3.6*1000000</f>
        <v>6.1593754648929995</v>
      </c>
      <c r="O8" s="33"/>
      <c r="P8" s="33"/>
      <c r="R8" s="32"/>
    </row>
    <row r="9" spans="1:18">
      <c r="A9" s="32" t="s">
        <v>50</v>
      </c>
      <c r="B9" s="37">
        <f t="shared" si="0"/>
        <v>8314.2598314464994</v>
      </c>
      <c r="C9" s="33"/>
      <c r="D9" s="37">
        <f>IF(ISERROR(TER_gezond_gas_kWh/1000),0,TER_gezond_gas_kWh/1000)*0.903</f>
        <v>16171.874059864775</v>
      </c>
      <c r="E9" s="33">
        <f>$C$29*'E Balans VL '!I10/100/3.6*1000000</f>
        <v>0</v>
      </c>
      <c r="F9" s="33">
        <f>$C$29*('E Balans VL '!L10+'E Balans VL '!N10)/100/3.6*1000000</f>
        <v>757.98027029246123</v>
      </c>
      <c r="G9" s="34"/>
      <c r="H9" s="33"/>
      <c r="I9" s="33"/>
      <c r="J9" s="33">
        <f>$C$29*('E Balans VL '!D10+'E Balans VL '!E10)/100/3.6*1000000</f>
        <v>0</v>
      </c>
      <c r="K9" s="33"/>
      <c r="L9" s="33"/>
      <c r="M9" s="33"/>
      <c r="N9" s="33">
        <f>$C$29*'E Balans VL '!Y10/100/3.6*1000000</f>
        <v>60.769788460419683</v>
      </c>
      <c r="O9" s="33"/>
      <c r="P9" s="33"/>
      <c r="R9" s="32"/>
    </row>
    <row r="10" spans="1:18">
      <c r="A10" s="32" t="s">
        <v>49</v>
      </c>
      <c r="B10" s="37">
        <f t="shared" si="0"/>
        <v>5108.4802713744693</v>
      </c>
      <c r="C10" s="33"/>
      <c r="D10" s="37">
        <f>IF(ISERROR(TER_ander_gas_kWh/1000),0,TER_ander_gas_kWh/1000)*0.903</f>
        <v>3766.4557228898802</v>
      </c>
      <c r="E10" s="33">
        <f>$C$30*'E Balans VL '!I14/100/3.6*1000000</f>
        <v>66.228918579375616</v>
      </c>
      <c r="F10" s="33">
        <f>$C$30*('E Balans VL '!L14+'E Balans VL '!N14)/100/3.6*1000000</f>
        <v>4685.193653098956</v>
      </c>
      <c r="G10" s="34"/>
      <c r="H10" s="33"/>
      <c r="I10" s="33"/>
      <c r="J10" s="33">
        <f>$C$30*('E Balans VL '!D14+'E Balans VL '!E14)/100/3.6*1000000</f>
        <v>5.1668048724232557E-2</v>
      </c>
      <c r="K10" s="33"/>
      <c r="L10" s="33"/>
      <c r="M10" s="33"/>
      <c r="N10" s="33">
        <f>$C$30*'E Balans VL '!Y14/100/3.6*1000000</f>
        <v>1953.7103903855993</v>
      </c>
      <c r="O10" s="33"/>
      <c r="P10" s="33"/>
      <c r="R10" s="32"/>
    </row>
    <row r="11" spans="1:18">
      <c r="A11" s="32" t="s">
        <v>54</v>
      </c>
      <c r="B11" s="37">
        <f t="shared" si="0"/>
        <v>824.33965440649092</v>
      </c>
      <c r="C11" s="33"/>
      <c r="D11" s="37">
        <f>IF(ISERROR(TER_onderwijs_gas_kWh/1000),0,TER_onderwijs_gas_kWh/1000)*0.903</f>
        <v>3447.9166237043819</v>
      </c>
      <c r="E11" s="33">
        <f>$C$31*'E Balans VL '!I11/100/3.6*1000000</f>
        <v>0</v>
      </c>
      <c r="F11" s="33">
        <f>$C$31*('E Balans VL '!L11+'E Balans VL '!N11)/100/3.6*1000000</f>
        <v>32.299827099630882</v>
      </c>
      <c r="G11" s="34"/>
      <c r="H11" s="33"/>
      <c r="I11" s="33"/>
      <c r="J11" s="33">
        <f>$C$31*('E Balans VL '!D11+'E Balans VL '!E11)/100/3.6*1000000</f>
        <v>0</v>
      </c>
      <c r="K11" s="33"/>
      <c r="L11" s="33"/>
      <c r="M11" s="33"/>
      <c r="N11" s="33">
        <f>$C$31*'E Balans VL '!Y11/100/3.6*1000000</f>
        <v>2.5960492436543645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67383.600717946698</v>
      </c>
      <c r="C16" s="21">
        <f t="shared" ca="1" si="1"/>
        <v>0</v>
      </c>
      <c r="D16" s="21">
        <f t="shared" ca="1" si="1"/>
        <v>86439.546147138302</v>
      </c>
      <c r="E16" s="21">
        <f t="shared" si="1"/>
        <v>205.4799456468246</v>
      </c>
      <c r="F16" s="21">
        <f t="shared" ca="1" si="1"/>
        <v>10267.793049278755</v>
      </c>
      <c r="G16" s="21">
        <f t="shared" si="1"/>
        <v>0</v>
      </c>
      <c r="H16" s="21">
        <f t="shared" si="1"/>
        <v>0</v>
      </c>
      <c r="I16" s="21">
        <f t="shared" si="1"/>
        <v>0</v>
      </c>
      <c r="J16" s="21">
        <f t="shared" si="1"/>
        <v>5.1668048724232557E-2</v>
      </c>
      <c r="K16" s="21">
        <f t="shared" si="1"/>
        <v>0</v>
      </c>
      <c r="L16" s="21">
        <f t="shared" ca="1" si="1"/>
        <v>0</v>
      </c>
      <c r="M16" s="21">
        <f t="shared" si="1"/>
        <v>0</v>
      </c>
      <c r="N16" s="21">
        <f t="shared" ca="1" si="1"/>
        <v>2066.5170681557206</v>
      </c>
      <c r="O16" s="21">
        <f>O5</f>
        <v>9.7945215316823084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0.20886670132128843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14074.190405108329</v>
      </c>
      <c r="C20" s="23">
        <f t="shared" ref="C20:P20" ca="1" si="2">C16*C18</f>
        <v>0</v>
      </c>
      <c r="D20" s="23">
        <f t="shared" ca="1" si="2"/>
        <v>17460.788321721939</v>
      </c>
      <c r="E20" s="23">
        <f t="shared" si="2"/>
        <v>46.643947661829188</v>
      </c>
      <c r="F20" s="23">
        <f t="shared" ca="1" si="2"/>
        <v>2741.5007441574276</v>
      </c>
      <c r="G20" s="23">
        <f t="shared" si="2"/>
        <v>0</v>
      </c>
      <c r="H20" s="23">
        <f t="shared" si="2"/>
        <v>0</v>
      </c>
      <c r="I20" s="23">
        <f t="shared" si="2"/>
        <v>0</v>
      </c>
      <c r="J20" s="23">
        <f t="shared" si="2"/>
        <v>1.8290489248378325E-2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31265.355295486901</v>
      </c>
      <c r="C26" s="39">
        <f>IF(ISERROR(B26*3.6/1000000/'E Balans VL '!Z12*100),0,B26*3.6/1000000/'E Balans VL '!Z12*100)</f>
        <v>0.89700010119793427</v>
      </c>
      <c r="D26" s="233" t="s">
        <v>835</v>
      </c>
      <c r="F26" s="6"/>
    </row>
    <row r="27" spans="1:18" ht="30">
      <c r="A27" s="228" t="s">
        <v>52</v>
      </c>
      <c r="B27" s="33">
        <f>IF(ISERROR(TER_horeca_ele_kWh/1000),0,TER_horeca_ele_kWh/1000)</f>
        <v>5382.8282790932408</v>
      </c>
      <c r="C27" s="39">
        <f>IF(ISERROR(B27*3.6/1000000/'E Balans VL '!Z9*100),0,B27*3.6/1000000/'E Balans VL '!Z9*100)</f>
        <v>0.39434790543899523</v>
      </c>
      <c r="D27" s="233" t="s">
        <v>835</v>
      </c>
      <c r="F27" s="6"/>
    </row>
    <row r="28" spans="1:18" ht="30">
      <c r="A28" s="168" t="s">
        <v>51</v>
      </c>
      <c r="B28" s="33">
        <f>IF(ISERROR(TER_handel_ele_kWh/1000),0,TER_handel_ele_kWh/1000)</f>
        <v>16488.337386139101</v>
      </c>
      <c r="C28" s="39">
        <f>IF(ISERROR(B28*3.6/1000000/'E Balans VL '!Z13*100),0,B28*3.6/1000000/'E Balans VL '!Z13*100)</f>
        <v>0.50950353234190648</v>
      </c>
      <c r="D28" s="233" t="s">
        <v>835</v>
      </c>
      <c r="F28" s="6"/>
    </row>
    <row r="29" spans="1:18" ht="30">
      <c r="A29" s="228" t="s">
        <v>50</v>
      </c>
      <c r="B29" s="33">
        <f>IF(ISERROR(TER_gezond_ele_kWh/1000),0,TER_gezond_ele_kWh/1000)</f>
        <v>8314.2598314464994</v>
      </c>
      <c r="C29" s="39">
        <f>IF(ISERROR(B29*3.6/1000000/'E Balans VL '!Z10*100),0,B29*3.6/1000000/'E Balans VL '!Z10*100)</f>
        <v>0.81484858749130828</v>
      </c>
      <c r="D29" s="233" t="s">
        <v>835</v>
      </c>
      <c r="F29" s="6"/>
    </row>
    <row r="30" spans="1:18" ht="30">
      <c r="A30" s="228" t="s">
        <v>49</v>
      </c>
      <c r="B30" s="33">
        <f>IF(ISERROR(TER_ander_ele_kWh/1000),0,TER_ander_ele_kWh/1000)</f>
        <v>5108.4802713744693</v>
      </c>
      <c r="C30" s="39">
        <f>IF(ISERROR(B30*3.6/1000000/'E Balans VL '!Z14*100),0,B30*3.6/1000000/'E Balans VL '!Z14*100)</f>
        <v>0.21160975586716405</v>
      </c>
      <c r="D30" s="233" t="s">
        <v>835</v>
      </c>
      <c r="F30" s="6"/>
    </row>
    <row r="31" spans="1:18" ht="30">
      <c r="A31" s="228" t="s">
        <v>54</v>
      </c>
      <c r="B31" s="33">
        <f>IF(ISERROR(TER_onderwijs_ele_kWh/1000),0,TER_onderwijs_ele_kWh/1000)</f>
        <v>824.33965440649092</v>
      </c>
      <c r="C31" s="39">
        <f>IF(ISERROR(B31*3.6/1000000/'E Balans VL '!Z11*100),0,B31*3.6/1000000/'E Balans VL '!Z11*100)</f>
        <v>0.25329451371378042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103103.04107739704</v>
      </c>
      <c r="C5" s="17">
        <f>IF(ISERROR('Eigen informatie GS &amp; warmtenet'!B61),0,'Eigen informatie GS &amp; warmtenet'!B61)</f>
        <v>0</v>
      </c>
      <c r="D5" s="30">
        <f>SUM(D6:D15)</f>
        <v>23597.23975871272</v>
      </c>
      <c r="E5" s="17">
        <f>SUM(E6:E15)</f>
        <v>1888.5857071765445</v>
      </c>
      <c r="F5" s="17">
        <f>SUM(F6:F15)</f>
        <v>17364.45379610033</v>
      </c>
      <c r="G5" s="18"/>
      <c r="H5" s="17"/>
      <c r="I5" s="17"/>
      <c r="J5" s="17">
        <f>SUM(J6:J15)</f>
        <v>7952.0399568049679</v>
      </c>
      <c r="K5" s="17"/>
      <c r="L5" s="17"/>
      <c r="M5" s="17"/>
      <c r="N5" s="17">
        <f>SUM(N6:N15)</f>
        <v>2745.0691784953588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20853.4697502868</v>
      </c>
      <c r="C7" s="33"/>
      <c r="D7" s="37">
        <f>IF( ISERROR(IND_nonf_gas_kWhh/1000),0,IND_nonf_gas_kWh/1000)*0.903</f>
        <v>0</v>
      </c>
      <c r="E7" s="33">
        <f>C29*'E Balans VL '!I17/100/3.6*1000000</f>
        <v>11.067528759643221</v>
      </c>
      <c r="F7" s="33">
        <f>C29*'E Balans VL '!L17/100/3.6*1000000+C29*'E Balans VL '!N17/100/3.6*1000000</f>
        <v>3315.0008735557162</v>
      </c>
      <c r="G7" s="34"/>
      <c r="H7" s="33"/>
      <c r="I7" s="33"/>
      <c r="J7" s="40">
        <f>C29*'E Balans VL '!D17/100/3.6*1000000+C29*'E Balans VL '!E17/100/3.6*1000000</f>
        <v>7767.222320275423</v>
      </c>
      <c r="K7" s="33"/>
      <c r="L7" s="33"/>
      <c r="M7" s="33"/>
      <c r="N7" s="33">
        <f>C29*'E Balans VL '!Y17/100/3.6*1000000</f>
        <v>0</v>
      </c>
      <c r="O7" s="33"/>
      <c r="P7" s="33"/>
      <c r="R7" s="32"/>
    </row>
    <row r="8" spans="1:18">
      <c r="A8" s="6" t="s">
        <v>35</v>
      </c>
      <c r="B8" s="37">
        <f t="shared" si="0"/>
        <v>25163.913657126901</v>
      </c>
      <c r="C8" s="33"/>
      <c r="D8" s="37">
        <f>IF( ISERROR(IND_metaal_Gas_kWH/1000),0,IND_metaal_Gas_kWH/1000)*0.903</f>
        <v>16011.72502548706</v>
      </c>
      <c r="E8" s="33">
        <f>C30*'E Balans VL '!I18/100/3.6*1000000</f>
        <v>137.17241784535889</v>
      </c>
      <c r="F8" s="33">
        <f>C30*'E Balans VL '!L18/100/3.6*1000000+C30*'E Balans VL '!N18/100/3.6*1000000</f>
        <v>1620.5579616066786</v>
      </c>
      <c r="G8" s="34"/>
      <c r="H8" s="33"/>
      <c r="I8" s="33"/>
      <c r="J8" s="40">
        <f>C30*'E Balans VL '!D18/100/3.6*1000000+C30*'E Balans VL '!E18/100/3.6*1000000</f>
        <v>20.61231473931419</v>
      </c>
      <c r="K8" s="33"/>
      <c r="L8" s="33"/>
      <c r="M8" s="33"/>
      <c r="N8" s="33">
        <f>C30*'E Balans VL '!Y18/100/3.6*1000000</f>
        <v>543.64972632615377</v>
      </c>
      <c r="O8" s="33"/>
      <c r="P8" s="33"/>
      <c r="R8" s="32"/>
    </row>
    <row r="9" spans="1:18">
      <c r="A9" s="6" t="s">
        <v>32</v>
      </c>
      <c r="B9" s="37">
        <f t="shared" si="0"/>
        <v>11990.8443832677</v>
      </c>
      <c r="C9" s="33"/>
      <c r="D9" s="37">
        <f>IF( ISERROR(IND_andere_gas_kWh/1000),0,IND_andere_gas_kWh/1000)*0.903</f>
        <v>2581.9236166049627</v>
      </c>
      <c r="E9" s="33">
        <f>C31*'E Balans VL '!I19/100/3.6*1000000</f>
        <v>38.708487716649174</v>
      </c>
      <c r="F9" s="33">
        <f>C31*'E Balans VL '!L19/100/3.6*1000000+C31*'E Balans VL '!N19/100/3.6*1000000</f>
        <v>7753.3741070857659</v>
      </c>
      <c r="G9" s="34"/>
      <c r="H9" s="33"/>
      <c r="I9" s="33"/>
      <c r="J9" s="40">
        <f>C31*'E Balans VL '!D19/100/3.6*1000000+C31*'E Balans VL '!E19/100/3.6*1000000</f>
        <v>0</v>
      </c>
      <c r="K9" s="33"/>
      <c r="L9" s="33"/>
      <c r="M9" s="33"/>
      <c r="N9" s="33">
        <f>C31*'E Balans VL '!Y19/100/3.6*1000000</f>
        <v>484.53617088788513</v>
      </c>
      <c r="O9" s="33"/>
      <c r="P9" s="33"/>
      <c r="R9" s="32"/>
    </row>
    <row r="10" spans="1:18">
      <c r="A10" s="6" t="s">
        <v>40</v>
      </c>
      <c r="B10" s="37">
        <f t="shared" si="0"/>
        <v>16533.757176562402</v>
      </c>
      <c r="C10" s="33"/>
      <c r="D10" s="37">
        <f>IF( ISERROR(IND_voed_gas_kWh/1000),0,IND_voed_gas_kWh/1000)*0.903</f>
        <v>1899.3235123384241</v>
      </c>
      <c r="E10" s="33">
        <f>C32*'E Balans VL '!I20/100/3.6*1000000</f>
        <v>34.65880702879543</v>
      </c>
      <c r="F10" s="33">
        <f>C32*'E Balans VL '!L20/100/3.6*1000000+C32*'E Balans VL '!N20/100/3.6*1000000</f>
        <v>322.13472843316981</v>
      </c>
      <c r="G10" s="34"/>
      <c r="H10" s="33"/>
      <c r="I10" s="33"/>
      <c r="J10" s="40">
        <f>C32*'E Balans VL '!D20/100/3.6*1000000+C32*'E Balans VL '!E20/100/3.6*1000000</f>
        <v>0</v>
      </c>
      <c r="K10" s="33"/>
      <c r="L10" s="33"/>
      <c r="M10" s="33"/>
      <c r="N10" s="33">
        <f>C32*'E Balans VL '!Y20/100/3.6*1000000</f>
        <v>657.66702219079298</v>
      </c>
      <c r="O10" s="33"/>
      <c r="P10" s="33"/>
      <c r="R10" s="32"/>
    </row>
    <row r="11" spans="1:18">
      <c r="A11" s="6" t="s">
        <v>39</v>
      </c>
      <c r="B11" s="37">
        <f t="shared" si="0"/>
        <v>8.8348777246040004</v>
      </c>
      <c r="C11" s="33"/>
      <c r="D11" s="37">
        <f>IF( ISERROR(IND_textiel_gas_kWh/1000),0,IND_textiel_gas_kWh/1000)*0.903</f>
        <v>37.14050186560258</v>
      </c>
      <c r="E11" s="33">
        <f>C33*'E Balans VL '!I21/100/3.6*1000000</f>
        <v>7.5915448481337321E-3</v>
      </c>
      <c r="F11" s="33">
        <f>C33*'E Balans VL '!L21/100/3.6*1000000+C33*'E Balans VL '!N21/100/3.6*1000000</f>
        <v>0.18523238105817735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305.31960271819304</v>
      </c>
      <c r="C12" s="33"/>
      <c r="D12" s="37">
        <f>IF( ISERROR(IND_min_gas_kWh/1000),0,IND_min_gas_kWh/1000)*0.903</f>
        <v>0</v>
      </c>
      <c r="E12" s="33">
        <f>C34*'E Balans VL '!I22/100/3.6*1000000</f>
        <v>4.9965732775939182</v>
      </c>
      <c r="F12" s="33">
        <f>C34*'E Balans VL '!L22/100/3.6*1000000+C34*'E Balans VL '!N22/100/3.6*1000000</f>
        <v>46.602252457307806</v>
      </c>
      <c r="G12" s="34"/>
      <c r="H12" s="33"/>
      <c r="I12" s="33"/>
      <c r="J12" s="40">
        <f>C34*'E Balans VL '!D22/100/3.6*1000000+C34*'E Balans VL '!E22/100/3.6*1000000</f>
        <v>10.92634000713895</v>
      </c>
      <c r="K12" s="33"/>
      <c r="L12" s="33"/>
      <c r="M12" s="33"/>
      <c r="N12" s="33">
        <f>C34*'E Balans VL '!Y22/100/3.6*1000000</f>
        <v>167.32162235113645</v>
      </c>
      <c r="O12" s="33"/>
      <c r="P12" s="33"/>
      <c r="R12" s="32"/>
    </row>
    <row r="13" spans="1:18">
      <c r="A13" s="6" t="s">
        <v>38</v>
      </c>
      <c r="B13" s="37">
        <f t="shared" si="0"/>
        <v>16.8345721829232</v>
      </c>
      <c r="C13" s="33"/>
      <c r="D13" s="37">
        <f>IF( ISERROR(IND_papier_gas_kWh/1000),0,IND_papier_gas_kWh/1000)*0.903</f>
        <v>125.31733158221058</v>
      </c>
      <c r="E13" s="33">
        <f>C35*'E Balans VL '!I23/100/3.6*1000000</f>
        <v>0</v>
      </c>
      <c r="F13" s="33">
        <f>C35*'E Balans VL '!L23/100/3.6*1000000+C35*'E Balans VL '!N23/100/3.6*1000000</f>
        <v>2.2550440176717606E-3</v>
      </c>
      <c r="G13" s="34"/>
      <c r="H13" s="33"/>
      <c r="I13" s="33"/>
      <c r="J13" s="40">
        <f>C35*'E Balans VL '!D23/100/3.6*1000000+C35*'E Balans VL '!E23/100/3.6*1000000</f>
        <v>3.3299843004157698E-3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100.98747512274238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28230.067057527511</v>
      </c>
      <c r="C15" s="33"/>
      <c r="D15" s="37">
        <f>IF( ISERROR(IND_rest_gas_kWh/1000),0,IND_rest_gas_kWh/1000)*0.903</f>
        <v>2840.8222957117137</v>
      </c>
      <c r="E15" s="33">
        <f>C37*'E Balans VL '!I15/100/3.6*1000000</f>
        <v>1661.9743010036557</v>
      </c>
      <c r="F15" s="33">
        <f>C37*'E Balans VL '!L15/100/3.6*1000000+C37*'E Balans VL '!N15/100/3.6*1000000</f>
        <v>4306.5963855366172</v>
      </c>
      <c r="G15" s="34"/>
      <c r="H15" s="33"/>
      <c r="I15" s="33"/>
      <c r="J15" s="40">
        <f>C37*'E Balans VL '!D15/100/3.6*1000000+C37*'E Balans VL '!E15/100/3.6*1000000</f>
        <v>153.27565179879093</v>
      </c>
      <c r="K15" s="33"/>
      <c r="L15" s="33"/>
      <c r="M15" s="33"/>
      <c r="N15" s="33">
        <f>C37*'E Balans VL '!Y15/100/3.6*1000000</f>
        <v>891.89463673939031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103103.04107739704</v>
      </c>
      <c r="C18" s="21">
        <f>C5+C16</f>
        <v>0</v>
      </c>
      <c r="D18" s="21">
        <f>MAX((D5+D16),0)</f>
        <v>23597.23975871272</v>
      </c>
      <c r="E18" s="21">
        <f>MAX((E5+E16),0)</f>
        <v>1888.5857071765445</v>
      </c>
      <c r="F18" s="21">
        <f>MAX((F5+F16),0)</f>
        <v>17364.45379610033</v>
      </c>
      <c r="G18" s="21"/>
      <c r="H18" s="21"/>
      <c r="I18" s="21"/>
      <c r="J18" s="21">
        <f>MAX((J5+J16),0)</f>
        <v>7952.0399568049679</v>
      </c>
      <c r="K18" s="21"/>
      <c r="L18" s="21">
        <f>MAX((L5+L16),0)</f>
        <v>0</v>
      </c>
      <c r="M18" s="21"/>
      <c r="N18" s="21">
        <f>MAX((N5+N16),0)</f>
        <v>2745.0691784953588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0.20886670132128843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21534.792086029218</v>
      </c>
      <c r="C22" s="23">
        <f ca="1">C18*C20</f>
        <v>0</v>
      </c>
      <c r="D22" s="23">
        <f>D18*D20</f>
        <v>4766.6424312599693</v>
      </c>
      <c r="E22" s="23">
        <f>E18*E20</f>
        <v>428.70895552907558</v>
      </c>
      <c r="F22" s="23">
        <f>F18*F20</f>
        <v>4636.309163558788</v>
      </c>
      <c r="G22" s="23"/>
      <c r="H22" s="23"/>
      <c r="I22" s="23"/>
      <c r="J22" s="23">
        <f>J18*J20</f>
        <v>2815.0221447089584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20853.4697502868</v>
      </c>
      <c r="C29" s="39">
        <f>IF(ISERROR(B29*3.6/1000000/'E Balans VL '!Z17*100),0,B29*3.6/1000000/'E Balans VL '!Z17*100)</f>
        <v>13.786541015472523</v>
      </c>
      <c r="D29" s="233" t="s">
        <v>835</v>
      </c>
    </row>
    <row r="30" spans="1:18" ht="30">
      <c r="A30" s="168" t="s">
        <v>35</v>
      </c>
      <c r="B30" s="37">
        <f>IF( ISERROR(IND_metaal_ele_kWh/1000),0,IND_metaal_ele_kWh/1000)</f>
        <v>25163.913657126901</v>
      </c>
      <c r="C30" s="39">
        <f>IF(ISERROR(B30*3.6/1000000/'E Balans VL '!Z18*100),0,B30*3.6/1000000/'E Balans VL '!Z18*100)</f>
        <v>1.515301879957756</v>
      </c>
      <c r="D30" s="233" t="s">
        <v>835</v>
      </c>
    </row>
    <row r="31" spans="1:18" ht="30">
      <c r="A31" s="6" t="s">
        <v>32</v>
      </c>
      <c r="B31" s="37">
        <f>IF( ISERROR(IND_ander_ele_kWh/1000),0,IND_ander_ele_kWh/1000)</f>
        <v>11990.8443832677</v>
      </c>
      <c r="C31" s="39">
        <f>IF(ISERROR(B31*3.6/1000000/'E Balans VL '!Z19*100),0,B31*3.6/1000000/'E Balans VL '!Z19*100)</f>
        <v>0.48853182407896611</v>
      </c>
      <c r="D31" s="233" t="s">
        <v>835</v>
      </c>
    </row>
    <row r="32" spans="1:18" ht="30">
      <c r="A32" s="168" t="s">
        <v>40</v>
      </c>
      <c r="B32" s="37">
        <f>IF( ISERROR(IND_voed_ele_kWh/1000),0,IND_voed_ele_kWh/1000)</f>
        <v>16533.757176562402</v>
      </c>
      <c r="C32" s="39">
        <f>IF(ISERROR(B32*3.6/1000000/'E Balans VL '!Z20*100),0,B32*3.6/1000000/'E Balans VL '!Z20*100)</f>
        <v>0.47805745678511263</v>
      </c>
      <c r="D32" s="233" t="s">
        <v>835</v>
      </c>
    </row>
    <row r="33" spans="1:5" ht="30">
      <c r="A33" s="168" t="s">
        <v>39</v>
      </c>
      <c r="B33" s="37">
        <f>IF( ISERROR(IND_textiel_ele_kWh/1000),0,IND_textiel_ele_kWh/1000)</f>
        <v>8.8348777246040004</v>
      </c>
      <c r="C33" s="39">
        <f>IF(ISERROR(B33*3.6/1000000/'E Balans VL '!Z21*100),0,B33*3.6/1000000/'E Balans VL '!Z21*100)</f>
        <v>1.4529272436619584E-3</v>
      </c>
      <c r="D33" s="233" t="s">
        <v>835</v>
      </c>
    </row>
    <row r="34" spans="1:5" ht="30">
      <c r="A34" s="168" t="s">
        <v>36</v>
      </c>
      <c r="B34" s="37">
        <f>IF( ISERROR(IND_min_ele_kWh/1000),0,IND_min_ele_kWh/1000)</f>
        <v>305.31960271819304</v>
      </c>
      <c r="C34" s="39">
        <f>IF(ISERROR(B34*3.6/1000000/'E Balans VL '!Z22*100),0,B34*3.6/1000000/'E Balans VL '!Z22*100)</f>
        <v>0.13036863325500522</v>
      </c>
      <c r="D34" s="233" t="s">
        <v>835</v>
      </c>
    </row>
    <row r="35" spans="1:5" ht="30">
      <c r="A35" s="168" t="s">
        <v>38</v>
      </c>
      <c r="B35" s="37">
        <f>IF( ISERROR(IND_papier_ele_kWh/1000),0,IND_papier_ele_kWh/1000)</f>
        <v>16.8345721829232</v>
      </c>
      <c r="C35" s="39">
        <f>IF(ISERROR(B35*3.6/1000000/'E Balans VL '!Z22*100),0,B35*3.6/1000000/'E Balans VL '!Z22*100)</f>
        <v>7.1882058910777303E-3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28230.067057527511</v>
      </c>
      <c r="C37" s="39">
        <f>IF(ISERROR(B37*3.6/1000000/'E Balans VL '!Z15*100),0,B37*3.6/1000000/'E Balans VL '!Z15*100)</f>
        <v>0.23179023260404713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2012.9056587319199</v>
      </c>
      <c r="C5" s="17">
        <f>'Eigen informatie GS &amp; warmtenet'!B62</f>
        <v>0</v>
      </c>
      <c r="D5" s="30">
        <f>IF(ISERROR(SUM(LB_lb_gas_kWh,LB_rest_gas_kWh)/1000),0,SUM(LB_lb_gas_kWh,LB_rest_gas_kWh)/1000)*0.903</f>
        <v>556.67723086480385</v>
      </c>
      <c r="E5" s="17">
        <f>B17*'E Balans VL '!I25/3.6*1000000/100</f>
        <v>57.653024526109611</v>
      </c>
      <c r="F5" s="17">
        <f>B17*('E Balans VL '!L25/3.6*1000000+'E Balans VL '!N25/3.6*1000000)/100</f>
        <v>6371.8195233307733</v>
      </c>
      <c r="G5" s="18"/>
      <c r="H5" s="17"/>
      <c r="I5" s="17"/>
      <c r="J5" s="17">
        <f>('E Balans VL '!D25+'E Balans VL '!E25)/3.6*1000000*landbouw!B17/100</f>
        <v>511.81869896297894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2012.9056587319199</v>
      </c>
      <c r="C8" s="21">
        <f>C5+C6</f>
        <v>0</v>
      </c>
      <c r="D8" s="21">
        <f>MAX((D5+D6),0)</f>
        <v>556.67723086480385</v>
      </c>
      <c r="E8" s="21">
        <f>MAX((E5+E6),0)</f>
        <v>57.653024526109611</v>
      </c>
      <c r="F8" s="21">
        <f>MAX((F5+F6),0)</f>
        <v>6371.8195233307733</v>
      </c>
      <c r="G8" s="21"/>
      <c r="H8" s="21"/>
      <c r="I8" s="21"/>
      <c r="J8" s="21">
        <f>MAX((J5+J6),0)</f>
        <v>511.81869896297894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0.20886670132128843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420.42896501029122</v>
      </c>
      <c r="C12" s="23">
        <f ca="1">C8*C10</f>
        <v>0</v>
      </c>
      <c r="D12" s="23">
        <f>D8*D10</f>
        <v>112.44880063469039</v>
      </c>
      <c r="E12" s="23">
        <f>E8*E10</f>
        <v>13.087236567426881</v>
      </c>
      <c r="F12" s="23">
        <f>F8*F10</f>
        <v>1701.2758127293166</v>
      </c>
      <c r="G12" s="23"/>
      <c r="H12" s="23"/>
      <c r="I12" s="23"/>
      <c r="J12" s="23">
        <f>J8*J10</f>
        <v>181.18381943289452</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0.27874176996354288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319.97270354506344</v>
      </c>
      <c r="C26" s="243">
        <f>B26*'GWP N2O_CH4'!B5</f>
        <v>6719.4267744463323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88.120325190623291</v>
      </c>
      <c r="C27" s="243">
        <f>B27*'GWP N2O_CH4'!B5</f>
        <v>1850.526829003089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4.4392945301803142</v>
      </c>
      <c r="C28" s="243">
        <f>B28*'GWP N2O_CH4'!B4</f>
        <v>1376.1813043558973</v>
      </c>
      <c r="D28" s="50"/>
    </row>
    <row r="29" spans="1:4">
      <c r="A29" s="41" t="s">
        <v>266</v>
      </c>
      <c r="B29" s="243">
        <f>B34*'ha_N2O bodem landbouw'!B4</f>
        <v>30.840870112330407</v>
      </c>
      <c r="C29" s="243">
        <f>B29*'GWP N2O_CH4'!B4</f>
        <v>9560.6697348224261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7.0064937219047997E-3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1.7970806745746303E-3</v>
      </c>
      <c r="C5" s="432" t="s">
        <v>204</v>
      </c>
      <c r="D5" s="417">
        <f>SUM(D6:D11)</f>
        <v>3.1285361934029906E-3</v>
      </c>
      <c r="E5" s="417">
        <f>SUM(E6:E11)</f>
        <v>1.2785920712538343E-3</v>
      </c>
      <c r="F5" s="430" t="s">
        <v>204</v>
      </c>
      <c r="G5" s="417">
        <f>SUM(G6:G11)</f>
        <v>0.60186272122903306</v>
      </c>
      <c r="H5" s="417">
        <f>SUM(H6:H11)</f>
        <v>0.15452057068382224</v>
      </c>
      <c r="I5" s="432" t="s">
        <v>204</v>
      </c>
      <c r="J5" s="432" t="s">
        <v>204</v>
      </c>
      <c r="K5" s="432" t="s">
        <v>204</v>
      </c>
      <c r="L5" s="432" t="s">
        <v>204</v>
      </c>
      <c r="M5" s="417">
        <f>SUM(M6:M11)</f>
        <v>4.5512070900641702E-2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9.4578304150181496E-4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1.5768910774408033E-3</v>
      </c>
      <c r="E6" s="884">
        <f>vkm_GW_PW*SUMIFS(TableVerdeelsleutelVkm[LPG],TableVerdeelsleutelVkm[Voertuigtype],"Lichte voertuigen")*SUMIFS(TableECFTransport[EnergieConsumptieFactor (PJ per km)],TableECFTransport[Index],CONCATENATE($A6,"_LPG_LPG"))</f>
        <v>6.2517317660701571E-4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0.18788024419583077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7.7333498385219093E-2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1.6270080968475927E-2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3.829573048946352E-6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0.15180668948122619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1.1201136356120504E-6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8.716483383010145E-3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4.0793293296510676E-4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9.314957694868299E-4</v>
      </c>
      <c r="E8" s="420">
        <f>vkm_NGW_PW*SUMIFS(TableVerdeelsleutelVkm[LPG],TableVerdeelsleutelVkm[Voertuigtype],"Lichte voertuigen")*SUMIFS(TableECFTransport[EnergieConsumptieFactor (PJ per km)],TableECFTransport[Index],CONCATENATE($A8,"_LPG_LPG"))</f>
        <v>3.5360058974257972E-4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9.7339199170125568E-2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4.5255638360900775E-2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8.7973149059129979E-3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4.0594068849652749E-7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2.0722385825952486E-2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1.4331470571662849E-7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1.18984366996623E-3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4.3745729385672491E-4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6.2014934647535737E-4</v>
      </c>
      <c r="E10" s="420">
        <f>vkm_SW_PW*SUMIFS(TableVerdeelsleutelVkm[LPG],TableVerdeelsleutelVkm[Voertuigtype],"Lichte voertuigen")*SUMIFS(TableECFTransport[EnergieConsumptieFactor (PJ per km)],TableECFTransport[Index],CONCATENATE($A10,"_LPG_LPG"))</f>
        <v>2.9981830490423888E-4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8.1744557594035858E-2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3.1929667182024328E-2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6.9571853780348364E-3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1.6718925135407303E-6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6.23696449618623E-2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5.0332733673920414E-7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3.5811625952415597E-3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499.18907627073065</v>
      </c>
      <c r="C14" s="21"/>
      <c r="D14" s="21">
        <f t="shared" ref="D14:M14" si="0">((D5)*10^9/3600)+D12</f>
        <v>869.03783150083075</v>
      </c>
      <c r="E14" s="21">
        <f t="shared" si="0"/>
        <v>355.16446423717622</v>
      </c>
      <c r="F14" s="21"/>
      <c r="G14" s="21">
        <f t="shared" si="0"/>
        <v>167184.08923028698</v>
      </c>
      <c r="H14" s="21">
        <f t="shared" si="0"/>
        <v>42922.380745506176</v>
      </c>
      <c r="I14" s="21"/>
      <c r="J14" s="21"/>
      <c r="K14" s="21"/>
      <c r="L14" s="21"/>
      <c r="M14" s="21">
        <f t="shared" si="0"/>
        <v>12642.241916844918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0.20886670132128843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104.26397569628857</v>
      </c>
      <c r="C18" s="23"/>
      <c r="D18" s="23">
        <f t="shared" ref="D18:M18" si="1">D14*D16</f>
        <v>175.54564196316781</v>
      </c>
      <c r="E18" s="23">
        <f t="shared" si="1"/>
        <v>80.622333381838999</v>
      </c>
      <c r="F18" s="23"/>
      <c r="G18" s="23">
        <f t="shared" si="1"/>
        <v>44638.151824486624</v>
      </c>
      <c r="H18" s="23">
        <f t="shared" si="1"/>
        <v>10687.672805631038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1.7617336899933042E-4</v>
      </c>
      <c r="C50" s="315">
        <f t="shared" ref="C50:P50" si="2">SUM(C51:C52)</f>
        <v>0</v>
      </c>
      <c r="D50" s="315">
        <f t="shared" si="2"/>
        <v>0</v>
      </c>
      <c r="E50" s="315">
        <f t="shared" si="2"/>
        <v>0</v>
      </c>
      <c r="F50" s="315">
        <f t="shared" si="2"/>
        <v>0</v>
      </c>
      <c r="G50" s="315">
        <f t="shared" si="2"/>
        <v>1.1028985508754575E-2</v>
      </c>
      <c r="H50" s="315">
        <f t="shared" si="2"/>
        <v>0</v>
      </c>
      <c r="I50" s="315">
        <f t="shared" si="2"/>
        <v>0</v>
      </c>
      <c r="J50" s="315">
        <f t="shared" si="2"/>
        <v>0</v>
      </c>
      <c r="K50" s="315">
        <f t="shared" si="2"/>
        <v>0</v>
      </c>
      <c r="L50" s="315">
        <f t="shared" si="2"/>
        <v>0</v>
      </c>
      <c r="M50" s="315">
        <f t="shared" si="2"/>
        <v>6.3325992717074486E-4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1.7617336899933042E-4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1.1028985508754575E-2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6.3325992717074486E-4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48.937046944258448</v>
      </c>
      <c r="C54" s="21">
        <f t="shared" ref="C54:P54" si="3">(C50)*10^9/3600</f>
        <v>0</v>
      </c>
      <c r="D54" s="21">
        <f t="shared" si="3"/>
        <v>0</v>
      </c>
      <c r="E54" s="21">
        <f t="shared" si="3"/>
        <v>0</v>
      </c>
      <c r="F54" s="21">
        <f t="shared" si="3"/>
        <v>0</v>
      </c>
      <c r="G54" s="21">
        <f t="shared" si="3"/>
        <v>3063.6070857651598</v>
      </c>
      <c r="H54" s="21">
        <f t="shared" si="3"/>
        <v>0</v>
      </c>
      <c r="I54" s="21">
        <f t="shared" si="3"/>
        <v>0</v>
      </c>
      <c r="J54" s="21">
        <f t="shared" si="3"/>
        <v>0</v>
      </c>
      <c r="K54" s="21">
        <f t="shared" si="3"/>
        <v>0</v>
      </c>
      <c r="L54" s="21">
        <f t="shared" si="3"/>
        <v>0</v>
      </c>
      <c r="M54" s="21">
        <f t="shared" si="3"/>
        <v>175.9055353252069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0.20886670132128843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10.2213195676523</v>
      </c>
      <c r="C58" s="23">
        <f t="shared" ref="C58:P58" ca="1" si="4">C54*C56</f>
        <v>0</v>
      </c>
      <c r="D58" s="23">
        <f t="shared" si="4"/>
        <v>0</v>
      </c>
      <c r="E58" s="23">
        <f t="shared" si="4"/>
        <v>0</v>
      </c>
      <c r="F58" s="23">
        <f t="shared" si="4"/>
        <v>0</v>
      </c>
      <c r="G58" s="23">
        <f t="shared" si="4"/>
        <v>817.98309189929773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12597.925636794436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12597.925636794436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2021-11-11T12:16:06Z</dcterms:modified>
</cp:coreProperties>
</file>