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3AD755DC-3298-4029-A0E7-38BEF3D80CA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0" i="16"/>
  <c r="C22" i="16" s="1"/>
  <c r="D43" i="14" s="1"/>
  <c r="C18" i="15"/>
  <c r="C20" i="15" s="1"/>
  <c r="D40" i="14" s="1"/>
  <c r="C10" i="13"/>
  <c r="C12" i="13" s="1"/>
  <c r="C56" i="22"/>
  <c r="C58" i="22" s="1"/>
  <c r="D49" i="14" s="1"/>
  <c r="D52" i="14" s="1"/>
  <c r="C29" i="20"/>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<sst xmlns="http://schemas.openxmlformats.org/spreadsheetml/2006/main" count="2422" uniqueCount="871">
  <si>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</si>
  <si>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</si>
  <si>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</si>
  <si>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</si>
  <si>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</si>
  <si>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</si>
  <si>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</si>
  <si>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</si>
  <si>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</si>
  <si>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</si>
  <si>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</si>
  <si>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</si>
  <si>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</si>
  <si>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</si>
  <si>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</si>
  <si>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</si>
  <si>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</si>
  <si>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</si>
  <si>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</si>
  <si>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</si>
  <si>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</si>
  <si>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</si>
  <si>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</si>
  <si>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</si>
  <si>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</si>
  <si>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</si>
  <si>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</si>
  <si>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</si>
  <si>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</si>
  <si>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</si>
  <si>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</si>
  <si>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</si>
  <si>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</si>
  <si>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</si>
  <si>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</si>
  <si>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</si>
  <si>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</si>
  <si>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</si>
  <si>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</si>
  <si>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</si>
  <si>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</si>
  <si>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</si>
  <si>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</si>
  <si>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</si>
  <si>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</si>
  <si>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</si>
  <si>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</si>
  <si>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</si>
  <si>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</si>
  <si>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</si>
  <si>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</si>
  <si>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</si>
  <si>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</si>
  <si>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</si>
  <si>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</si>
  <si>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</si>
  <si>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</si>
  <si>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</si>
  <si>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</si>
  <si>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</si>
  <si>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</si>
  <si>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</si>
  <si>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</si>
  <si>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</si>
  <si>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</si>
  <si>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</si>
  <si>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</si>
  <si>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</si>
  <si>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</si>
  <si>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</si>
  <si>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</si>
  <si>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</si>
  <si>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</si>
  <si>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</si>
  <si>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</si>
  <si>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</si>
  <si>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</si>
  <si>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</si>
  <si>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</si>
  <si>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</si>
  <si>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</si>
  <si>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</si>
  <si>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</si>
  <si>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</si>
  <si>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</si>
  <si>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</si>
  <si>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</si>
  <si>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</si>
  <si>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</si>
  <si>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</si>
  <si>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</si>
  <si>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</si>
  <si>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</si>
  <si>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</si>
  <si>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</si>
  <si>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</si>
  <si>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</si>
  <si>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</si>
  <si>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</si>
  <si>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</si>
  <si>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</si>
  <si>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</si>
  <si>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</si>
  <si>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</si>
  <si>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</si>
  <si>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</si>
  <si>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</si>
  <si>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</si>
  <si>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</si>
  <si>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</si>
  <si>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</si>
  <si>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</si>
  <si>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</si>
  <si>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</si>
  <si>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</si>
  <si>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</si>
  <si>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</si>
  <si>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</si>
  <si>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</si>
  <si>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</si>
  <si>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</si>
  <si>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</si>
  <si>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</si>
  <si>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</si>
  <si>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</si>
  <si>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</si>
  <si>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</si>
  <si>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</si>
  <si>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</si>
  <si>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</si>
  <si>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</si>
  <si>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</si>
  <si>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</si>
  <si>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</si>
  <si>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</si>
  <si>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</si>
  <si>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</si>
  <si>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</si>
  <si>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</si>
  <si>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</si>
  <si>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</si>
  <si>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</si>
  <si>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</si>
  <si>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</si>
  <si>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</si>
  <si>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</si>
  <si>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</si>
  <si>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</si>
  <si>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</si>
  <si>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</si>
  <si>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</si>
  <si>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</si>
  <si>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</si>
  <si>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</si>
  <si>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</si>
  <si>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</si>
  <si>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</si>
  <si>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</si>
  <si>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</si>
  <si>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</si>
  <si>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</si>
  <si>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</si>
  <si>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</si>
  <si>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</si>
  <si>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</si>
  <si>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</si>
  <si>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</si>
  <si>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</si>
  <si>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</si>
  <si>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</si>
  <si>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</si>
  <si>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</si>
  <si>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</si>
  <si>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</si>
  <si>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</si>
  <si>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</si>
  <si>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</si>
  <si>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</si>
  <si>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</si>
  <si>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</si>
  <si>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</si>
  <si>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</si>
  <si>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</si>
  <si>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</si>
  <si>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</si>
  <si>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</si>
  <si>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</si>
  <si>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</si>
  <si>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</si>
  <si>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</si>
  <si>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</si>
  <si>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</si>
  <si>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</si>
  <si>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</si>
  <si>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</si>
  <si>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</si>
  <si>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</si>
  <si>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</si>
  <si>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</si>
  <si>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</si>
  <si>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</si>
  <si>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</si>
  <si>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</si>
  <si>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</si>
  <si>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</si>
  <si>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</si>
  <si>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</si>
  <si>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</si>
  <si>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</si>
  <si>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</si>
  <si>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</si>
  <si>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</si>
  <si>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</si>
  <si>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</si>
  <si>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</si>
  <si>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</si>
  <si>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</si>
  <si>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</si>
  <si>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</si>
  <si>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</si>
  <si>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</si>
  <si>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</si>
  <si>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</si>
  <si>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</si>
  <si>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</si>
  <si>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</si>
  <si>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</si>
  <si>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</si>
  <si>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</si>
  <si>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</si>
  <si>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</si>
  <si>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</si>
  <si>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</si>
  <si>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</si>
  <si>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</si>
  <si>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</si>
  <si>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</si>
  <si>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</si>
  <si>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</si>
  <si>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</si>
  <si>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</si>
  <si>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</si>
  <si>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</si>
  <si>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</si>
  <si>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</si>
  <si>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</si>
  <si>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</si>
  <si>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</si>
  <si>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</si>
  <si>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</si>
  <si>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</si>
  <si>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</si>
  <si>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</si>
  <si>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</si>
  <si>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</si>
  <si>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</si>
  <si>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</si>
  <si>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</si>
  <si>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</si>
  <si>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</si>
  <si>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</si>
  <si>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</si>
  <si>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</si>
  <si>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</si>
  <si>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</si>
  <si>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</si>
  <si>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</si>
  <si>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</si>
  <si>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</si>
  <si>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</si>
  <si>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</si>
  <si>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</si>
  <si>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</si>
  <si>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</si>
  <si>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</si>
  <si>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</si>
  <si>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</si>
  <si>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</si>
  <si>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</si>
  <si>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</si>
  <si>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</si>
  <si>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</si>
  <si>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</si>
  <si>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</si>
  <si>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</si>
  <si>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</si>
  <si>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</si>
  <si>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</si>
  <si>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</si>
  <si>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</si>
  <si>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</si>
  <si>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</si>
  <si>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</si>
  <si>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</si>
  <si>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</si>
  <si>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</si>
  <si>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</si>
  <si>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</si>
  <si>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</si>
  <si>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</si>
  <si>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</si>
  <si>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</si>
  <si>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</si>
  <si>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</si>
  <si>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</si>
  <si>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</si>
  <si>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</si>
  <si>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</si>
  <si>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</si>
  <si>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</si>
  <si>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</si>
  <si>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</si>
  <si>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</si>
  <si>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</si>
  <si>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</si>
  <si>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</si>
  <si>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</si>
  <si>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</si>
  <si>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</si>
  <si>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</si>
  <si>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</si>
  <si>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</si>
  <si>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</si>
  <si>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</si>
  <si>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</si>
  <si>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</si>
  <si>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</si>
  <si>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</si>
  <si>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</si>
  <si>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</si>
  <si>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</si>
  <si>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</si>
  <si>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</si>
  <si>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</si>
  <si>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</si>
  <si>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</si>
  <si>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</si>
  <si>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</si>
  <si>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</si>
  <si>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</si>
  <si>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</si>
  <si>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</si>
  <si>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</si>
  <si>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</si>
  <si>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</si>
  <si>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</si>
  <si>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</si>
  <si>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</si>
  <si>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</si>
  <si>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</si>
  <si>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</si>
  <si>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</si>
  <si>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</si>
  <si>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</si>
  <si>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</si>
  <si>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</si>
  <si>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</si>
  <si>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</si>
  <si>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</si>
  <si>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</si>
  <si>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</si>
  <si>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</si>
  <si>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</si>
  <si>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</si>
  <si>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</si>
  <si>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</si>
  <si>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</si>
  <si>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</si>
  <si>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</si>
  <si>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</si>
  <si>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</si>
  <si>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</si>
  <si>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</si>
  <si>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</si>
  <si>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</si>
  <si>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</si>
  <si>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</si>
  <si>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</si>
  <si>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</si>
  <si>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</si>
  <si>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</si>
  <si>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</si>
  <si>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</si>
  <si>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</si>
  <si>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</si>
  <si>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</si>
  <si>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</si>
  <si>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</si>
  <si>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</si>
  <si>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</si>
  <si>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</si>
  <si>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</si>
  <si>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</si>
  <si>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</si>
  <si>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</si>
  <si>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</si>
  <si>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</si>
  <si>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</si>
  <si>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</si>
  <si>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</si>
  <si>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</si>
  <si>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</si>
  <si>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</si>
  <si>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</si>
  <si>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</si>
  <si>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</si>
  <si>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</si>
  <si>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</si>
  <si>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</si>
  <si>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</si>
  <si>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</si>
  <si>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</si>
  <si>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</si>
  <si>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</si>
  <si>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</si>
  <si>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</si>
  <si>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</si>
  <si>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</si>
  <si>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</si>
  <si>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</si>
  <si>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</si>
  <si>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</si>
  <si>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</si>
  <si>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</si>
  <si>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</si>
  <si>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</si>
  <si>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</si>
  <si>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</si>
  <si>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</si>
  <si>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</si>
  <si>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</si>
  <si>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</si>
  <si>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</si>
  <si>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</si>
  <si>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</si>
  <si>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</si>
  <si>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</si>
  <si>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</si>
  <si>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</si>
  <si>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</si>
  <si>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</si>
  <si>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</si>
  <si>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</si>
  <si>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</si>
  <si>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</si>
  <si>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</si>
  <si>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</si>
  <si>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</si>
  <si>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</si>
  <si>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</si>
  <si>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</si>
  <si>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</si>
  <si>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</si>
  <si>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</si>
  <si>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</si>
  <si>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</si>
  <si>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</si>
  <si>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</si>
  <si>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</si>
  <si>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</si>
  <si>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</si>
  <si>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</si>
  <si>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</si>
  <si>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</si>
  <si>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</si>
  <si>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</si>
  <si>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</si>
  <si>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</si>
  <si>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</si>
  <si>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</si>
  <si>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</si>
  <si>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</si>
  <si>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</si>
  <si>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</si>
  <si>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</si>
  <si>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</si>
  <si>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</si>
  <si>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</si>
  <si>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</si>
  <si>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</si>
  <si>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</si>
  <si>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</si>
  <si>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</si>
  <si>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</si>
  <si>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</si>
  <si>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</si>
  <si>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</si>
  <si>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</si>
  <si>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</si>
  <si>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</si>
  <si>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</si>
  <si>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</si>
  <si>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</si>
  <si>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</si>
  <si>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</si>
  <si>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</si>
  <si>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</si>
  <si>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</si>
  <si>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</si>
  <si>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</si>
  <si>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</si>
  <si>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</si>
  <si>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</si>
  <si>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</si>
  <si>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</si>
  <si>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</si>
  <si>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</si>
  <si>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</si>
  <si>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</si>
  <si>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</si>
  <si>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</si>
  <si>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</si>
  <si>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</si>
  <si>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</si>
  <si>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</si>
  <si>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</si>
  <si>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</si>
  <si>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</si>
  <si>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</si>
  <si>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</si>
  <si>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</si>
  <si>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</si>
  <si>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</si>
  <si>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</si>
  <si>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</si>
  <si>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</si>
  <si>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</si>
  <si>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</si>
  <si>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</si>
  <si>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</si>
  <si>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</si>
  <si>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</si>
  <si>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</si>
  <si>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</si>
  <si>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</si>
  <si>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</si>
  <si>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</si>
  <si>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</si>
  <si>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</si>
  <si>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</si>
  <si>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</si>
  <si>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</si>
  <si>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</si>
  <si>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</si>
  <si>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</si>
  <si>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</si>
  <si>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</si>
  <si>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</si>
  <si>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</si>
  <si>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</si>
  <si>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</si>
  <si>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</si>
  <si>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</si>
  <si>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</si>
  <si>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</si>
  <si>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</si>
  <si>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</si>
  <si>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</si>
  <si>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</si>
  <si>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</si>
  <si>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</si>
  <si>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</si>
  <si>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</si>
  <si>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</si>
  <si>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</si>
  <si>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</si>
  <si>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</si>
  <si>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</si>
  <si>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</si>
  <si>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</si>
  <si>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</si>
  <si>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</si>
  <si>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</si>
  <si>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</si>
  <si>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</si>
  <si>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</si>
  <si>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</si>
  <si>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</si>
  <si>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</si>
  <si>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</si>
  <si>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</si>
  <si>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</si>
  <si>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</si>
  <si>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</si>
  <si>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</si>
  <si>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</si>
  <si>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</si>
  <si>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</si>
  <si>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</si>
  <si>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</si>
  <si>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</si>
  <si>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</si>
  <si>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</si>
  <si>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</si>
  <si>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</si>
  <si>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</si>
  <si>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</si>
  <si>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</si>
  <si>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</si>
  <si>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</si>
  <si>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</si>
  <si>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</si>
  <si>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</si>
  <si>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</si>
  <si>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</si>
  <si>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</si>
  <si>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</si>
  <si>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</si>
  <si>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</si>
  <si>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</si>
  <si>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</si>
  <si>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</si>
  <si>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</si>
  <si>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</si>
  <si>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</si>
  <si>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</si>
  <si>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</si>
  <si>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</si>
  <si>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</si>
  <si>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</si>
  <si>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</si>
  <si>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</si>
  <si>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</si>
  <si>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</si>
  <si>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</si>
  <si>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</si>
  <si>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</si>
  <si>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</si>
  <si>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</si>
  <si>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</si>
  <si>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</si>
  <si>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</si>
  <si>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</si>
  <si>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</si>
  <si>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</si>
  <si>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</si>
  <si>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</si>
  <si>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</si>
  <si>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</si>
  <si>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</si>
  <si>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</si>
  <si>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</si>
  <si>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</si>
  <si>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</si>
  <si>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</si>
  <si>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</si>
  <si>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</si>
  <si>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</si>
  <si>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</si>
  <si>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</si>
  <si>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</si>
  <si>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</si>
  <si>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</si>
  <si>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</si>
  <si>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</si>
  <si>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</si>
  <si>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</si>
  <si>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</si>
  <si>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</si>
  <si>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</si>
  <si>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</si>
  <si>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</si>
  <si>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</si>
  <si>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</si>
  <si>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</si>
  <si>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</si>
  <si>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</si>
  <si>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</si>
  <si>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</si>
  <si>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</si>
  <si>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</si>
  <si>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</si>
  <si>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</si>
  <si>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</si>
  <si>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</si>
  <si>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</si>
  <si>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</si>
  <si>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</si>
  <si>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</si>
  <si>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</si>
  <si>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</si>
  <si>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</si>
  <si>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</si>
  <si>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</si>
  <si>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</si>
  <si>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</si>
  <si>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</si>
  <si>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</si>
  <si>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</si>
  <si>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</si>
  <si>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</si>
  <si>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</si>
  <si>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</si>
  <si>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</si>
  <si>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</si>
  <si>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</si>
  <si>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</si>
  <si>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</si>
  <si>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</si>
  <si>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</si>
  <si>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</si>
  <si>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</si>
  <si>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</si>
  <si>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</si>
  <si>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</si>
  <si>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</si>
  <si>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</si>
  <si>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</si>
  <si>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</si>
  <si>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</si>
  <si>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</si>
  <si>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</si>
  <si>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</si>
  <si>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</si>
  <si>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</si>
  <si>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</si>
  <si>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</si>
  <si>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</si>
  <si>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</si>
  <si>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</si>
  <si>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</si>
  <si>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</si>
  <si>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</si>
  <si>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</si>
  <si>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</si>
  <si>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</si>
  <si>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</si>
  <si>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</si>
  <si>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</si>
  <si>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</si>
  <si>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</si>
  <si>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</si>
  <si>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</si>
  <si>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</si>
  <si>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</si>
  <si>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</si>
  <si>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</si>
  <si>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</si>
  <si>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</si>
  <si>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</si>
  <si>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</si>
  <si>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</si>
  <si>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</si>
  <si>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</si>
  <si>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</si>
  <si>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</si>
  <si>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</si>
  <si>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</si>
  <si>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</si>
  <si>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</si>
  <si>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</si>
  <si>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</si>
  <si>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</si>
  <si>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</si>
  <si>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</si>
  <si>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</si>
  <si>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</si>
  <si>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</si>
  <si>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</si>
  <si>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</si>
  <si>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</si>
  <si>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</si>
  <si>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</si>
  <si>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</si>
  <si>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</si>
  <si>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</si>
  <si>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</si>
  <si>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</si>
  <si>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</si>
  <si>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</si>
  <si>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</si>
  <si>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</si>
  <si>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</si>
  <si>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</si>
  <si>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</si>
  <si>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</si>
  <si>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</si>
  <si>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</si>
  <si>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</si>
  <si>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</si>
  <si>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</si>
  <si>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</si>
  <si>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</si>
  <si>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</si>
  <si>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</si>
  <si>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</si>
  <si>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</si>
  <si>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</si>
  <si>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</si>
  <si>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</si>
  <si>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</si>
  <si>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</si>
  <si>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</si>
  <si>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</si>
  <si>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</si>
  <si>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</si>
  <si>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</si>
  <si>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</si>
  <si>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</si>
  <si>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</si>
  <si>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</si>
  <si>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</si>
  <si>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</si>
  <si>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</si>
  <si>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</si>
  <si>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</si>
  <si>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</si>
  <si>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</si>
  <si>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</si>
  <si>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</si>
  <si>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</si>
  <si>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</si>
  <si>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</si>
  <si>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</si>
  <si>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</si>
  <si>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</si>
  <si>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</si>
  <si>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</si>
  <si>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</si>
  <si>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</si>
  <si>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</si>
  <si>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</si>
  <si>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</si>
  <si>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</si>
  <si>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</si>
  <si>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</si>
  <si>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</si>
  <si>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</si>
  <si>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</si>
  <si>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</si>
  <si>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</si>
  <si>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</si>
  <si>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</si>
  <si>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</si>
  <si>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</si>
  <si>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</si>
  <si>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</si>
  <si>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</si>
  <si>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</si>
  <si>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</si>
  <si>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</si>
  <si>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</si>
  <si>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</si>
  <si>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</si>
  <si>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</si>
  <si>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</si>
  <si>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</si>
  <si>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</si>
  <si>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</si>
  <si>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</si>
  <si>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</si>
  <si>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</si>
  <si>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</si>
  <si>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</si>
  <si>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</si>
  <si>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</si>
  <si>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</si>
  <si>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</si>
  <si>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</si>
  <si>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</si>
  <si>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</si>
  <si>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</si>
  <si>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</si>
  <si>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</si>
  <si>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24041</t>
  </si>
  <si>
    <t>HOEGAARDEN</t>
  </si>
  <si>
    <t>referentietaak LNE (2017); Jaarverslag De Lijn</t>
  </si>
  <si>
    <t>waterkracht</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</si>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</sst>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309B47D5-9604-4F80-A9D8-624844EFBE0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57964.145052402906</c:v>
                </c:pt>
                <c:pt idx="1">
                  <c:v>12687.756204390655</c:v>
                </c:pt>
                <c:pt idx="2">
                  <c:v>270.279</c:v>
                </c:pt>
                <c:pt idx="3">
                  <c:v>2869.6124783996083</c:v>
                </c:pt>
                <c:pt idx="4">
                  <c:v>45334.950197188125</c:v>
                </c:pt>
                <c:pt idx="5">
                  <c:v>129172.83727748303</c:v>
                </c:pt>
                <c:pt idx="6">
                  <c:v>395.53018841185917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57964.145052402906</c:v>
                </c:pt>
                <c:pt idx="1">
                  <c:v>12687.756204390655</c:v>
                </c:pt>
                <c:pt idx="2">
                  <c:v>270.279</c:v>
                </c:pt>
                <c:pt idx="3">
                  <c:v>2869.6124783996083</c:v>
                </c:pt>
                <c:pt idx="4">
                  <c:v>45334.950197188125</c:v>
                </c:pt>
                <c:pt idx="5">
                  <c:v>129172.83727748303</c:v>
                </c:pt>
                <c:pt idx="6">
                  <c:v>395.53018841185917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11644.789828802233</c:v>
                </c:pt>
                <c:pt idx="1">
                  <c:v>2529.2306003761682</c:v>
                </c:pt>
                <c:pt idx="2">
                  <c:v>52.979641810268504</c:v>
                </c:pt>
                <c:pt idx="3">
                  <c:v>724.15682611721684</c:v>
                </c:pt>
                <c:pt idx="4">
                  <c:v>9016.5710272221495</c:v>
                </c:pt>
                <c:pt idx="5">
                  <c:v>32068.061919970038</c:v>
                </c:pt>
                <c:pt idx="6">
                  <c:v>99.539657320891465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11644.789828802233</c:v>
                </c:pt>
                <c:pt idx="1">
                  <c:v>2529.2306003761682</c:v>
                </c:pt>
                <c:pt idx="2">
                  <c:v>52.979641810268504</c:v>
                </c:pt>
                <c:pt idx="3">
                  <c:v>724.15682611721684</c:v>
                </c:pt>
                <c:pt idx="4">
                  <c:v>9016.5710272221495</c:v>
                </c:pt>
                <c:pt idx="5">
                  <c:v>32068.061919970038</c:v>
                </c:pt>
                <c:pt idx="6">
                  <c:v>99.539657320891465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24041</v>
      </c>
      <c r="B6" s="384"/>
      <c r="C6" s="385"/>
    </row>
    <row r="7" spans="1:7" s="382" customFormat="1" ht="15.75" customHeight="1">
      <c r="A7" s="386" t="str">
        <f>txtMunicipality</f>
        <v>HOEGAARDEN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4701.2727398190236</v>
      </c>
      <c r="D10" s="681">
        <f ca="1">tertiair!C16</f>
        <v>0</v>
      </c>
      <c r="E10" s="681">
        <f ca="1">tertiair!D16</f>
        <v>7179.8253193860437</v>
      </c>
      <c r="F10" s="681">
        <f>tertiair!E16</f>
        <v>17.267692168221178</v>
      </c>
      <c r="G10" s="681">
        <f ca="1">tertiair!F16</f>
        <v>773.14009427308849</v>
      </c>
      <c r="H10" s="681">
        <f>tertiair!G16</f>
        <v>0</v>
      </c>
      <c r="I10" s="681">
        <f>tertiair!H16</f>
        <v>0</v>
      </c>
      <c r="J10" s="681">
        <f>tertiair!I16</f>
        <v>0</v>
      </c>
      <c r="K10" s="681">
        <f>tertiair!J16</f>
        <v>4.6963014087029074E-3</v>
      </c>
      <c r="L10" s="681">
        <f>tertiair!K16</f>
        <v>0</v>
      </c>
      <c r="M10" s="681">
        <f ca="1">tertiair!L16</f>
        <v>0</v>
      </c>
      <c r="N10" s="681">
        <f>tertiair!M16</f>
        <v>0</v>
      </c>
      <c r="O10" s="681">
        <f ca="1">tertiair!N16</f>
        <v>181.44638582987935</v>
      </c>
      <c r="P10" s="681">
        <f>tertiair!O16</f>
        <v>0</v>
      </c>
      <c r="Q10" s="682">
        <f>tertiair!P16</f>
        <v>105.07827661299004</v>
      </c>
      <c r="R10" s="684">
        <f ca="1">SUM(C10:Q10)</f>
        <v>12958.035204390655</v>
      </c>
      <c r="S10" s="67"/>
    </row>
    <row r="11" spans="1:19" s="443" customFormat="1">
      <c r="A11" s="802" t="s">
        <v>214</v>
      </c>
      <c r="B11" s="807"/>
      <c r="C11" s="681">
        <f>huishoudens!B8</f>
        <v>11388.030819591582</v>
      </c>
      <c r="D11" s="681">
        <f>huishoudens!C8</f>
        <v>0</v>
      </c>
      <c r="E11" s="681">
        <f>huishoudens!D8</f>
        <v>29042.230776745499</v>
      </c>
      <c r="F11" s="681">
        <f>huishoudens!E8</f>
        <v>579.38655613936101</v>
      </c>
      <c r="G11" s="681">
        <f>huishoudens!F8</f>
        <v>12692.3925872809</v>
      </c>
      <c r="H11" s="681">
        <f>huishoudens!G8</f>
        <v>0</v>
      </c>
      <c r="I11" s="681">
        <f>huishoudens!H8</f>
        <v>0</v>
      </c>
      <c r="J11" s="681">
        <f>huishoudens!I8</f>
        <v>0</v>
      </c>
      <c r="K11" s="681">
        <f>huishoudens!J8</f>
        <v>72.335333569592265</v>
      </c>
      <c r="L11" s="681">
        <f>huishoudens!K8</f>
        <v>0</v>
      </c>
      <c r="M11" s="681">
        <f>huishoudens!L8</f>
        <v>0</v>
      </c>
      <c r="N11" s="681">
        <f>huishoudens!M8</f>
        <v>0</v>
      </c>
      <c r="O11" s="681">
        <f>huishoudens!N8</f>
        <v>3645.8779117901913</v>
      </c>
      <c r="P11" s="681">
        <f>huishoudens!O8</f>
        <v>164.66853220912364</v>
      </c>
      <c r="Q11" s="682">
        <f>huishoudens!P8</f>
        <v>379.22253507666085</v>
      </c>
      <c r="R11" s="684">
        <f>SUM(C11:Q11)</f>
        <v>57964.145052402906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14367.450458699939</v>
      </c>
      <c r="D13" s="681">
        <f>industrie!C18</f>
        <v>1060.7142857142858</v>
      </c>
      <c r="E13" s="681">
        <f>industrie!D18</f>
        <v>27438.653853334457</v>
      </c>
      <c r="F13" s="681">
        <f>industrie!E18</f>
        <v>32.96222922528213</v>
      </c>
      <c r="G13" s="681">
        <f>industrie!F18</f>
        <v>2435.0950652831798</v>
      </c>
      <c r="H13" s="681">
        <f>industrie!G18</f>
        <v>0</v>
      </c>
      <c r="I13" s="681">
        <f>industrie!H18</f>
        <v>0</v>
      </c>
      <c r="J13" s="681">
        <f>industrie!I18</f>
        <v>0</v>
      </c>
      <c r="K13" s="681">
        <f>industrie!J18</f>
        <v>7.4304930972114602E-2</v>
      </c>
      <c r="L13" s="681">
        <f>industrie!K18</f>
        <v>0</v>
      </c>
      <c r="M13" s="681">
        <f>industrie!L18</f>
        <v>0</v>
      </c>
      <c r="N13" s="681">
        <f>industrie!M18</f>
        <v>0</v>
      </c>
      <c r="O13" s="681">
        <f>industrie!N18</f>
        <v>0</v>
      </c>
      <c r="P13" s="681">
        <f>industrie!O18</f>
        <v>0</v>
      </c>
      <c r="Q13" s="682">
        <f>industrie!P18</f>
        <v>0</v>
      </c>
      <c r="R13" s="684">
        <f>SUM(C13:Q13)</f>
        <v>45334.950197188125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30456.754018110543</v>
      </c>
      <c r="D16" s="717">
        <f t="shared" ref="D16:R16" ca="1" si="0">SUM(D9:D15)</f>
        <v>1060.7142857142858</v>
      </c>
      <c r="E16" s="717">
        <f t="shared" ca="1" si="0"/>
        <v>63660.709949466</v>
      </c>
      <c r="F16" s="717">
        <f t="shared" si="0"/>
        <v>629.61647753286434</v>
      </c>
      <c r="G16" s="717">
        <f t="shared" ca="1" si="0"/>
        <v>15900.627746837168</v>
      </c>
      <c r="H16" s="717">
        <f t="shared" si="0"/>
        <v>0</v>
      </c>
      <c r="I16" s="717">
        <f t="shared" si="0"/>
        <v>0</v>
      </c>
      <c r="J16" s="717">
        <f t="shared" si="0"/>
        <v>0</v>
      </c>
      <c r="K16" s="717">
        <f t="shared" si="0"/>
        <v>72.414334801973084</v>
      </c>
      <c r="L16" s="717">
        <f t="shared" si="0"/>
        <v>0</v>
      </c>
      <c r="M16" s="717">
        <f t="shared" ca="1" si="0"/>
        <v>0</v>
      </c>
      <c r="N16" s="717">
        <f t="shared" si="0"/>
        <v>0</v>
      </c>
      <c r="O16" s="717">
        <f t="shared" ca="1" si="0"/>
        <v>3827.3242976200709</v>
      </c>
      <c r="P16" s="717">
        <f t="shared" si="0"/>
        <v>164.66853220912364</v>
      </c>
      <c r="Q16" s="717">
        <f t="shared" si="0"/>
        <v>484.30081168965091</v>
      </c>
      <c r="R16" s="717">
        <f t="shared" ca="1" si="0"/>
        <v>116257.13045398169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5.8860804793010235</v>
      </c>
      <c r="D19" s="681">
        <f>transport!C54</f>
        <v>0</v>
      </c>
      <c r="E19" s="681">
        <f>transport!D54</f>
        <v>0</v>
      </c>
      <c r="F19" s="681">
        <f>transport!E54</f>
        <v>0</v>
      </c>
      <c r="G19" s="681">
        <f>transport!F54</f>
        <v>0</v>
      </c>
      <c r="H19" s="681">
        <f>transport!G54</f>
        <v>368.48643287182023</v>
      </c>
      <c r="I19" s="681">
        <f>transport!H54</f>
        <v>0</v>
      </c>
      <c r="J19" s="681">
        <f>transport!I54</f>
        <v>0</v>
      </c>
      <c r="K19" s="681">
        <f>transport!J54</f>
        <v>0</v>
      </c>
      <c r="L19" s="681">
        <f>transport!K54</f>
        <v>0</v>
      </c>
      <c r="M19" s="681">
        <f>transport!L54</f>
        <v>0</v>
      </c>
      <c r="N19" s="681">
        <f>transport!M54</f>
        <v>21.157675060737905</v>
      </c>
      <c r="O19" s="681">
        <f>transport!N54</f>
        <v>0</v>
      </c>
      <c r="P19" s="681">
        <f>transport!O54</f>
        <v>0</v>
      </c>
      <c r="Q19" s="682">
        <f>transport!P54</f>
        <v>0</v>
      </c>
      <c r="R19" s="684">
        <f>SUM(C19:Q19)</f>
        <v>395.53018841185917</v>
      </c>
      <c r="S19" s="67"/>
    </row>
    <row r="20" spans="1:19" s="443" customFormat="1">
      <c r="A20" s="802" t="s">
        <v>296</v>
      </c>
      <c r="B20" s="807"/>
      <c r="C20" s="681">
        <f>transport!B14</f>
        <v>306.65530842828991</v>
      </c>
      <c r="D20" s="681">
        <f>transport!C14</f>
        <v>0</v>
      </c>
      <c r="E20" s="681">
        <f>transport!D14</f>
        <v>460.85103860805975</v>
      </c>
      <c r="F20" s="681">
        <f>transport!E14</f>
        <v>213.53029871986396</v>
      </c>
      <c r="G20" s="681">
        <f>transport!F14</f>
        <v>0</v>
      </c>
      <c r="H20" s="681">
        <f>transport!G14</f>
        <v>97463.46206720655</v>
      </c>
      <c r="I20" s="681">
        <f>transport!H14</f>
        <v>23468.450581902409</v>
      </c>
      <c r="J20" s="681">
        <f>transport!I14</f>
        <v>0</v>
      </c>
      <c r="K20" s="681">
        <f>transport!J14</f>
        <v>0</v>
      </c>
      <c r="L20" s="681">
        <f>transport!K14</f>
        <v>0</v>
      </c>
      <c r="M20" s="681">
        <f>transport!L14</f>
        <v>0</v>
      </c>
      <c r="N20" s="681">
        <f>transport!M14</f>
        <v>7259.8879826178654</v>
      </c>
      <c r="O20" s="681">
        <f>transport!N14</f>
        <v>0</v>
      </c>
      <c r="P20" s="681">
        <f>transport!O14</f>
        <v>0</v>
      </c>
      <c r="Q20" s="682">
        <f>transport!P14</f>
        <v>0</v>
      </c>
      <c r="R20" s="684">
        <f>SUM(C20:Q20)</f>
        <v>129172.83727748303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312.54138890759094</v>
      </c>
      <c r="D22" s="805">
        <f t="shared" ref="D22:R22" si="1">SUM(D18:D21)</f>
        <v>0</v>
      </c>
      <c r="E22" s="805">
        <f t="shared" si="1"/>
        <v>460.85103860805975</v>
      </c>
      <c r="F22" s="805">
        <f t="shared" si="1"/>
        <v>213.53029871986396</v>
      </c>
      <c r="G22" s="805">
        <f t="shared" si="1"/>
        <v>0</v>
      </c>
      <c r="H22" s="805">
        <f t="shared" si="1"/>
        <v>97831.948500078375</v>
      </c>
      <c r="I22" s="805">
        <f t="shared" si="1"/>
        <v>23468.450581902409</v>
      </c>
      <c r="J22" s="805">
        <f t="shared" si="1"/>
        <v>0</v>
      </c>
      <c r="K22" s="805">
        <f t="shared" si="1"/>
        <v>0</v>
      </c>
      <c r="L22" s="805">
        <f t="shared" si="1"/>
        <v>0</v>
      </c>
      <c r="M22" s="805">
        <f t="shared" si="1"/>
        <v>0</v>
      </c>
      <c r="N22" s="805">
        <f t="shared" si="1"/>
        <v>7281.0456576786037</v>
      </c>
      <c r="O22" s="805">
        <f t="shared" si="1"/>
        <v>0</v>
      </c>
      <c r="P22" s="805">
        <f t="shared" si="1"/>
        <v>0</v>
      </c>
      <c r="Q22" s="805">
        <f t="shared" si="1"/>
        <v>0</v>
      </c>
      <c r="R22" s="805">
        <f t="shared" si="1"/>
        <v>129568.36746589489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604.22901020500706</v>
      </c>
      <c r="D24" s="681">
        <f>+landbouw!C8</f>
        <v>0</v>
      </c>
      <c r="E24" s="681">
        <f>+landbouw!D8</f>
        <v>181.76393967042779</v>
      </c>
      <c r="F24" s="681">
        <f>+landbouw!E8</f>
        <v>17.30614139496323</v>
      </c>
      <c r="G24" s="681">
        <f>+landbouw!F8</f>
        <v>1912.6769240703113</v>
      </c>
      <c r="H24" s="681">
        <f>+landbouw!G8</f>
        <v>0</v>
      </c>
      <c r="I24" s="681">
        <f>+landbouw!H8</f>
        <v>0</v>
      </c>
      <c r="J24" s="681">
        <f>+landbouw!I8</f>
        <v>0</v>
      </c>
      <c r="K24" s="681">
        <f>+landbouw!J8</f>
        <v>153.63646305889893</v>
      </c>
      <c r="L24" s="681">
        <f>+landbouw!K8</f>
        <v>0</v>
      </c>
      <c r="M24" s="681">
        <f>+landbouw!L8</f>
        <v>0</v>
      </c>
      <c r="N24" s="681">
        <f>+landbouw!M8</f>
        <v>0</v>
      </c>
      <c r="O24" s="681">
        <f>+landbouw!N8</f>
        <v>0</v>
      </c>
      <c r="P24" s="681">
        <f>+landbouw!O8</f>
        <v>0</v>
      </c>
      <c r="Q24" s="682">
        <f>+landbouw!P8</f>
        <v>0</v>
      </c>
      <c r="R24" s="684">
        <f>SUM(C24:Q24)</f>
        <v>2869.6124783996083</v>
      </c>
      <c r="S24" s="67"/>
    </row>
    <row r="25" spans="1:19" s="443" customFormat="1" ht="15" thickBot="1">
      <c r="A25" s="824" t="s">
        <v>690</v>
      </c>
      <c r="B25" s="937"/>
      <c r="C25" s="938">
        <f>IF(Onbekend_ele_kWh="---",0,Onbekend_ele_kWh)/1000+IF(REST_rest_ele_kWh="---",0,REST_rest_ele_kWh)/1000</f>
        <v>197.24353088073102</v>
      </c>
      <c r="D25" s="938"/>
      <c r="E25" s="938">
        <f>IF(onbekend_gas_kWh="---",0,onbekend_gas_kWh)/1000+IF(REST_rest_gas_kWh="---",0,REST_rest_gas_kWh)/1000</f>
        <v>595.14510709383092</v>
      </c>
      <c r="F25" s="938"/>
      <c r="G25" s="938"/>
      <c r="H25" s="938"/>
      <c r="I25" s="938"/>
      <c r="J25" s="938"/>
      <c r="K25" s="938"/>
      <c r="L25" s="938"/>
      <c r="M25" s="938"/>
      <c r="N25" s="938"/>
      <c r="O25" s="938"/>
      <c r="P25" s="938"/>
      <c r="Q25" s="939"/>
      <c r="R25" s="684">
        <f>SUM(C25:Q25)</f>
        <v>792.3886379745619</v>
      </c>
      <c r="S25" s="67"/>
    </row>
    <row r="26" spans="1:19" s="443" customFormat="1" ht="15.75" thickBot="1">
      <c r="A26" s="689" t="s">
        <v>691</v>
      </c>
      <c r="B26" s="810"/>
      <c r="C26" s="805">
        <f>SUM(C24:C25)</f>
        <v>801.47254108573804</v>
      </c>
      <c r="D26" s="805">
        <f t="shared" ref="D26:R26" si="2">SUM(D24:D25)</f>
        <v>0</v>
      </c>
      <c r="E26" s="805">
        <f t="shared" si="2"/>
        <v>776.90904676425873</v>
      </c>
      <c r="F26" s="805">
        <f t="shared" si="2"/>
        <v>17.30614139496323</v>
      </c>
      <c r="G26" s="805">
        <f t="shared" si="2"/>
        <v>1912.6769240703113</v>
      </c>
      <c r="H26" s="805">
        <f t="shared" si="2"/>
        <v>0</v>
      </c>
      <c r="I26" s="805">
        <f t="shared" si="2"/>
        <v>0</v>
      </c>
      <c r="J26" s="805">
        <f t="shared" si="2"/>
        <v>0</v>
      </c>
      <c r="K26" s="805">
        <f t="shared" si="2"/>
        <v>153.63646305889893</v>
      </c>
      <c r="L26" s="805">
        <f t="shared" si="2"/>
        <v>0</v>
      </c>
      <c r="M26" s="805">
        <f t="shared" si="2"/>
        <v>0</v>
      </c>
      <c r="N26" s="805">
        <f t="shared" si="2"/>
        <v>0</v>
      </c>
      <c r="O26" s="805">
        <f t="shared" si="2"/>
        <v>0</v>
      </c>
      <c r="P26" s="805">
        <f t="shared" si="2"/>
        <v>0</v>
      </c>
      <c r="Q26" s="805">
        <f t="shared" si="2"/>
        <v>0</v>
      </c>
      <c r="R26" s="805">
        <f t="shared" si="2"/>
        <v>3662.0011163741701</v>
      </c>
      <c r="S26" s="67"/>
    </row>
    <row r="27" spans="1:19" s="443" customFormat="1" ht="17.25" thickTop="1" thickBot="1">
      <c r="A27" s="690" t="s">
        <v>109</v>
      </c>
      <c r="B27" s="797"/>
      <c r="C27" s="691">
        <f ca="1">C22+C16+C26</f>
        <v>31570.767948103872</v>
      </c>
      <c r="D27" s="691">
        <f t="shared" ref="D27:R27" ca="1" si="3">D22+D16+D26</f>
        <v>1060.7142857142858</v>
      </c>
      <c r="E27" s="691">
        <f t="shared" ca="1" si="3"/>
        <v>64898.470034838319</v>
      </c>
      <c r="F27" s="691">
        <f t="shared" si="3"/>
        <v>860.45291764769149</v>
      </c>
      <c r="G27" s="691">
        <f t="shared" ca="1" si="3"/>
        <v>17813.304670907481</v>
      </c>
      <c r="H27" s="691">
        <f t="shared" si="3"/>
        <v>97831.948500078375</v>
      </c>
      <c r="I27" s="691">
        <f t="shared" si="3"/>
        <v>23468.450581902409</v>
      </c>
      <c r="J27" s="691">
        <f t="shared" si="3"/>
        <v>0</v>
      </c>
      <c r="K27" s="691">
        <f t="shared" si="3"/>
        <v>226.05079786087202</v>
      </c>
      <c r="L27" s="691">
        <f t="shared" si="3"/>
        <v>0</v>
      </c>
      <c r="M27" s="691">
        <f t="shared" ca="1" si="3"/>
        <v>0</v>
      </c>
      <c r="N27" s="691">
        <f t="shared" si="3"/>
        <v>7281.0456576786037</v>
      </c>
      <c r="O27" s="691">
        <f t="shared" ca="1" si="3"/>
        <v>3827.3242976200709</v>
      </c>
      <c r="P27" s="691">
        <f t="shared" si="3"/>
        <v>164.66853220912364</v>
      </c>
      <c r="Q27" s="691">
        <f t="shared" si="3"/>
        <v>484.30081168965091</v>
      </c>
      <c r="R27" s="691">
        <f t="shared" ca="1" si="3"/>
        <v>249487.49903625075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921.53569388665596</v>
      </c>
      <c r="D40" s="681">
        <f ca="1">tertiair!C20</f>
        <v>0</v>
      </c>
      <c r="E40" s="681">
        <f ca="1">tertiair!D20</f>
        <v>1450.324714515981</v>
      </c>
      <c r="F40" s="681">
        <f>tertiair!E20</f>
        <v>3.9197661221862075</v>
      </c>
      <c r="G40" s="681">
        <f ca="1">tertiair!F20</f>
        <v>206.42840517091463</v>
      </c>
      <c r="H40" s="681">
        <f>tertiair!G20</f>
        <v>0</v>
      </c>
      <c r="I40" s="681">
        <f>tertiair!H20</f>
        <v>0</v>
      </c>
      <c r="J40" s="681">
        <f>tertiair!I20</f>
        <v>0</v>
      </c>
      <c r="K40" s="681">
        <f>tertiair!J20</f>
        <v>1.6624906986808291E-3</v>
      </c>
      <c r="L40" s="681">
        <f>tertiair!K20</f>
        <v>0</v>
      </c>
      <c r="M40" s="681">
        <f ca="1">tertiair!L20</f>
        <v>0</v>
      </c>
      <c r="N40" s="681">
        <f>tertiair!M20</f>
        <v>0</v>
      </c>
      <c r="O40" s="681">
        <f ca="1">tertiair!N20</f>
        <v>0</v>
      </c>
      <c r="P40" s="681">
        <f>tertiair!O20</f>
        <v>0</v>
      </c>
      <c r="Q40" s="764">
        <f>tertiair!P20</f>
        <v>0</v>
      </c>
      <c r="R40" s="843">
        <f t="shared" ca="1" si="4"/>
        <v>2582.2102421864365</v>
      </c>
    </row>
    <row r="41" spans="1:18">
      <c r="A41" s="815" t="s">
        <v>214</v>
      </c>
      <c r="B41" s="822"/>
      <c r="C41" s="681">
        <f ca="1">huishoudens!B12</f>
        <v>2232.2629347683705</v>
      </c>
      <c r="D41" s="681">
        <f ca="1">huishoudens!C12</f>
        <v>0</v>
      </c>
      <c r="E41" s="681">
        <f>huishoudens!D12</f>
        <v>5866.5306169025907</v>
      </c>
      <c r="F41" s="681">
        <f>huishoudens!E12</f>
        <v>131.52074824363496</v>
      </c>
      <c r="G41" s="681">
        <f>huishoudens!F12</f>
        <v>3388.8688208040003</v>
      </c>
      <c r="H41" s="681">
        <f>huishoudens!G12</f>
        <v>0</v>
      </c>
      <c r="I41" s="681">
        <f>huishoudens!H12</f>
        <v>0</v>
      </c>
      <c r="J41" s="681">
        <f>huishoudens!I12</f>
        <v>0</v>
      </c>
      <c r="K41" s="681">
        <f>huishoudens!J12</f>
        <v>25.60670808363566</v>
      </c>
      <c r="L41" s="681">
        <f>huishoudens!K12</f>
        <v>0</v>
      </c>
      <c r="M41" s="681">
        <f>huishoudens!L12</f>
        <v>0</v>
      </c>
      <c r="N41" s="681">
        <f>huishoudens!M12</f>
        <v>0</v>
      </c>
      <c r="O41" s="681">
        <f>huishoudens!N12</f>
        <v>0</v>
      </c>
      <c r="P41" s="681">
        <f>huishoudens!O12</f>
        <v>0</v>
      </c>
      <c r="Q41" s="764">
        <f>huishoudens!P12</f>
        <v>0</v>
      </c>
      <c r="R41" s="843">
        <f t="shared" ca="1" si="4"/>
        <v>11644.789828802233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2816.2838364382756</v>
      </c>
      <c r="D43" s="681">
        <f ca="1">industrie!C22</f>
        <v>0</v>
      </c>
      <c r="E43" s="681">
        <f>industrie!D22</f>
        <v>5542.6080783735606</v>
      </c>
      <c r="F43" s="681">
        <f>industrie!E22</f>
        <v>7.4824260341390438</v>
      </c>
      <c r="G43" s="681">
        <f>industrie!F22</f>
        <v>650.17038243060904</v>
      </c>
      <c r="H43" s="681">
        <f>industrie!G22</f>
        <v>0</v>
      </c>
      <c r="I43" s="681">
        <f>industrie!H22</f>
        <v>0</v>
      </c>
      <c r="J43" s="681">
        <f>industrie!I22</f>
        <v>0</v>
      </c>
      <c r="K43" s="681">
        <f>industrie!J22</f>
        <v>2.6303945564128569E-2</v>
      </c>
      <c r="L43" s="681">
        <f>industrie!K22</f>
        <v>0</v>
      </c>
      <c r="M43" s="681">
        <f>industrie!L22</f>
        <v>0</v>
      </c>
      <c r="N43" s="681">
        <f>industrie!M22</f>
        <v>0</v>
      </c>
      <c r="O43" s="681">
        <f>industrie!N22</f>
        <v>0</v>
      </c>
      <c r="P43" s="681">
        <f>industrie!O22</f>
        <v>0</v>
      </c>
      <c r="Q43" s="764">
        <f>industrie!P22</f>
        <v>0</v>
      </c>
      <c r="R43" s="842">
        <f t="shared" ca="1" si="4"/>
        <v>9016.5710272221495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5970.0824650933027</v>
      </c>
      <c r="D46" s="717">
        <f t="shared" ref="D46:Q46" ca="1" si="5">SUM(D39:D45)</f>
        <v>0</v>
      </c>
      <c r="E46" s="717">
        <f t="shared" ca="1" si="5"/>
        <v>12859.463409792133</v>
      </c>
      <c r="F46" s="717">
        <f t="shared" si="5"/>
        <v>142.92294039996023</v>
      </c>
      <c r="G46" s="717">
        <f t="shared" ca="1" si="5"/>
        <v>4245.4676084055236</v>
      </c>
      <c r="H46" s="717">
        <f t="shared" si="5"/>
        <v>0</v>
      </c>
      <c r="I46" s="717">
        <f t="shared" si="5"/>
        <v>0</v>
      </c>
      <c r="J46" s="717">
        <f t="shared" si="5"/>
        <v>0</v>
      </c>
      <c r="K46" s="717">
        <f t="shared" si="5"/>
        <v>25.634674519898468</v>
      </c>
      <c r="L46" s="717">
        <f t="shared" si="5"/>
        <v>0</v>
      </c>
      <c r="M46" s="717">
        <f t="shared" ca="1" si="5"/>
        <v>0</v>
      </c>
      <c r="N46" s="717">
        <f t="shared" si="5"/>
        <v>0</v>
      </c>
      <c r="O46" s="717">
        <f t="shared" ca="1" si="5"/>
        <v>0</v>
      </c>
      <c r="P46" s="717">
        <f t="shared" si="5"/>
        <v>0</v>
      </c>
      <c r="Q46" s="717">
        <f t="shared" si="5"/>
        <v>0</v>
      </c>
      <c r="R46" s="717">
        <f ca="1">SUM(R39:R45)</f>
        <v>23243.571098210821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1.1537797441154576</v>
      </c>
      <c r="D49" s="681">
        <f ca="1">transport!C58</f>
        <v>0</v>
      </c>
      <c r="E49" s="681">
        <f>transport!D58</f>
        <v>0</v>
      </c>
      <c r="F49" s="681">
        <f>transport!E58</f>
        <v>0</v>
      </c>
      <c r="G49" s="681">
        <f>transport!F58</f>
        <v>0</v>
      </c>
      <c r="H49" s="681">
        <f>transport!G58</f>
        <v>98.385877576776011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99.539657320891465</v>
      </c>
    </row>
    <row r="50" spans="1:18">
      <c r="A50" s="818" t="s">
        <v>296</v>
      </c>
      <c r="B50" s="828"/>
      <c r="C50" s="687">
        <f ca="1">transport!B18</f>
        <v>60.11006552395196</v>
      </c>
      <c r="D50" s="687">
        <f>transport!C18</f>
        <v>0</v>
      </c>
      <c r="E50" s="687">
        <f>transport!D18</f>
        <v>93.09190979882807</v>
      </c>
      <c r="F50" s="687">
        <f>transport!E18</f>
        <v>48.47137780940912</v>
      </c>
      <c r="G50" s="687">
        <f>transport!F18</f>
        <v>0</v>
      </c>
      <c r="H50" s="687">
        <f>transport!G18</f>
        <v>26022.744371944151</v>
      </c>
      <c r="I50" s="687">
        <f>transport!H18</f>
        <v>5843.6441948936999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32068.061919970038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61.263845268067421</v>
      </c>
      <c r="D52" s="717">
        <f t="shared" ref="D52:Q52" ca="1" si="6">SUM(D48:D51)</f>
        <v>0</v>
      </c>
      <c r="E52" s="717">
        <f t="shared" si="6"/>
        <v>93.09190979882807</v>
      </c>
      <c r="F52" s="717">
        <f t="shared" si="6"/>
        <v>48.47137780940912</v>
      </c>
      <c r="G52" s="717">
        <f t="shared" si="6"/>
        <v>0</v>
      </c>
      <c r="H52" s="717">
        <f t="shared" si="6"/>
        <v>26121.130249520927</v>
      </c>
      <c r="I52" s="717">
        <f t="shared" si="6"/>
        <v>5843.6441948936999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32167.60157729093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118.43996955751037</v>
      </c>
      <c r="D54" s="687">
        <f ca="1">+landbouw!C12</f>
        <v>0</v>
      </c>
      <c r="E54" s="687">
        <f>+landbouw!D12</f>
        <v>36.716315813426412</v>
      </c>
      <c r="F54" s="687">
        <f>+landbouw!E12</f>
        <v>3.9284940966566535</v>
      </c>
      <c r="G54" s="687">
        <f>+landbouw!F12</f>
        <v>510.68473872677316</v>
      </c>
      <c r="H54" s="687">
        <f>+landbouw!G12</f>
        <v>0</v>
      </c>
      <c r="I54" s="687">
        <f>+landbouw!H12</f>
        <v>0</v>
      </c>
      <c r="J54" s="687">
        <f>+landbouw!I12</f>
        <v>0</v>
      </c>
      <c r="K54" s="687">
        <f>+landbouw!J12</f>
        <v>54.387307922850219</v>
      </c>
      <c r="L54" s="687">
        <f>+landbouw!K12</f>
        <v>0</v>
      </c>
      <c r="M54" s="687">
        <f>+landbouw!L12</f>
        <v>0</v>
      </c>
      <c r="N54" s="687">
        <f>+landbouw!M12</f>
        <v>0</v>
      </c>
      <c r="O54" s="687">
        <f>+landbouw!N12</f>
        <v>0</v>
      </c>
      <c r="P54" s="687">
        <f>+landbouw!O12</f>
        <v>0</v>
      </c>
      <c r="Q54" s="688">
        <f>+landbouw!P12</f>
        <v>0</v>
      </c>
      <c r="R54" s="716">
        <f ca="1">SUM(C54:Q54)</f>
        <v>724.15682611721684</v>
      </c>
    </row>
    <row r="55" spans="1:18" ht="15" thickBot="1">
      <c r="A55" s="818" t="s">
        <v>690</v>
      </c>
      <c r="B55" s="828"/>
      <c r="C55" s="687">
        <f ca="1">C25*'EF ele_warmte'!B12</f>
        <v>38.663350150969045</v>
      </c>
      <c r="D55" s="687"/>
      <c r="E55" s="687">
        <f>E25*EF_CO2_aardgas</f>
        <v>120.21931163295385</v>
      </c>
      <c r="F55" s="687"/>
      <c r="G55" s="687"/>
      <c r="H55" s="687"/>
      <c r="I55" s="687"/>
      <c r="J55" s="687"/>
      <c r="K55" s="687"/>
      <c r="L55" s="687"/>
      <c r="M55" s="687"/>
      <c r="N55" s="687"/>
      <c r="O55" s="687"/>
      <c r="P55" s="687"/>
      <c r="Q55" s="688"/>
      <c r="R55" s="716">
        <f ca="1">SUM(C55:Q55)</f>
        <v>158.88266178392288</v>
      </c>
    </row>
    <row r="56" spans="1:18" ht="15.75" thickBot="1">
      <c r="A56" s="816" t="s">
        <v>691</v>
      </c>
      <c r="B56" s="829"/>
      <c r="C56" s="717">
        <f ca="1">SUM(C54:C55)</f>
        <v>157.1033197084794</v>
      </c>
      <c r="D56" s="717">
        <f t="shared" ref="D56:Q56" ca="1" si="7">SUM(D54:D55)</f>
        <v>0</v>
      </c>
      <c r="E56" s="717">
        <f t="shared" si="7"/>
        <v>156.93562744638027</v>
      </c>
      <c r="F56" s="717">
        <f t="shared" si="7"/>
        <v>3.9284940966566535</v>
      </c>
      <c r="G56" s="717">
        <f t="shared" si="7"/>
        <v>510.68473872677316</v>
      </c>
      <c r="H56" s="717">
        <f t="shared" si="7"/>
        <v>0</v>
      </c>
      <c r="I56" s="717">
        <f t="shared" si="7"/>
        <v>0</v>
      </c>
      <c r="J56" s="717">
        <f t="shared" si="7"/>
        <v>0</v>
      </c>
      <c r="K56" s="717">
        <f t="shared" si="7"/>
        <v>54.387307922850219</v>
      </c>
      <c r="L56" s="717">
        <f t="shared" si="7"/>
        <v>0</v>
      </c>
      <c r="M56" s="717">
        <f t="shared" si="7"/>
        <v>0</v>
      </c>
      <c r="N56" s="717">
        <f t="shared" si="7"/>
        <v>0</v>
      </c>
      <c r="O56" s="717">
        <f t="shared" si="7"/>
        <v>0</v>
      </c>
      <c r="P56" s="717">
        <f t="shared" si="7"/>
        <v>0</v>
      </c>
      <c r="Q56" s="718">
        <f t="shared" si="7"/>
        <v>0</v>
      </c>
      <c r="R56" s="719">
        <f ca="1">SUM(R54:R55)</f>
        <v>883.03948790113975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6188.4496300698502</v>
      </c>
      <c r="D61" s="725">
        <f t="shared" ref="D61:Q61" ca="1" si="8">D46+D52+D56</f>
        <v>0</v>
      </c>
      <c r="E61" s="725">
        <f t="shared" ca="1" si="8"/>
        <v>13109.490947037342</v>
      </c>
      <c r="F61" s="725">
        <f t="shared" si="8"/>
        <v>195.32281230602601</v>
      </c>
      <c r="G61" s="725">
        <f t="shared" ca="1" si="8"/>
        <v>4756.1523471322971</v>
      </c>
      <c r="H61" s="725">
        <f t="shared" si="8"/>
        <v>26121.130249520927</v>
      </c>
      <c r="I61" s="725">
        <f t="shared" si="8"/>
        <v>5843.6441948936999</v>
      </c>
      <c r="J61" s="725">
        <f t="shared" si="8"/>
        <v>0</v>
      </c>
      <c r="K61" s="725">
        <f t="shared" si="8"/>
        <v>80.02198244274868</v>
      </c>
      <c r="L61" s="725">
        <f t="shared" si="8"/>
        <v>0</v>
      </c>
      <c r="M61" s="725">
        <f t="shared" ca="1" si="8"/>
        <v>0</v>
      </c>
      <c r="N61" s="725">
        <f t="shared" si="8"/>
        <v>0</v>
      </c>
      <c r="O61" s="725">
        <f t="shared" ca="1" si="8"/>
        <v>0</v>
      </c>
      <c r="P61" s="725">
        <f t="shared" si="8"/>
        <v>0</v>
      </c>
      <c r="Q61" s="725">
        <f t="shared" si="8"/>
        <v>0</v>
      </c>
      <c r="R61" s="725">
        <f ca="1">R46+R52+R56</f>
        <v>56294.212163402888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0.19601834330550474</v>
      </c>
      <c r="D63" s="771">
        <f t="shared" ca="1" si="9"/>
        <v>0</v>
      </c>
      <c r="E63" s="963">
        <f t="shared" ca="1" si="9"/>
        <v>0.20200000000000004</v>
      </c>
      <c r="F63" s="771">
        <f t="shared" si="9"/>
        <v>0.22700000000000004</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33.273467383512546</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2792.9599555174273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742.5</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873.52941176470586</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3568.7334229009398</v>
      </c>
      <c r="C78" s="743">
        <f>SUM(C72:C77)</f>
        <v>0</v>
      </c>
      <c r="D78" s="744">
        <f t="shared" ref="D78:H78" si="10">SUM(D76:D77)</f>
        <v>0</v>
      </c>
      <c r="E78" s="744">
        <f t="shared" si="10"/>
        <v>0</v>
      </c>
      <c r="F78" s="744">
        <f t="shared" si="10"/>
        <v>0</v>
      </c>
      <c r="G78" s="744">
        <f t="shared" si="10"/>
        <v>0</v>
      </c>
      <c r="H78" s="744">
        <f t="shared" si="10"/>
        <v>0</v>
      </c>
      <c r="I78" s="744">
        <f>SUM(I76:I77)</f>
        <v>0</v>
      </c>
      <c r="J78" s="744">
        <f>SUM(J76:J77)</f>
        <v>873.52941176470586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1060.7142857142858</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1247.8991596638657</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1060.7142857142858</v>
      </c>
      <c r="C90" s="743">
        <f>SUM(C87:C89)</f>
        <v>0</v>
      </c>
      <c r="D90" s="743">
        <f t="shared" ref="D90:H90" si="12">SUM(D87:D89)</f>
        <v>0</v>
      </c>
      <c r="E90" s="743">
        <f t="shared" si="12"/>
        <v>0</v>
      </c>
      <c r="F90" s="743">
        <f t="shared" si="12"/>
        <v>0</v>
      </c>
      <c r="G90" s="743">
        <f t="shared" si="12"/>
        <v>0</v>
      </c>
      <c r="H90" s="743">
        <f t="shared" si="12"/>
        <v>0</v>
      </c>
      <c r="I90" s="743">
        <f>SUM(I87:I89)</f>
        <v>0</v>
      </c>
      <c r="J90" s="743">
        <f>SUM(J87:J89)</f>
        <v>1247.8991596638657</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11388.030819591582</v>
      </c>
      <c r="C4" s="447">
        <f>huishoudens!C8</f>
        <v>0</v>
      </c>
      <c r="D4" s="447">
        <f>huishoudens!D8</f>
        <v>29042.230776745499</v>
      </c>
      <c r="E4" s="447">
        <f>huishoudens!E8</f>
        <v>579.38655613936101</v>
      </c>
      <c r="F4" s="447">
        <f>huishoudens!F8</f>
        <v>12692.3925872809</v>
      </c>
      <c r="G4" s="447">
        <f>huishoudens!G8</f>
        <v>0</v>
      </c>
      <c r="H4" s="447">
        <f>huishoudens!H8</f>
        <v>0</v>
      </c>
      <c r="I4" s="447">
        <f>huishoudens!I8</f>
        <v>0</v>
      </c>
      <c r="J4" s="447">
        <f>huishoudens!J8</f>
        <v>72.335333569592265</v>
      </c>
      <c r="K4" s="447">
        <f>huishoudens!K8</f>
        <v>0</v>
      </c>
      <c r="L4" s="447">
        <f>huishoudens!L8</f>
        <v>0</v>
      </c>
      <c r="M4" s="447">
        <f>huishoudens!M8</f>
        <v>0</v>
      </c>
      <c r="N4" s="447">
        <f>huishoudens!N8</f>
        <v>3645.8779117901913</v>
      </c>
      <c r="O4" s="447">
        <f>huishoudens!O8</f>
        <v>164.66853220912364</v>
      </c>
      <c r="P4" s="448">
        <f>huishoudens!P8</f>
        <v>379.22253507666085</v>
      </c>
      <c r="Q4" s="449">
        <f>SUM(B4:P4)</f>
        <v>57964.145052402906</v>
      </c>
    </row>
    <row r="5" spans="1:17">
      <c r="A5" s="446" t="s">
        <v>149</v>
      </c>
      <c r="B5" s="447">
        <f ca="1">tertiair!B16</f>
        <v>4430.9937398190232</v>
      </c>
      <c r="C5" s="447">
        <f ca="1">tertiair!C16</f>
        <v>0</v>
      </c>
      <c r="D5" s="447">
        <f ca="1">tertiair!D16</f>
        <v>7179.8253193860437</v>
      </c>
      <c r="E5" s="447">
        <f>tertiair!E16</f>
        <v>17.267692168221178</v>
      </c>
      <c r="F5" s="447">
        <f ca="1">tertiair!F16</f>
        <v>773.14009427308849</v>
      </c>
      <c r="G5" s="447">
        <f>tertiair!G16</f>
        <v>0</v>
      </c>
      <c r="H5" s="447">
        <f>tertiair!H16</f>
        <v>0</v>
      </c>
      <c r="I5" s="447">
        <f>tertiair!I16</f>
        <v>0</v>
      </c>
      <c r="J5" s="447">
        <f>tertiair!J16</f>
        <v>4.6963014087029074E-3</v>
      </c>
      <c r="K5" s="447">
        <f>tertiair!K16</f>
        <v>0</v>
      </c>
      <c r="L5" s="447">
        <f ca="1">tertiair!L16</f>
        <v>0</v>
      </c>
      <c r="M5" s="447">
        <f>tertiair!M16</f>
        <v>0</v>
      </c>
      <c r="N5" s="447">
        <f ca="1">tertiair!N16</f>
        <v>181.44638582987935</v>
      </c>
      <c r="O5" s="447">
        <f>tertiair!O16</f>
        <v>0</v>
      </c>
      <c r="P5" s="448">
        <f>tertiair!P16</f>
        <v>105.07827661299004</v>
      </c>
      <c r="Q5" s="446">
        <f t="shared" ref="Q5:Q14" ca="1" si="0">SUM(B5:P5)</f>
        <v>12687.756204390655</v>
      </c>
    </row>
    <row r="6" spans="1:17">
      <c r="A6" s="446" t="s">
        <v>187</v>
      </c>
      <c r="B6" s="447">
        <f>'openbare verlichting'!B8</f>
        <v>270.279</v>
      </c>
      <c r="C6" s="447"/>
      <c r="D6" s="447"/>
      <c r="E6" s="447"/>
      <c r="F6" s="447"/>
      <c r="G6" s="447"/>
      <c r="H6" s="447"/>
      <c r="I6" s="447"/>
      <c r="J6" s="447"/>
      <c r="K6" s="447"/>
      <c r="L6" s="447"/>
      <c r="M6" s="447"/>
      <c r="N6" s="447"/>
      <c r="O6" s="447"/>
      <c r="P6" s="448"/>
      <c r="Q6" s="446">
        <f t="shared" si="0"/>
        <v>270.279</v>
      </c>
    </row>
    <row r="7" spans="1:17">
      <c r="A7" s="446" t="s">
        <v>105</v>
      </c>
      <c r="B7" s="447">
        <f>landbouw!B8</f>
        <v>604.22901020500706</v>
      </c>
      <c r="C7" s="447">
        <f>landbouw!C8</f>
        <v>0</v>
      </c>
      <c r="D7" s="447">
        <f>landbouw!D8</f>
        <v>181.76393967042779</v>
      </c>
      <c r="E7" s="447">
        <f>landbouw!E8</f>
        <v>17.30614139496323</v>
      </c>
      <c r="F7" s="447">
        <f>landbouw!F8</f>
        <v>1912.6769240703113</v>
      </c>
      <c r="G7" s="447">
        <f>landbouw!G8</f>
        <v>0</v>
      </c>
      <c r="H7" s="447">
        <f>landbouw!H8</f>
        <v>0</v>
      </c>
      <c r="I7" s="447">
        <f>landbouw!I8</f>
        <v>0</v>
      </c>
      <c r="J7" s="447">
        <f>landbouw!J8</f>
        <v>153.63646305889893</v>
      </c>
      <c r="K7" s="447">
        <f>landbouw!K8</f>
        <v>0</v>
      </c>
      <c r="L7" s="447">
        <f>landbouw!L8</f>
        <v>0</v>
      </c>
      <c r="M7" s="447">
        <f>landbouw!M8</f>
        <v>0</v>
      </c>
      <c r="N7" s="447">
        <f>landbouw!N8</f>
        <v>0</v>
      </c>
      <c r="O7" s="447">
        <f>landbouw!O8</f>
        <v>0</v>
      </c>
      <c r="P7" s="448">
        <f>landbouw!P8</f>
        <v>0</v>
      </c>
      <c r="Q7" s="446">
        <f t="shared" si="0"/>
        <v>2869.6124783996083</v>
      </c>
    </row>
    <row r="8" spans="1:17">
      <c r="A8" s="446" t="s">
        <v>611</v>
      </c>
      <c r="B8" s="447">
        <f>industrie!B18</f>
        <v>14367.450458699939</v>
      </c>
      <c r="C8" s="447">
        <f>industrie!C18</f>
        <v>1060.7142857142858</v>
      </c>
      <c r="D8" s="447">
        <f>industrie!D18</f>
        <v>27438.653853334457</v>
      </c>
      <c r="E8" s="447">
        <f>industrie!E18</f>
        <v>32.96222922528213</v>
      </c>
      <c r="F8" s="447">
        <f>industrie!F18</f>
        <v>2435.0950652831798</v>
      </c>
      <c r="G8" s="447">
        <f>industrie!G18</f>
        <v>0</v>
      </c>
      <c r="H8" s="447">
        <f>industrie!H18</f>
        <v>0</v>
      </c>
      <c r="I8" s="447">
        <f>industrie!I18</f>
        <v>0</v>
      </c>
      <c r="J8" s="447">
        <f>industrie!J18</f>
        <v>7.4304930972114602E-2</v>
      </c>
      <c r="K8" s="447">
        <f>industrie!K18</f>
        <v>0</v>
      </c>
      <c r="L8" s="447">
        <f>industrie!L18</f>
        <v>0</v>
      </c>
      <c r="M8" s="447">
        <f>industrie!M18</f>
        <v>0</v>
      </c>
      <c r="N8" s="447">
        <f>industrie!N18</f>
        <v>0</v>
      </c>
      <c r="O8" s="447">
        <f>industrie!O18</f>
        <v>0</v>
      </c>
      <c r="P8" s="448">
        <f>industrie!P18</f>
        <v>0</v>
      </c>
      <c r="Q8" s="446">
        <f t="shared" si="0"/>
        <v>45334.950197188125</v>
      </c>
    </row>
    <row r="9" spans="1:17" s="452" customFormat="1">
      <c r="A9" s="450" t="s">
        <v>537</v>
      </c>
      <c r="B9" s="451">
        <f>transport!B14</f>
        <v>306.65530842828991</v>
      </c>
      <c r="C9" s="451">
        <f>transport!C14</f>
        <v>0</v>
      </c>
      <c r="D9" s="451">
        <f>transport!D14</f>
        <v>460.85103860805975</v>
      </c>
      <c r="E9" s="451">
        <f>transport!E14</f>
        <v>213.53029871986396</v>
      </c>
      <c r="F9" s="451">
        <f>transport!F14</f>
        <v>0</v>
      </c>
      <c r="G9" s="451">
        <f>transport!G14</f>
        <v>97463.46206720655</v>
      </c>
      <c r="H9" s="451">
        <f>transport!H14</f>
        <v>23468.450581902409</v>
      </c>
      <c r="I9" s="451">
        <f>transport!I14</f>
        <v>0</v>
      </c>
      <c r="J9" s="451">
        <f>transport!J14</f>
        <v>0</v>
      </c>
      <c r="K9" s="451">
        <f>transport!K14</f>
        <v>0</v>
      </c>
      <c r="L9" s="451">
        <f>transport!L14</f>
        <v>0</v>
      </c>
      <c r="M9" s="451">
        <f>transport!M14</f>
        <v>7259.8879826178654</v>
      </c>
      <c r="N9" s="451">
        <f>transport!N14</f>
        <v>0</v>
      </c>
      <c r="O9" s="451">
        <f>transport!O14</f>
        <v>0</v>
      </c>
      <c r="P9" s="451">
        <f>transport!P14</f>
        <v>0</v>
      </c>
      <c r="Q9" s="450">
        <f>SUM(B9:P9)</f>
        <v>129172.83727748303</v>
      </c>
    </row>
    <row r="10" spans="1:17">
      <c r="A10" s="446" t="s">
        <v>527</v>
      </c>
      <c r="B10" s="447">
        <f>transport!B54</f>
        <v>5.8860804793010235</v>
      </c>
      <c r="C10" s="447">
        <f>transport!C54</f>
        <v>0</v>
      </c>
      <c r="D10" s="447">
        <f>transport!D54</f>
        <v>0</v>
      </c>
      <c r="E10" s="447">
        <f>transport!E54</f>
        <v>0</v>
      </c>
      <c r="F10" s="447">
        <f>transport!F54</f>
        <v>0</v>
      </c>
      <c r="G10" s="447">
        <f>transport!G54</f>
        <v>368.48643287182023</v>
      </c>
      <c r="H10" s="447">
        <f>transport!H54</f>
        <v>0</v>
      </c>
      <c r="I10" s="447">
        <f>transport!I54</f>
        <v>0</v>
      </c>
      <c r="J10" s="447">
        <f>transport!J54</f>
        <v>0</v>
      </c>
      <c r="K10" s="447">
        <f>transport!K54</f>
        <v>0</v>
      </c>
      <c r="L10" s="447">
        <f>transport!L54</f>
        <v>0</v>
      </c>
      <c r="M10" s="447">
        <f>transport!M54</f>
        <v>21.157675060737905</v>
      </c>
      <c r="N10" s="447">
        <f>transport!N54</f>
        <v>0</v>
      </c>
      <c r="O10" s="447">
        <f>transport!O54</f>
        <v>0</v>
      </c>
      <c r="P10" s="448">
        <f>transport!P54</f>
        <v>0</v>
      </c>
      <c r="Q10" s="446">
        <f t="shared" si="0"/>
        <v>395.53018841185917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197.24353088073102</v>
      </c>
      <c r="C14" s="454"/>
      <c r="D14" s="454">
        <f>'SEAP template'!E25</f>
        <v>595.14510709383092</v>
      </c>
      <c r="E14" s="454"/>
      <c r="F14" s="454"/>
      <c r="G14" s="454"/>
      <c r="H14" s="454"/>
      <c r="I14" s="454"/>
      <c r="J14" s="454"/>
      <c r="K14" s="454"/>
      <c r="L14" s="454"/>
      <c r="M14" s="454"/>
      <c r="N14" s="454"/>
      <c r="O14" s="454"/>
      <c r="P14" s="455"/>
      <c r="Q14" s="446">
        <f t="shared" si="0"/>
        <v>792.3886379745619</v>
      </c>
    </row>
    <row r="15" spans="1:17" s="458" customFormat="1">
      <c r="A15" s="456" t="s">
        <v>531</v>
      </c>
      <c r="B15" s="457">
        <f ca="1">SUM(B4:B14)</f>
        <v>31570.767948103876</v>
      </c>
      <c r="C15" s="457">
        <f t="shared" ref="C15:Q15" ca="1" si="1">SUM(C4:C14)</f>
        <v>1060.7142857142858</v>
      </c>
      <c r="D15" s="457">
        <f t="shared" ca="1" si="1"/>
        <v>64898.470034838312</v>
      </c>
      <c r="E15" s="457">
        <f t="shared" si="1"/>
        <v>860.45291764769149</v>
      </c>
      <c r="F15" s="457">
        <f t="shared" ca="1" si="1"/>
        <v>17813.304670907477</v>
      </c>
      <c r="G15" s="457">
        <f t="shared" si="1"/>
        <v>97831.948500078375</v>
      </c>
      <c r="H15" s="457">
        <f t="shared" si="1"/>
        <v>23468.450581902409</v>
      </c>
      <c r="I15" s="457">
        <f t="shared" si="1"/>
        <v>0</v>
      </c>
      <c r="J15" s="457">
        <f t="shared" si="1"/>
        <v>226.05079786087202</v>
      </c>
      <c r="K15" s="457">
        <f t="shared" si="1"/>
        <v>0</v>
      </c>
      <c r="L15" s="457">
        <f t="shared" ca="1" si="1"/>
        <v>0</v>
      </c>
      <c r="M15" s="457">
        <f t="shared" si="1"/>
        <v>7281.0456576786037</v>
      </c>
      <c r="N15" s="457">
        <f t="shared" ca="1" si="1"/>
        <v>3827.3242976200709</v>
      </c>
      <c r="O15" s="457">
        <f t="shared" si="1"/>
        <v>164.66853220912364</v>
      </c>
      <c r="P15" s="457">
        <f t="shared" si="1"/>
        <v>484.30081168965091</v>
      </c>
      <c r="Q15" s="457">
        <f t="shared" ca="1" si="1"/>
        <v>249487.49903625072</v>
      </c>
    </row>
    <row r="17" spans="1:17">
      <c r="A17" s="459" t="s">
        <v>532</v>
      </c>
      <c r="B17" s="776">
        <f ca="1">huishoudens!B10</f>
        <v>0.19601834330550469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2232.2629347683705</v>
      </c>
      <c r="C22" s="447">
        <f t="shared" ref="C22:C32" ca="1" si="3">C4*$C$17</f>
        <v>0</v>
      </c>
      <c r="D22" s="447">
        <f t="shared" ref="D22:D32" si="4">D4*$D$17</f>
        <v>5866.5306169025907</v>
      </c>
      <c r="E22" s="447">
        <f t="shared" ref="E22:E32" si="5">E4*$E$17</f>
        <v>131.52074824363496</v>
      </c>
      <c r="F22" s="447">
        <f t="shared" ref="F22:F32" si="6">F4*$F$17</f>
        <v>3388.8688208040003</v>
      </c>
      <c r="G22" s="447">
        <f t="shared" ref="G22:G32" si="7">G4*$G$17</f>
        <v>0</v>
      </c>
      <c r="H22" s="447">
        <f t="shared" ref="H22:H32" si="8">H4*$H$17</f>
        <v>0</v>
      </c>
      <c r="I22" s="447">
        <f t="shared" ref="I22:I32" si="9">I4*$I$17</f>
        <v>0</v>
      </c>
      <c r="J22" s="447">
        <f t="shared" ref="J22:J32" si="10">J4*$J$17</f>
        <v>25.60670808363566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11644.789828802233</v>
      </c>
    </row>
    <row r="23" spans="1:17">
      <c r="A23" s="446" t="s">
        <v>149</v>
      </c>
      <c r="B23" s="447">
        <f t="shared" ca="1" si="2"/>
        <v>868.55605207638746</v>
      </c>
      <c r="C23" s="447">
        <f t="shared" ca="1" si="3"/>
        <v>0</v>
      </c>
      <c r="D23" s="447">
        <f t="shared" ca="1" si="4"/>
        <v>1450.324714515981</v>
      </c>
      <c r="E23" s="447">
        <f t="shared" si="5"/>
        <v>3.9197661221862075</v>
      </c>
      <c r="F23" s="447">
        <f t="shared" ca="1" si="6"/>
        <v>206.42840517091463</v>
      </c>
      <c r="G23" s="447">
        <f t="shared" si="7"/>
        <v>0</v>
      </c>
      <c r="H23" s="447">
        <f t="shared" si="8"/>
        <v>0</v>
      </c>
      <c r="I23" s="447">
        <f t="shared" si="9"/>
        <v>0</v>
      </c>
      <c r="J23" s="447">
        <f t="shared" si="10"/>
        <v>1.6624906986808291E-3</v>
      </c>
      <c r="K23" s="447">
        <f t="shared" si="11"/>
        <v>0</v>
      </c>
      <c r="L23" s="447">
        <f t="shared" ca="1" si="12"/>
        <v>0</v>
      </c>
      <c r="M23" s="447">
        <f t="shared" si="13"/>
        <v>0</v>
      </c>
      <c r="N23" s="447">
        <f t="shared" ca="1" si="14"/>
        <v>0</v>
      </c>
      <c r="O23" s="447">
        <f t="shared" si="15"/>
        <v>0</v>
      </c>
      <c r="P23" s="448">
        <f t="shared" si="16"/>
        <v>0</v>
      </c>
      <c r="Q23" s="446">
        <f t="shared" ref="Q23:Q31" ca="1" si="17">SUM(B23:P23)</f>
        <v>2529.2306003761682</v>
      </c>
    </row>
    <row r="24" spans="1:17">
      <c r="A24" s="446" t="s">
        <v>187</v>
      </c>
      <c r="B24" s="447">
        <f t="shared" ca="1" si="2"/>
        <v>52.979641810268504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52.979641810268504</v>
      </c>
    </row>
    <row r="25" spans="1:17">
      <c r="A25" s="446" t="s">
        <v>105</v>
      </c>
      <c r="B25" s="447">
        <f t="shared" ca="1" si="2"/>
        <v>118.43996955751037</v>
      </c>
      <c r="C25" s="447">
        <f t="shared" ca="1" si="3"/>
        <v>0</v>
      </c>
      <c r="D25" s="447">
        <f t="shared" si="4"/>
        <v>36.716315813426412</v>
      </c>
      <c r="E25" s="447">
        <f t="shared" si="5"/>
        <v>3.9284940966566535</v>
      </c>
      <c r="F25" s="447">
        <f t="shared" si="6"/>
        <v>510.68473872677316</v>
      </c>
      <c r="G25" s="447">
        <f t="shared" si="7"/>
        <v>0</v>
      </c>
      <c r="H25" s="447">
        <f t="shared" si="8"/>
        <v>0</v>
      </c>
      <c r="I25" s="447">
        <f t="shared" si="9"/>
        <v>0</v>
      </c>
      <c r="J25" s="447">
        <f t="shared" si="10"/>
        <v>54.387307922850219</v>
      </c>
      <c r="K25" s="447">
        <f t="shared" si="11"/>
        <v>0</v>
      </c>
      <c r="L25" s="447">
        <f t="shared" si="12"/>
        <v>0</v>
      </c>
      <c r="M25" s="447">
        <f t="shared" si="13"/>
        <v>0</v>
      </c>
      <c r="N25" s="447">
        <f t="shared" si="14"/>
        <v>0</v>
      </c>
      <c r="O25" s="447">
        <f t="shared" si="15"/>
        <v>0</v>
      </c>
      <c r="P25" s="448">
        <f t="shared" si="16"/>
        <v>0</v>
      </c>
      <c r="Q25" s="446">
        <f t="shared" ca="1" si="17"/>
        <v>724.15682611721684</v>
      </c>
    </row>
    <row r="26" spans="1:17">
      <c r="A26" s="446" t="s">
        <v>611</v>
      </c>
      <c r="B26" s="447">
        <f t="shared" ca="1" si="2"/>
        <v>2816.2838364382756</v>
      </c>
      <c r="C26" s="447">
        <f t="shared" ca="1" si="3"/>
        <v>0</v>
      </c>
      <c r="D26" s="447">
        <f t="shared" si="4"/>
        <v>5542.6080783735606</v>
      </c>
      <c r="E26" s="447">
        <f t="shared" si="5"/>
        <v>7.4824260341390438</v>
      </c>
      <c r="F26" s="447">
        <f t="shared" si="6"/>
        <v>650.17038243060904</v>
      </c>
      <c r="G26" s="447">
        <f t="shared" si="7"/>
        <v>0</v>
      </c>
      <c r="H26" s="447">
        <f t="shared" si="8"/>
        <v>0</v>
      </c>
      <c r="I26" s="447">
        <f t="shared" si="9"/>
        <v>0</v>
      </c>
      <c r="J26" s="447">
        <f t="shared" si="10"/>
        <v>2.6303945564128569E-2</v>
      </c>
      <c r="K26" s="447">
        <f t="shared" si="11"/>
        <v>0</v>
      </c>
      <c r="L26" s="447">
        <f t="shared" si="12"/>
        <v>0</v>
      </c>
      <c r="M26" s="447">
        <f t="shared" si="13"/>
        <v>0</v>
      </c>
      <c r="N26" s="447">
        <f t="shared" si="14"/>
        <v>0</v>
      </c>
      <c r="O26" s="447">
        <f t="shared" si="15"/>
        <v>0</v>
      </c>
      <c r="P26" s="448">
        <f t="shared" si="16"/>
        <v>0</v>
      </c>
      <c r="Q26" s="446">
        <f t="shared" ca="1" si="17"/>
        <v>9016.5710272221495</v>
      </c>
    </row>
    <row r="27" spans="1:17" s="452" customFormat="1">
      <c r="A27" s="450" t="s">
        <v>537</v>
      </c>
      <c r="B27" s="770">
        <f t="shared" ca="1" si="2"/>
        <v>60.11006552395196</v>
      </c>
      <c r="C27" s="451">
        <f t="shared" ca="1" si="3"/>
        <v>0</v>
      </c>
      <c r="D27" s="451">
        <f t="shared" si="4"/>
        <v>93.09190979882807</v>
      </c>
      <c r="E27" s="451">
        <f t="shared" si="5"/>
        <v>48.47137780940912</v>
      </c>
      <c r="F27" s="451">
        <f t="shared" si="6"/>
        <v>0</v>
      </c>
      <c r="G27" s="451">
        <f t="shared" si="7"/>
        <v>26022.744371944151</v>
      </c>
      <c r="H27" s="451">
        <f t="shared" si="8"/>
        <v>5843.6441948936999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32068.061919970038</v>
      </c>
    </row>
    <row r="28" spans="1:17" ht="16.5" customHeight="1">
      <c r="A28" s="446" t="s">
        <v>527</v>
      </c>
      <c r="B28" s="447">
        <f t="shared" ca="1" si="2"/>
        <v>1.1537797441154576</v>
      </c>
      <c r="C28" s="447">
        <f t="shared" ca="1" si="3"/>
        <v>0</v>
      </c>
      <c r="D28" s="447">
        <f t="shared" si="4"/>
        <v>0</v>
      </c>
      <c r="E28" s="447">
        <f t="shared" si="5"/>
        <v>0</v>
      </c>
      <c r="F28" s="447">
        <f t="shared" si="6"/>
        <v>0</v>
      </c>
      <c r="G28" s="447">
        <f t="shared" si="7"/>
        <v>98.385877576776011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99.539657320891465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38.663350150969045</v>
      </c>
      <c r="C32" s="447">
        <f t="shared" ca="1" si="3"/>
        <v>0</v>
      </c>
      <c r="D32" s="447">
        <f t="shared" si="4"/>
        <v>120.21931163295385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158.88266178392288</v>
      </c>
    </row>
    <row r="33" spans="1:17" s="458" customFormat="1">
      <c r="A33" s="456" t="s">
        <v>531</v>
      </c>
      <c r="B33" s="457">
        <f ca="1">SUM(B22:B32)</f>
        <v>6188.4496300698484</v>
      </c>
      <c r="C33" s="457">
        <f t="shared" ref="C33:Q33" ca="1" si="19">SUM(C22:C32)</f>
        <v>0</v>
      </c>
      <c r="D33" s="457">
        <f t="shared" ca="1" si="19"/>
        <v>13109.49094703734</v>
      </c>
      <c r="E33" s="457">
        <f t="shared" si="19"/>
        <v>195.32281230602601</v>
      </c>
      <c r="F33" s="457">
        <f t="shared" ca="1" si="19"/>
        <v>4756.1523471322971</v>
      </c>
      <c r="G33" s="457">
        <f t="shared" si="19"/>
        <v>26121.130249520927</v>
      </c>
      <c r="H33" s="457">
        <f t="shared" si="19"/>
        <v>5843.6441948936999</v>
      </c>
      <c r="I33" s="457">
        <f t="shared" si="19"/>
        <v>0</v>
      </c>
      <c r="J33" s="457">
        <f t="shared" si="19"/>
        <v>80.02198244274868</v>
      </c>
      <c r="K33" s="457">
        <f t="shared" si="19"/>
        <v>0</v>
      </c>
      <c r="L33" s="457">
        <f t="shared" ca="1" si="19"/>
        <v>0</v>
      </c>
      <c r="M33" s="457">
        <f t="shared" si="19"/>
        <v>0</v>
      </c>
      <c r="N33" s="457">
        <f t="shared" ca="1" si="19"/>
        <v>0</v>
      </c>
      <c r="O33" s="457">
        <f t="shared" si="19"/>
        <v>0</v>
      </c>
      <c r="P33" s="457">
        <f t="shared" si="19"/>
        <v>0</v>
      </c>
      <c r="Q33" s="457">
        <f t="shared" ca="1" si="19"/>
        <v>56294.212163402888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33.273467383512546</v>
      </c>
      <c r="C5" s="1014"/>
      <c r="D5" s="1014"/>
      <c r="E5" s="1014"/>
      <c r="F5" s="1014"/>
      <c r="G5" s="1014"/>
      <c r="H5" s="1014"/>
      <c r="I5" s="1014"/>
      <c r="J5" s="1014"/>
      <c r="K5" s="1014"/>
      <c r="L5" s="1014"/>
      <c r="M5" s="1014"/>
      <c r="N5" s="1014"/>
      <c r="O5" s="1014"/>
      <c r="P5" s="1015">
        <f>'SEAP template'!Q73</f>
        <v>0</v>
      </c>
    </row>
    <row r="6" spans="1:16">
      <c r="A6" s="1019" t="s">
        <v>240</v>
      </c>
      <c r="B6" s="1014">
        <f>'SEAP template'!B74</f>
        <v>2792.9599555174273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742.5</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873.52941176470586</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3568.7334229009398</v>
      </c>
      <c r="C10" s="1016">
        <f>SUM(C4:C9)</f>
        <v>0</v>
      </c>
      <c r="D10" s="1016">
        <f t="shared" ref="D10:H10" si="0">SUM(D8:D9)</f>
        <v>0</v>
      </c>
      <c r="E10" s="1016">
        <f t="shared" si="0"/>
        <v>0</v>
      </c>
      <c r="F10" s="1016">
        <f t="shared" si="0"/>
        <v>0</v>
      </c>
      <c r="G10" s="1016">
        <f t="shared" si="0"/>
        <v>0</v>
      </c>
      <c r="H10" s="1016">
        <f t="shared" si="0"/>
        <v>0</v>
      </c>
      <c r="I10" s="1016">
        <f>SUM(I8:I9)</f>
        <v>0</v>
      </c>
      <c r="J10" s="1016">
        <f>SUM(J8:J9)</f>
        <v>873.52941176470586</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0.19601834330550469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1060.7142857142858</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1247.8991596638657</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1060.7142857142858</v>
      </c>
      <c r="C20" s="1016">
        <f>SUM(C17:C19)</f>
        <v>0</v>
      </c>
      <c r="D20" s="1016">
        <f t="shared" ref="D20:H20" si="2">SUM(D17:D19)</f>
        <v>0</v>
      </c>
      <c r="E20" s="1016">
        <f t="shared" si="2"/>
        <v>0</v>
      </c>
      <c r="F20" s="1016">
        <f t="shared" si="2"/>
        <v>0</v>
      </c>
      <c r="G20" s="1016">
        <f t="shared" si="2"/>
        <v>0</v>
      </c>
      <c r="H20" s="1016">
        <f t="shared" si="2"/>
        <v>0</v>
      </c>
      <c r="I20" s="1016">
        <f>SUM(I17:I19)</f>
        <v>0</v>
      </c>
      <c r="J20" s="1016">
        <f>SUM(J17:J19)</f>
        <v>1247.8991596638657</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0.19601834330550469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0.19601834330550469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0.19601834330550469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2806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2560.6</v>
      </c>
      <c r="C14" s="326"/>
      <c r="D14" s="326"/>
      <c r="E14" s="326"/>
      <c r="F14" s="326"/>
    </row>
    <row r="15" spans="1:6">
      <c r="A15" s="1310" t="s">
        <v>177</v>
      </c>
      <c r="B15" s="1311">
        <v>4</v>
      </c>
      <c r="C15" s="326"/>
      <c r="D15" s="326"/>
      <c r="E15" s="326"/>
      <c r="F15" s="326"/>
    </row>
    <row r="16" spans="1:6">
      <c r="A16" s="1310" t="s">
        <v>6</v>
      </c>
      <c r="B16" s="1311">
        <v>68</v>
      </c>
      <c r="C16" s="326"/>
      <c r="D16" s="326"/>
      <c r="E16" s="326"/>
      <c r="F16" s="326"/>
    </row>
    <row r="17" spans="1:6">
      <c r="A17" s="1310" t="s">
        <v>7</v>
      </c>
      <c r="B17" s="1311">
        <v>352</v>
      </c>
      <c r="C17" s="326"/>
      <c r="D17" s="326"/>
      <c r="E17" s="326"/>
      <c r="F17" s="326"/>
    </row>
    <row r="18" spans="1:6">
      <c r="A18" s="1310" t="s">
        <v>8</v>
      </c>
      <c r="B18" s="1311">
        <v>388</v>
      </c>
      <c r="C18" s="326"/>
      <c r="D18" s="326"/>
      <c r="E18" s="326"/>
      <c r="F18" s="326"/>
    </row>
    <row r="19" spans="1:6">
      <c r="A19" s="1310" t="s">
        <v>9</v>
      </c>
      <c r="B19" s="1311">
        <v>429</v>
      </c>
      <c r="C19" s="326"/>
      <c r="D19" s="326"/>
      <c r="E19" s="326"/>
      <c r="F19" s="326"/>
    </row>
    <row r="20" spans="1:6">
      <c r="A20" s="1310" t="s">
        <v>10</v>
      </c>
      <c r="B20" s="1311">
        <v>177</v>
      </c>
      <c r="C20" s="326"/>
      <c r="D20" s="326"/>
      <c r="E20" s="326"/>
      <c r="F20" s="326"/>
    </row>
    <row r="21" spans="1:6">
      <c r="A21" s="1310" t="s">
        <v>11</v>
      </c>
      <c r="B21" s="1311">
        <v>1441</v>
      </c>
      <c r="C21" s="326"/>
      <c r="D21" s="326"/>
      <c r="E21" s="326"/>
      <c r="F21" s="326"/>
    </row>
    <row r="22" spans="1:6">
      <c r="A22" s="1310" t="s">
        <v>12</v>
      </c>
      <c r="B22" s="1311">
        <v>2740</v>
      </c>
      <c r="C22" s="326"/>
      <c r="D22" s="326"/>
      <c r="E22" s="326"/>
      <c r="F22" s="326"/>
    </row>
    <row r="23" spans="1:6">
      <c r="A23" s="1310" t="s">
        <v>13</v>
      </c>
      <c r="B23" s="1311">
        <v>55</v>
      </c>
      <c r="C23" s="326"/>
      <c r="D23" s="326"/>
      <c r="E23" s="326"/>
      <c r="F23" s="326"/>
    </row>
    <row r="24" spans="1:6">
      <c r="A24" s="1310" t="s">
        <v>14</v>
      </c>
      <c r="B24" s="1311">
        <v>2</v>
      </c>
      <c r="C24" s="326"/>
      <c r="D24" s="326"/>
      <c r="E24" s="326"/>
      <c r="F24" s="326"/>
    </row>
    <row r="25" spans="1:6">
      <c r="A25" s="1310" t="s">
        <v>15</v>
      </c>
      <c r="B25" s="1311">
        <v>557</v>
      </c>
      <c r="C25" s="326"/>
      <c r="D25" s="326"/>
      <c r="E25" s="326"/>
      <c r="F25" s="326"/>
    </row>
    <row r="26" spans="1:6">
      <c r="A26" s="1310" t="s">
        <v>16</v>
      </c>
      <c r="B26" s="1311">
        <v>85</v>
      </c>
      <c r="C26" s="326"/>
      <c r="D26" s="326"/>
      <c r="E26" s="326"/>
      <c r="F26" s="326"/>
    </row>
    <row r="27" spans="1:6">
      <c r="A27" s="1310" t="s">
        <v>17</v>
      </c>
      <c r="B27" s="1311">
        <v>2</v>
      </c>
      <c r="C27" s="326"/>
      <c r="D27" s="326"/>
      <c r="E27" s="326"/>
      <c r="F27" s="326"/>
    </row>
    <row r="28" spans="1:6">
      <c r="A28" s="1310" t="s">
        <v>18</v>
      </c>
      <c r="B28" s="1312">
        <v>0</v>
      </c>
      <c r="C28" s="326"/>
      <c r="D28" s="326"/>
      <c r="E28" s="326"/>
      <c r="F28" s="326"/>
    </row>
    <row r="29" spans="1:6">
      <c r="A29" s="1310" t="s">
        <v>678</v>
      </c>
      <c r="B29" s="1312">
        <v>74</v>
      </c>
      <c r="C29" s="326"/>
      <c r="D29" s="326"/>
      <c r="E29" s="326"/>
      <c r="F29" s="326"/>
    </row>
    <row r="30" spans="1:6">
      <c r="A30" s="1305" t="s">
        <v>679</v>
      </c>
      <c r="B30" s="1313">
        <v>9</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1941</v>
      </c>
    </row>
    <row r="37" spans="1:6">
      <c r="A37" s="1310" t="s">
        <v>24</v>
      </c>
      <c r="B37" s="1310" t="s">
        <v>27</v>
      </c>
      <c r="C37" s="1311">
        <v>0</v>
      </c>
      <c r="D37" s="1311">
        <v>0</v>
      </c>
      <c r="E37" s="1311">
        <v>0</v>
      </c>
      <c r="F37" s="1311">
        <v>0</v>
      </c>
    </row>
    <row r="38" spans="1:6">
      <c r="A38" s="1310" t="s">
        <v>24</v>
      </c>
      <c r="B38" s="1310" t="s">
        <v>28</v>
      </c>
      <c r="C38" s="1311">
        <v>1</v>
      </c>
      <c r="D38" s="1311">
        <v>26310.960110935899</v>
      </c>
      <c r="E38" s="1311">
        <v>0</v>
      </c>
      <c r="F38" s="1311">
        <v>0</v>
      </c>
    </row>
    <row r="39" spans="1:6">
      <c r="A39" s="1310" t="s">
        <v>29</v>
      </c>
      <c r="B39" s="1310" t="s">
        <v>30</v>
      </c>
      <c r="C39" s="1311">
        <v>1955</v>
      </c>
      <c r="D39" s="1311">
        <v>32161938.8446794</v>
      </c>
      <c r="E39" s="1311">
        <v>2743</v>
      </c>
      <c r="F39" s="1311">
        <v>9397474.5010211207</v>
      </c>
    </row>
    <row r="40" spans="1:6">
      <c r="A40" s="1310" t="s">
        <v>29</v>
      </c>
      <c r="B40" s="1310" t="s">
        <v>28</v>
      </c>
      <c r="C40" s="1311">
        <v>0</v>
      </c>
      <c r="D40" s="1311">
        <v>0</v>
      </c>
      <c r="E40" s="1311">
        <v>0</v>
      </c>
      <c r="F40" s="1311">
        <v>0</v>
      </c>
    </row>
    <row r="41" spans="1:6">
      <c r="A41" s="1310" t="s">
        <v>31</v>
      </c>
      <c r="B41" s="1310" t="s">
        <v>32</v>
      </c>
      <c r="C41" s="1311">
        <v>25</v>
      </c>
      <c r="D41" s="1311">
        <v>678674.31520746299</v>
      </c>
      <c r="E41" s="1311">
        <v>41</v>
      </c>
      <c r="F41" s="1311">
        <v>3454574.2539421902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87133.637122726897</v>
      </c>
      <c r="E44" s="1311">
        <v>6</v>
      </c>
      <c r="F44" s="1311">
        <v>54951.182849543096</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25852.094731152101</v>
      </c>
      <c r="E48" s="1311">
        <v>3</v>
      </c>
      <c r="F48" s="1311">
        <v>5395.1769565051</v>
      </c>
    </row>
    <row r="49" spans="1:6">
      <c r="A49" s="1310" t="s">
        <v>31</v>
      </c>
      <c r="B49" s="1310" t="s">
        <v>39</v>
      </c>
      <c r="C49" s="1311">
        <v>0</v>
      </c>
      <c r="D49" s="1311">
        <v>0</v>
      </c>
      <c r="E49" s="1311">
        <v>0</v>
      </c>
      <c r="F49" s="1311">
        <v>0</v>
      </c>
    </row>
    <row r="50" spans="1:6">
      <c r="A50" s="1310" t="s">
        <v>31</v>
      </c>
      <c r="B50" s="1310" t="s">
        <v>40</v>
      </c>
      <c r="C50" s="1311">
        <v>13</v>
      </c>
      <c r="D50" s="1311">
        <v>29594446.102810699</v>
      </c>
      <c r="E50" s="1311">
        <v>15</v>
      </c>
      <c r="F50" s="1311">
        <v>10110029.8449517</v>
      </c>
    </row>
    <row r="51" spans="1:6">
      <c r="A51" s="1310" t="s">
        <v>41</v>
      </c>
      <c r="B51" s="1310" t="s">
        <v>42</v>
      </c>
      <c r="C51" s="1311">
        <v>11</v>
      </c>
      <c r="D51" s="1311">
        <v>201288.969734693</v>
      </c>
      <c r="E51" s="1311">
        <v>52</v>
      </c>
      <c r="F51" s="1311">
        <v>604229.01020500704</v>
      </c>
    </row>
    <row r="52" spans="1:6">
      <c r="A52" s="1310" t="s">
        <v>41</v>
      </c>
      <c r="B52" s="1310" t="s">
        <v>28</v>
      </c>
      <c r="C52" s="1311">
        <v>0</v>
      </c>
      <c r="D52" s="1311">
        <v>0</v>
      </c>
      <c r="E52" s="1311">
        <v>0</v>
      </c>
      <c r="F52" s="1311">
        <v>0</v>
      </c>
    </row>
    <row r="53" spans="1:6">
      <c r="A53" s="1310" t="s">
        <v>43</v>
      </c>
      <c r="B53" s="1310" t="s">
        <v>44</v>
      </c>
      <c r="C53" s="1311">
        <v>38</v>
      </c>
      <c r="D53" s="1311">
        <v>595145.10709383094</v>
      </c>
      <c r="E53" s="1311">
        <v>72</v>
      </c>
      <c r="F53" s="1311">
        <v>197243.53088073101</v>
      </c>
    </row>
    <row r="54" spans="1:6">
      <c r="A54" s="1310" t="s">
        <v>45</v>
      </c>
      <c r="B54" s="1310" t="s">
        <v>46</v>
      </c>
      <c r="C54" s="1311">
        <v>0</v>
      </c>
      <c r="D54" s="1311">
        <v>0</v>
      </c>
      <c r="E54" s="1311">
        <v>1</v>
      </c>
      <c r="F54" s="1311">
        <v>270279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22</v>
      </c>
      <c r="D57" s="1311">
        <v>761544.65541497804</v>
      </c>
      <c r="E57" s="1311">
        <v>34</v>
      </c>
      <c r="F57" s="1311">
        <v>464328.80062558001</v>
      </c>
    </row>
    <row r="58" spans="1:6">
      <c r="A58" s="1310" t="s">
        <v>48</v>
      </c>
      <c r="B58" s="1310" t="s">
        <v>50</v>
      </c>
      <c r="C58" s="1311">
        <v>14</v>
      </c>
      <c r="D58" s="1311">
        <v>247490.308569666</v>
      </c>
      <c r="E58" s="1311">
        <v>13</v>
      </c>
      <c r="F58" s="1311">
        <v>39915.464349955299</v>
      </c>
    </row>
    <row r="59" spans="1:6">
      <c r="A59" s="1310" t="s">
        <v>48</v>
      </c>
      <c r="B59" s="1310" t="s">
        <v>51</v>
      </c>
      <c r="C59" s="1311">
        <v>43</v>
      </c>
      <c r="D59" s="1311">
        <v>1707823.5979667199</v>
      </c>
      <c r="E59" s="1311">
        <v>59</v>
      </c>
      <c r="F59" s="1311">
        <v>1358652.55265043</v>
      </c>
    </row>
    <row r="60" spans="1:6">
      <c r="A60" s="1310" t="s">
        <v>48</v>
      </c>
      <c r="B60" s="1310" t="s">
        <v>52</v>
      </c>
      <c r="C60" s="1311">
        <v>26</v>
      </c>
      <c r="D60" s="1311">
        <v>1144060.7787306099</v>
      </c>
      <c r="E60" s="1311">
        <v>30</v>
      </c>
      <c r="F60" s="1311">
        <v>721989.59282242705</v>
      </c>
    </row>
    <row r="61" spans="1:6">
      <c r="A61" s="1310" t="s">
        <v>48</v>
      </c>
      <c r="B61" s="1310" t="s">
        <v>53</v>
      </c>
      <c r="C61" s="1311">
        <v>86</v>
      </c>
      <c r="D61" s="1311">
        <v>3700602.9194724699</v>
      </c>
      <c r="E61" s="1311">
        <v>161</v>
      </c>
      <c r="F61" s="1311">
        <v>1625690.71536988</v>
      </c>
    </row>
    <row r="62" spans="1:6">
      <c r="A62" s="1310" t="s">
        <v>48</v>
      </c>
      <c r="B62" s="1310" t="s">
        <v>54</v>
      </c>
      <c r="C62" s="1311">
        <v>8</v>
      </c>
      <c r="D62" s="1311">
        <v>389557.82775922498</v>
      </c>
      <c r="E62" s="1311">
        <v>9</v>
      </c>
      <c r="F62" s="1311">
        <v>220416.614000751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33011.856374404502</v>
      </c>
      <c r="E65" s="1311">
        <v>2</v>
      </c>
      <c r="F65" s="1311">
        <v>33332</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0</v>
      </c>
      <c r="D68" s="1313">
        <v>0</v>
      </c>
      <c r="E68" s="1313">
        <v>7</v>
      </c>
      <c r="F68" s="1313">
        <v>23444.8313996998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11490867</v>
      </c>
      <c r="E73" s="445"/>
      <c r="F73" s="326"/>
    </row>
    <row r="74" spans="1:6">
      <c r="A74" s="1310" t="s">
        <v>63</v>
      </c>
      <c r="B74" s="1310" t="s">
        <v>632</v>
      </c>
      <c r="C74" s="1323" t="s">
        <v>634</v>
      </c>
      <c r="D74" s="1311">
        <v>1230137.8893792119</v>
      </c>
      <c r="E74" s="445"/>
      <c r="F74" s="326"/>
    </row>
    <row r="75" spans="1:6">
      <c r="A75" s="1310" t="s">
        <v>64</v>
      </c>
      <c r="B75" s="1310" t="s">
        <v>631</v>
      </c>
      <c r="C75" s="1323" t="s">
        <v>635</v>
      </c>
      <c r="D75" s="1311">
        <v>10455669</v>
      </c>
      <c r="E75" s="445"/>
      <c r="F75" s="326"/>
    </row>
    <row r="76" spans="1:6">
      <c r="A76" s="1310" t="s">
        <v>64</v>
      </c>
      <c r="B76" s="1310" t="s">
        <v>632</v>
      </c>
      <c r="C76" s="1323" t="s">
        <v>636</v>
      </c>
      <c r="D76" s="1311">
        <v>122627.88937921199</v>
      </c>
      <c r="E76" s="445"/>
      <c r="F76" s="326"/>
    </row>
    <row r="77" spans="1:6">
      <c r="A77" s="1310" t="s">
        <v>65</v>
      </c>
      <c r="B77" s="1310" t="s">
        <v>631</v>
      </c>
      <c r="C77" s="1323" t="s">
        <v>637</v>
      </c>
      <c r="D77" s="1311">
        <v>112011471</v>
      </c>
      <c r="E77" s="445"/>
      <c r="F77" s="326"/>
    </row>
    <row r="78" spans="1:6">
      <c r="A78" s="1305" t="s">
        <v>65</v>
      </c>
      <c r="B78" s="1305" t="s">
        <v>632</v>
      </c>
      <c r="C78" s="1305" t="s">
        <v>638</v>
      </c>
      <c r="D78" s="1313">
        <v>13904668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109788.221241576</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33.273467383512546</v>
      </c>
      <c r="C89" s="326"/>
      <c r="D89" s="326"/>
      <c r="E89" s="326"/>
      <c r="F89" s="326"/>
    </row>
    <row r="90" spans="1:6">
      <c r="A90" s="1310" t="s">
        <v>525</v>
      </c>
      <c r="B90" s="1311">
        <v>0</v>
      </c>
      <c r="C90" s="326"/>
      <c r="D90" s="326"/>
      <c r="E90" s="326"/>
      <c r="F90" s="326"/>
    </row>
    <row r="91" spans="1:6">
      <c r="A91" s="1310" t="s">
        <v>67</v>
      </c>
      <c r="B91" s="1311">
        <v>1990.5563185704618</v>
      </c>
      <c r="C91" s="326"/>
      <c r="D91" s="326"/>
      <c r="E91" s="326"/>
      <c r="F91" s="326"/>
    </row>
    <row r="92" spans="1:6">
      <c r="A92" s="1305" t="s">
        <v>68</v>
      </c>
      <c r="B92" s="1306">
        <v>802.40363694696521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1048</v>
      </c>
      <c r="C97" s="326"/>
      <c r="D97" s="326"/>
      <c r="E97" s="326"/>
      <c r="F97" s="326"/>
    </row>
    <row r="98" spans="1:6">
      <c r="A98" s="1310" t="s">
        <v>71</v>
      </c>
      <c r="B98" s="1311">
        <v>1</v>
      </c>
      <c r="C98" s="326"/>
      <c r="D98" s="326"/>
      <c r="E98" s="326"/>
      <c r="F98" s="326"/>
    </row>
    <row r="99" spans="1:6">
      <c r="A99" s="1310" t="s">
        <v>72</v>
      </c>
      <c r="B99" s="1311">
        <v>17</v>
      </c>
      <c r="C99" s="326"/>
      <c r="D99" s="326"/>
      <c r="E99" s="326"/>
      <c r="F99" s="326"/>
    </row>
    <row r="100" spans="1:6">
      <c r="A100" s="1310" t="s">
        <v>73</v>
      </c>
      <c r="B100" s="1311">
        <v>119</v>
      </c>
      <c r="C100" s="326"/>
      <c r="D100" s="326"/>
      <c r="E100" s="326"/>
      <c r="F100" s="326"/>
    </row>
    <row r="101" spans="1:6">
      <c r="A101" s="1310" t="s">
        <v>74</v>
      </c>
      <c r="B101" s="1311">
        <v>28</v>
      </c>
      <c r="C101" s="326"/>
      <c r="D101" s="326"/>
      <c r="E101" s="326"/>
      <c r="F101" s="326"/>
    </row>
    <row r="102" spans="1:6">
      <c r="A102" s="1310" t="s">
        <v>75</v>
      </c>
      <c r="B102" s="1311">
        <v>31</v>
      </c>
      <c r="C102" s="326"/>
      <c r="D102" s="326"/>
      <c r="E102" s="326"/>
      <c r="F102" s="326"/>
    </row>
    <row r="103" spans="1:6">
      <c r="A103" s="1310" t="s">
        <v>76</v>
      </c>
      <c r="B103" s="1311">
        <v>100</v>
      </c>
      <c r="C103" s="326"/>
      <c r="D103" s="326"/>
      <c r="E103" s="326"/>
      <c r="F103" s="326"/>
    </row>
    <row r="104" spans="1:6">
      <c r="A104" s="1310" t="s">
        <v>77</v>
      </c>
      <c r="B104" s="1311">
        <v>1043</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20</v>
      </c>
      <c r="C123" s="1311">
        <v>13</v>
      </c>
      <c r="D123" s="326"/>
      <c r="E123" s="326"/>
      <c r="F123" s="326"/>
    </row>
    <row r="124" spans="1:6">
      <c r="A124" s="1310" t="s">
        <v>88</v>
      </c>
      <c r="B124" s="1311">
        <v>0</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70</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16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31570.767948103872</v>
      </c>
      <c r="C3" s="43" t="s">
        <v>163</v>
      </c>
      <c r="D3" s="43"/>
      <c r="E3" s="154"/>
      <c r="F3" s="43"/>
      <c r="G3" s="43"/>
      <c r="H3" s="43"/>
      <c r="I3" s="43"/>
      <c r="J3" s="43"/>
      <c r="K3" s="96"/>
    </row>
    <row r="4" spans="1:11">
      <c r="A4" s="352" t="s">
        <v>164</v>
      </c>
      <c r="B4" s="49">
        <f>IF(ISERROR('SEAP template'!B78+'SEAP template'!C78),0,'SEAP template'!B78+'SEAP template'!C78)</f>
        <v>3568.7334229009398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0.19601834330550469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1060.7142857142858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270.279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270.279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0.19601834330550469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52.979641810268504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9397.4745010211209</v>
      </c>
      <c r="C5" s="17">
        <f>IF(ISERROR('Eigen informatie GS &amp; warmtenet'!B59),0,'Eigen informatie GS &amp; warmtenet'!B59)</f>
        <v>0</v>
      </c>
      <c r="D5" s="30">
        <f>(SUM(HH_hh_gas_kWh,HH_rest_gas_kWh)/1000)*0.903</f>
        <v>29042.230776745499</v>
      </c>
      <c r="E5" s="17">
        <f>B32*B41</f>
        <v>579.38655613936101</v>
      </c>
      <c r="F5" s="17">
        <f>B36*B45</f>
        <v>12692.3925872809</v>
      </c>
      <c r="G5" s="18"/>
      <c r="H5" s="17"/>
      <c r="I5" s="17"/>
      <c r="J5" s="17">
        <f>B35*B44+C35*C44</f>
        <v>72.335333569592265</v>
      </c>
      <c r="K5" s="17"/>
      <c r="L5" s="17"/>
      <c r="M5" s="17"/>
      <c r="N5" s="17">
        <f>B34*B43+C34*C43</f>
        <v>3645.8779117901913</v>
      </c>
      <c r="O5" s="17">
        <f>B52*B53*B54</f>
        <v>164.66853220912364</v>
      </c>
      <c r="P5" s="17">
        <f>B60*B61*B62/1000-B60*B61*B62/1000/B63</f>
        <v>379.22253507666085</v>
      </c>
    </row>
    <row r="6" spans="1:16">
      <c r="A6" s="16" t="s">
        <v>597</v>
      </c>
      <c r="B6" s="778">
        <f>kWh_PV_kleiner_dan_10kW</f>
        <v>1990.5563185704618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11388.030819591582</v>
      </c>
      <c r="C8" s="21">
        <f>C5</f>
        <v>0</v>
      </c>
      <c r="D8" s="21">
        <f>D5</f>
        <v>29042.230776745499</v>
      </c>
      <c r="E8" s="21">
        <f>E5</f>
        <v>579.38655613936101</v>
      </c>
      <c r="F8" s="21">
        <f>F5</f>
        <v>12692.3925872809</v>
      </c>
      <c r="G8" s="21"/>
      <c r="H8" s="21"/>
      <c r="I8" s="21"/>
      <c r="J8" s="21">
        <f>J5</f>
        <v>72.335333569592265</v>
      </c>
      <c r="K8" s="21"/>
      <c r="L8" s="21">
        <f>L5</f>
        <v>0</v>
      </c>
      <c r="M8" s="21">
        <f>M5</f>
        <v>0</v>
      </c>
      <c r="N8" s="21">
        <f>N5</f>
        <v>3645.8779117901913</v>
      </c>
      <c r="O8" s="21">
        <f>O5</f>
        <v>164.66853220912364</v>
      </c>
      <c r="P8" s="21">
        <f>P5</f>
        <v>379.22253507666085</v>
      </c>
    </row>
    <row r="9" spans="1:16">
      <c r="B9" s="19"/>
      <c r="C9" s="19"/>
      <c r="D9" s="254"/>
      <c r="E9" s="19"/>
      <c r="F9" s="19"/>
      <c r="G9" s="19"/>
      <c r="H9" s="19"/>
      <c r="I9" s="19"/>
      <c r="J9" s="19"/>
      <c r="K9" s="19"/>
      <c r="L9" s="19"/>
      <c r="M9" s="19"/>
      <c r="N9" s="19"/>
      <c r="O9" s="19"/>
      <c r="P9" s="19"/>
    </row>
    <row r="10" spans="1:16">
      <c r="A10" s="24" t="s">
        <v>207</v>
      </c>
      <c r="B10" s="25">
        <f ca="1">'EF ele_warmte'!B12</f>
        <v>0.19601834330550469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2232.2629347683705</v>
      </c>
      <c r="C12" s="23">
        <f ca="1">C10*C8</f>
        <v>0</v>
      </c>
      <c r="D12" s="23">
        <f>D8*D10</f>
        <v>5866.5306169025907</v>
      </c>
      <c r="E12" s="23">
        <f>E10*E8</f>
        <v>131.52074824363496</v>
      </c>
      <c r="F12" s="23">
        <f>F10*F8</f>
        <v>3388.8688208040003</v>
      </c>
      <c r="G12" s="23"/>
      <c r="H12" s="23"/>
      <c r="I12" s="23"/>
      <c r="J12" s="23">
        <f>J10*J8</f>
        <v>25.60670808363566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2806</v>
      </c>
      <c r="C26" s="36"/>
      <c r="D26" s="225"/>
    </row>
    <row r="27" spans="1:5" s="15" customFormat="1">
      <c r="A27" s="227" t="s">
        <v>860</v>
      </c>
      <c r="B27" s="37">
        <f>SUM(HH_hh_gas_aantal,HH_rest_gas_aantal)</f>
        <v>1955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1857.25</v>
      </c>
      <c r="C31" s="34" t="s">
        <v>104</v>
      </c>
      <c r="D31" s="171"/>
    </row>
    <row r="32" spans="1:5">
      <c r="A32" s="168" t="s">
        <v>72</v>
      </c>
      <c r="B32" s="33">
        <f>IF((B21*($B$26-($B$27-0.05*$B$27)-$B$60))&lt;0,0,(B21*($B$26-($B$27-0.05*$B$27)-$B$60)))</f>
        <v>14.490087607888896</v>
      </c>
      <c r="C32" s="34" t="s">
        <v>104</v>
      </c>
      <c r="D32" s="171"/>
    </row>
    <row r="33" spans="1:6">
      <c r="A33" s="168" t="s">
        <v>73</v>
      </c>
      <c r="B33" s="33">
        <f>IF((B22*($B$26-($B$27-0.05*$B$27)-$B$60))&lt;0,0,B22*($B$26-($B$27-0.05*$B$27)-$B$60))</f>
        <v>235.29032481862293</v>
      </c>
      <c r="C33" s="34" t="s">
        <v>104</v>
      </c>
      <c r="D33" s="171"/>
    </row>
    <row r="34" spans="1:6">
      <c r="A34" s="168" t="s">
        <v>74</v>
      </c>
      <c r="B34" s="33">
        <f>IF((B24*($B$26-($B$27-0.05*$B$27)-$B$60))&lt;0,0,B24*($B$26-($B$27-0.05*$B$27)-$B$60))</f>
        <v>45.108304032054015</v>
      </c>
      <c r="C34" s="33">
        <f>B26*C24</f>
        <v>574.96606709716298</v>
      </c>
      <c r="D34" s="230"/>
    </row>
    <row r="35" spans="1:6">
      <c r="A35" s="168" t="s">
        <v>76</v>
      </c>
      <c r="B35" s="33">
        <f>IF((B19*($B$26-($B$27-0.05*$B$27)-$B$60))&lt;0,0,B19*($B$26-($B$27-0.05*$B$27)-$B$60))</f>
        <v>6.2988065378348921</v>
      </c>
      <c r="C35" s="33">
        <f>B35/2</f>
        <v>3.149403268917446</v>
      </c>
      <c r="D35" s="230"/>
    </row>
    <row r="36" spans="1:6">
      <c r="A36" s="168" t="s">
        <v>77</v>
      </c>
      <c r="B36" s="33">
        <f>IF((B18*($B$26-($B$27-0.05*$B$27)-$B$60))&lt;0,0,B18*($B$26-($B$27-0.05*$B$27)-$B$60))</f>
        <v>611.56247700359904</v>
      </c>
      <c r="C36" s="34" t="s">
        <v>104</v>
      </c>
      <c r="D36" s="171"/>
    </row>
    <row r="37" spans="1:6">
      <c r="A37" s="168" t="s">
        <v>78</v>
      </c>
      <c r="B37" s="33">
        <f>B60</f>
        <v>36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83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4430.9937398190232</v>
      </c>
      <c r="C5" s="17">
        <f>IF(ISERROR('Eigen informatie GS &amp; warmtenet'!B60),0,'Eigen informatie GS &amp; warmtenet'!B60)</f>
        <v>0</v>
      </c>
      <c r="D5" s="30">
        <f>SUM(D6:D12)</f>
        <v>7179.8253193860437</v>
      </c>
      <c r="E5" s="17">
        <f>SUM(E6:E12)</f>
        <v>17.267692168221178</v>
      </c>
      <c r="F5" s="17">
        <f>SUM(F6:F12)</f>
        <v>773.14009427308849</v>
      </c>
      <c r="G5" s="18"/>
      <c r="H5" s="17"/>
      <c r="I5" s="17"/>
      <c r="J5" s="17">
        <f>SUM(J6:J12)</f>
        <v>4.6963014087029074E-3</v>
      </c>
      <c r="K5" s="17"/>
      <c r="L5" s="17"/>
      <c r="M5" s="17"/>
      <c r="N5" s="17">
        <f>SUM(N6:N12)</f>
        <v>181.44638582987935</v>
      </c>
      <c r="O5" s="17">
        <f>B38*B39*B40</f>
        <v>0</v>
      </c>
      <c r="P5" s="17">
        <f>B46*B47*B48/1000-B46*B47*B48/1000/B49</f>
        <v>105.07827661299004</v>
      </c>
      <c r="R5" s="32"/>
    </row>
    <row r="6" spans="1:18">
      <c r="A6" s="32" t="s">
        <v>53</v>
      </c>
      <c r="B6" s="37">
        <f>B26</f>
        <v>1625.6907153698799</v>
      </c>
      <c r="C6" s="33"/>
      <c r="D6" s="37">
        <f>IF(ISERROR(TER_kantoor_gas_kWh/1000),0,TER_kantoor_gas_kWh/1000)*0.903</f>
        <v>3341.6444362836405</v>
      </c>
      <c r="E6" s="33">
        <f>$C$26*'E Balans VL '!I12/100/3.6*1000000</f>
        <v>0.38735418076274103</v>
      </c>
      <c r="F6" s="33">
        <f>$C$26*('E Balans VL '!L12+'E Balans VL '!N12)/100/3.6*1000000</f>
        <v>141.20716413826776</v>
      </c>
      <c r="G6" s="34"/>
      <c r="H6" s="33"/>
      <c r="I6" s="33"/>
      <c r="J6" s="33">
        <f>$C$26*('E Balans VL '!D12+'E Balans VL '!E12)/100/3.6*1000000</f>
        <v>0</v>
      </c>
      <c r="K6" s="33"/>
      <c r="L6" s="33"/>
      <c r="M6" s="33"/>
      <c r="N6" s="33">
        <f>$C$26*'E Balans VL '!Y12/100/3.6*1000000</f>
        <v>2.1729630755465199</v>
      </c>
      <c r="O6" s="33"/>
      <c r="P6" s="33"/>
      <c r="R6" s="32"/>
    </row>
    <row r="7" spans="1:18">
      <c r="A7" s="32" t="s">
        <v>52</v>
      </c>
      <c r="B7" s="37">
        <f t="shared" ref="B7:B12" si="0">B27</f>
        <v>721.98959282242708</v>
      </c>
      <c r="C7" s="33"/>
      <c r="D7" s="37">
        <f>IF(ISERROR(TER_horeca_gas_kWh/1000),0,TER_horeca_gas_kWh/1000)*0.903</f>
        <v>1033.0868831937407</v>
      </c>
      <c r="E7" s="33">
        <f>$C$27*'E Balans VL '!I9/100/3.6*1000000</f>
        <v>0</v>
      </c>
      <c r="F7" s="33">
        <f>$C$27*('E Balans VL '!L9+'E Balans VL '!N9)/100/3.6*1000000</f>
        <v>58.829085669854173</v>
      </c>
      <c r="G7" s="34"/>
      <c r="H7" s="33"/>
      <c r="I7" s="33"/>
      <c r="J7" s="33">
        <f>$C$27*('E Balans VL '!D9+'E Balans VL '!E9)/100/3.6*1000000</f>
        <v>0</v>
      </c>
      <c r="K7" s="33"/>
      <c r="L7" s="33"/>
      <c r="M7" s="33"/>
      <c r="N7" s="33">
        <f>$C$27*'E Balans VL '!Y9/100/3.6*1000000</f>
        <v>0.19997767567830849</v>
      </c>
      <c r="O7" s="33"/>
      <c r="P7" s="33"/>
      <c r="R7" s="32"/>
    </row>
    <row r="8" spans="1:18">
      <c r="A8" s="6" t="s">
        <v>51</v>
      </c>
      <c r="B8" s="37">
        <f t="shared" si="0"/>
        <v>1358.6525526504299</v>
      </c>
      <c r="C8" s="33"/>
      <c r="D8" s="37">
        <f>IF(ISERROR(TER_handel_gas_kWh/1000),0,TER_handel_gas_kWh/1000)*0.903</f>
        <v>1542.1647089639482</v>
      </c>
      <c r="E8" s="33">
        <f>$C$28*'E Balans VL '!I13/100/3.6*1000000</f>
        <v>10.860544879318144</v>
      </c>
      <c r="F8" s="33">
        <f>$C$28*('E Balans VL '!L13+'E Balans VL '!N13)/100/3.6*1000000</f>
        <v>134.97368522877977</v>
      </c>
      <c r="G8" s="34"/>
      <c r="H8" s="33"/>
      <c r="I8" s="33"/>
      <c r="J8" s="33">
        <f>$C$28*('E Balans VL '!D13+'E Balans VL '!E13)/100/3.6*1000000</f>
        <v>0</v>
      </c>
      <c r="K8" s="33"/>
      <c r="L8" s="33"/>
      <c r="M8" s="33"/>
      <c r="N8" s="33">
        <f>$C$28*'E Balans VL '!Y13/100/3.6*1000000</f>
        <v>0.5075376007980178</v>
      </c>
      <c r="O8" s="33"/>
      <c r="P8" s="33"/>
      <c r="R8" s="32"/>
    </row>
    <row r="9" spans="1:18">
      <c r="A9" s="32" t="s">
        <v>50</v>
      </c>
      <c r="B9" s="37">
        <f t="shared" si="0"/>
        <v>39.9154643499553</v>
      </c>
      <c r="C9" s="33"/>
      <c r="D9" s="37">
        <f>IF(ISERROR(TER_gezond_gas_kWh/1000),0,TER_gezond_gas_kWh/1000)*0.903</f>
        <v>223.4837486384084</v>
      </c>
      <c r="E9" s="33">
        <f>$C$29*'E Balans VL '!I10/100/3.6*1000000</f>
        <v>0</v>
      </c>
      <c r="F9" s="33">
        <f>$C$29*('E Balans VL '!L10+'E Balans VL '!N10)/100/3.6*1000000</f>
        <v>3.6389450257972622</v>
      </c>
      <c r="G9" s="34"/>
      <c r="H9" s="33"/>
      <c r="I9" s="33"/>
      <c r="J9" s="33">
        <f>$C$29*('E Balans VL '!D10+'E Balans VL '!E10)/100/3.6*1000000</f>
        <v>0</v>
      </c>
      <c r="K9" s="33"/>
      <c r="L9" s="33"/>
      <c r="M9" s="33"/>
      <c r="N9" s="33">
        <f>$C$29*'E Balans VL '!Y10/100/3.6*1000000</f>
        <v>0.29174627375389545</v>
      </c>
      <c r="O9" s="33"/>
      <c r="P9" s="33"/>
      <c r="R9" s="32"/>
    </row>
    <row r="10" spans="1:18">
      <c r="A10" s="32" t="s">
        <v>49</v>
      </c>
      <c r="B10" s="37">
        <f t="shared" si="0"/>
        <v>464.32880062558002</v>
      </c>
      <c r="C10" s="33"/>
      <c r="D10" s="37">
        <f>IF(ISERROR(TER_ander_gas_kWh/1000),0,TER_ander_gas_kWh/1000)*0.903</f>
        <v>687.67482383972515</v>
      </c>
      <c r="E10" s="33">
        <f>$C$30*'E Balans VL '!I14/100/3.6*1000000</f>
        <v>6.0197931081402904</v>
      </c>
      <c r="F10" s="33">
        <f>$C$30*('E Balans VL '!L14+'E Balans VL '!N14)/100/3.6*1000000</f>
        <v>425.85470317509771</v>
      </c>
      <c r="G10" s="34"/>
      <c r="H10" s="33"/>
      <c r="I10" s="33"/>
      <c r="J10" s="33">
        <f>$C$30*('E Balans VL '!D14+'E Balans VL '!E14)/100/3.6*1000000</f>
        <v>4.6963014087029074E-3</v>
      </c>
      <c r="K10" s="33"/>
      <c r="L10" s="33"/>
      <c r="M10" s="33"/>
      <c r="N10" s="33">
        <f>$C$30*'E Balans VL '!Y14/100/3.6*1000000</f>
        <v>177.58001482765843</v>
      </c>
      <c r="O10" s="33"/>
      <c r="P10" s="33"/>
      <c r="R10" s="32"/>
    </row>
    <row r="11" spans="1:18">
      <c r="A11" s="32" t="s">
        <v>54</v>
      </c>
      <c r="B11" s="37">
        <f t="shared" si="0"/>
        <v>220.416614000751</v>
      </c>
      <c r="C11" s="33"/>
      <c r="D11" s="37">
        <f>IF(ISERROR(TER_onderwijs_gas_kWh/1000),0,TER_onderwijs_gas_kWh/1000)*0.903</f>
        <v>351.77071846658021</v>
      </c>
      <c r="E11" s="33">
        <f>$C$31*'E Balans VL '!I11/100/3.6*1000000</f>
        <v>0</v>
      </c>
      <c r="F11" s="33">
        <f>$C$31*('E Balans VL '!L11+'E Balans VL '!N11)/100/3.6*1000000</f>
        <v>8.6365110352918588</v>
      </c>
      <c r="G11" s="34"/>
      <c r="H11" s="33"/>
      <c r="I11" s="33"/>
      <c r="J11" s="33">
        <f>$C$31*('E Balans VL '!D11+'E Balans VL '!E11)/100/3.6*1000000</f>
        <v>0</v>
      </c>
      <c r="K11" s="33"/>
      <c r="L11" s="33"/>
      <c r="M11" s="33"/>
      <c r="N11" s="33">
        <f>$C$31*'E Balans VL '!Y11/100/3.6*1000000</f>
        <v>0.69414637644417054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4430.9937398190232</v>
      </c>
      <c r="C16" s="21">
        <f t="shared" ca="1" si="1"/>
        <v>0</v>
      </c>
      <c r="D16" s="21">
        <f t="shared" ca="1" si="1"/>
        <v>7179.8253193860437</v>
      </c>
      <c r="E16" s="21">
        <f t="shared" si="1"/>
        <v>17.267692168221178</v>
      </c>
      <c r="F16" s="21">
        <f t="shared" ca="1" si="1"/>
        <v>773.14009427308849</v>
      </c>
      <c r="G16" s="21">
        <f t="shared" si="1"/>
        <v>0</v>
      </c>
      <c r="H16" s="21">
        <f t="shared" si="1"/>
        <v>0</v>
      </c>
      <c r="I16" s="21">
        <f t="shared" si="1"/>
        <v>0</v>
      </c>
      <c r="J16" s="21">
        <f t="shared" si="1"/>
        <v>4.6963014087029074E-3</v>
      </c>
      <c r="K16" s="21">
        <f t="shared" si="1"/>
        <v>0</v>
      </c>
      <c r="L16" s="21">
        <f t="shared" ca="1" si="1"/>
        <v>0</v>
      </c>
      <c r="M16" s="21">
        <f t="shared" si="1"/>
        <v>0</v>
      </c>
      <c r="N16" s="21">
        <f t="shared" ca="1" si="1"/>
        <v>181.44638582987935</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0.19601834330550469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868.55605207638746</v>
      </c>
      <c r="C20" s="23">
        <f t="shared" ref="C20:P20" ca="1" si="2">C16*C18</f>
        <v>0</v>
      </c>
      <c r="D20" s="23">
        <f t="shared" ca="1" si="2"/>
        <v>1450.324714515981</v>
      </c>
      <c r="E20" s="23">
        <f t="shared" si="2"/>
        <v>3.9197661221862075</v>
      </c>
      <c r="F20" s="23">
        <f t="shared" ca="1" si="2"/>
        <v>206.42840517091463</v>
      </c>
      <c r="G20" s="23">
        <f t="shared" si="2"/>
        <v>0</v>
      </c>
      <c r="H20" s="23">
        <f t="shared" si="2"/>
        <v>0</v>
      </c>
      <c r="I20" s="23">
        <f t="shared" si="2"/>
        <v>0</v>
      </c>
      <c r="J20" s="23">
        <f t="shared" si="2"/>
        <v>1.6624906986808291E-3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1625.6907153698799</v>
      </c>
      <c r="C26" s="39">
        <f>IF(ISERROR(B26*3.6/1000000/'E Balans VL '!Z12*100),0,B26*3.6/1000000/'E Balans VL '!Z12*100)</f>
        <v>4.6640913638164201E-2</v>
      </c>
      <c r="D26" s="233" t="s">
        <v>835</v>
      </c>
      <c r="F26" s="6"/>
    </row>
    <row r="27" spans="1:18" ht="30">
      <c r="A27" s="228" t="s">
        <v>52</v>
      </c>
      <c r="B27" s="33">
        <f>IF(ISERROR(TER_horeca_ele_kWh/1000),0,TER_horeca_ele_kWh/1000)</f>
        <v>721.98959282242708</v>
      </c>
      <c r="C27" s="39">
        <f>IF(ISERROR(B27*3.6/1000000/'E Balans VL '!Z9*100),0,B27*3.6/1000000/'E Balans VL '!Z9*100)</f>
        <v>5.2893213180160846E-2</v>
      </c>
      <c r="D27" s="233" t="s">
        <v>835</v>
      </c>
      <c r="F27" s="6"/>
    </row>
    <row r="28" spans="1:18" ht="30">
      <c r="A28" s="168" t="s">
        <v>51</v>
      </c>
      <c r="B28" s="33">
        <f>IF(ISERROR(TER_handel_ele_kWh/1000),0,TER_handel_ele_kWh/1000)</f>
        <v>1358.6525526504299</v>
      </c>
      <c r="C28" s="39">
        <f>IF(ISERROR(B28*3.6/1000000/'E Balans VL '!Z13*100),0,B28*3.6/1000000/'E Balans VL '!Z13*100)</f>
        <v>4.1983509834209919E-2</v>
      </c>
      <c r="D28" s="233" t="s">
        <v>835</v>
      </c>
      <c r="F28" s="6"/>
    </row>
    <row r="29" spans="1:18" ht="30">
      <c r="A29" s="228" t="s">
        <v>50</v>
      </c>
      <c r="B29" s="33">
        <f>IF(ISERROR(TER_gezond_ele_kWh/1000),0,TER_gezond_ele_kWh/1000)</f>
        <v>39.9154643499553</v>
      </c>
      <c r="C29" s="39">
        <f>IF(ISERROR(B29*3.6/1000000/'E Balans VL '!Z10*100),0,B29*3.6/1000000/'E Balans VL '!Z10*100)</f>
        <v>3.9119609446896615E-3</v>
      </c>
      <c r="D29" s="233" t="s">
        <v>835</v>
      </c>
      <c r="F29" s="6"/>
    </row>
    <row r="30" spans="1:18" ht="30">
      <c r="A30" s="228" t="s">
        <v>49</v>
      </c>
      <c r="B30" s="33">
        <f>IF(ISERROR(TER_ander_ele_kWh/1000),0,TER_ander_ele_kWh/1000)</f>
        <v>464.32880062558002</v>
      </c>
      <c r="C30" s="39">
        <f>IF(ISERROR(B30*3.6/1000000/'E Balans VL '!Z14*100),0,B30*3.6/1000000/'E Balans VL '!Z14*100)</f>
        <v>1.9233998943493133E-2</v>
      </c>
      <c r="D30" s="233" t="s">
        <v>835</v>
      </c>
      <c r="F30" s="6"/>
    </row>
    <row r="31" spans="1:18" ht="30">
      <c r="A31" s="228" t="s">
        <v>54</v>
      </c>
      <c r="B31" s="33">
        <f>IF(ISERROR(TER_onderwijs_ele_kWh/1000),0,TER_onderwijs_ele_kWh/1000)</f>
        <v>220.416614000751</v>
      </c>
      <c r="C31" s="39">
        <f>IF(ISERROR(B31*3.6/1000000/'E Balans VL '!Z11*100),0,B31*3.6/1000000/'E Balans VL '!Z11*100)</f>
        <v>6.7727324239854808E-2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13624.950458699939</v>
      </c>
      <c r="C5" s="17">
        <f>IF(ISERROR('Eigen informatie GS &amp; warmtenet'!B61),0,'Eigen informatie GS &amp; warmtenet'!B61)</f>
        <v>0</v>
      </c>
      <c r="D5" s="30">
        <f>SUM(D6:D15)</f>
        <v>27438.653853334457</v>
      </c>
      <c r="E5" s="17">
        <f>SUM(E6:E15)</f>
        <v>32.96222922528213</v>
      </c>
      <c r="F5" s="17">
        <f>SUM(F6:F15)</f>
        <v>2435.0950652831798</v>
      </c>
      <c r="G5" s="18"/>
      <c r="H5" s="17"/>
      <c r="I5" s="17"/>
      <c r="J5" s="17">
        <f>SUM(J6:J15)</f>
        <v>7.4304930972114602E-2</v>
      </c>
      <c r="K5" s="17"/>
      <c r="L5" s="17"/>
      <c r="M5" s="17"/>
      <c r="N5" s="17">
        <f>SUM(N6:N15)</f>
        <v>543.10195138864367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54.951182849543095</v>
      </c>
      <c r="C8" s="33"/>
      <c r="D8" s="37">
        <f>IF( ISERROR(IND_metaal_Gas_kWH/1000),0,IND_metaal_Gas_kWH/1000)*0.903</f>
        <v>78.681674321822385</v>
      </c>
      <c r="E8" s="33">
        <f>C30*'E Balans VL '!I18/100/3.6*1000000</f>
        <v>0.29954746776042124</v>
      </c>
      <c r="F8" s="33">
        <f>C30*'E Balans VL '!L18/100/3.6*1000000+C30*'E Balans VL '!N18/100/3.6*1000000</f>
        <v>3.5388603728303734</v>
      </c>
      <c r="G8" s="34"/>
      <c r="H8" s="33"/>
      <c r="I8" s="33"/>
      <c r="J8" s="40">
        <f>C30*'E Balans VL '!D18/100/3.6*1000000+C30*'E Balans VL '!E18/100/3.6*1000000</f>
        <v>4.5011721611578168E-2</v>
      </c>
      <c r="K8" s="33"/>
      <c r="L8" s="33"/>
      <c r="M8" s="33"/>
      <c r="N8" s="33">
        <f>C30*'E Balans VL '!Y18/100/3.6*1000000</f>
        <v>1.1871839938932389</v>
      </c>
      <c r="O8" s="33"/>
      <c r="P8" s="33"/>
      <c r="R8" s="32"/>
    </row>
    <row r="9" spans="1:18">
      <c r="A9" s="6" t="s">
        <v>32</v>
      </c>
      <c r="B9" s="37">
        <f t="shared" si="0"/>
        <v>3454.5742539421904</v>
      </c>
      <c r="C9" s="33"/>
      <c r="D9" s="37">
        <f>IF( ISERROR(IND_andere_gas_kWh/1000),0,IND_andere_gas_kWh/1000)*0.903</f>
        <v>612.84290663233912</v>
      </c>
      <c r="E9" s="33">
        <f>C31*'E Balans VL '!I19/100/3.6*1000000</f>
        <v>11.151954007640326</v>
      </c>
      <c r="F9" s="33">
        <f>C31*'E Balans VL '!L19/100/3.6*1000000+C31*'E Balans VL '!N19/100/3.6*1000000</f>
        <v>2233.7548312190888</v>
      </c>
      <c r="G9" s="34"/>
      <c r="H9" s="33"/>
      <c r="I9" s="33"/>
      <c r="J9" s="40">
        <f>C31*'E Balans VL '!D19/100/3.6*1000000+C31*'E Balans VL '!E19/100/3.6*1000000</f>
        <v>0</v>
      </c>
      <c r="K9" s="33"/>
      <c r="L9" s="33"/>
      <c r="M9" s="33"/>
      <c r="N9" s="33">
        <f>C31*'E Balans VL '!Y19/100/3.6*1000000</f>
        <v>139.59535521858433</v>
      </c>
      <c r="O9" s="33"/>
      <c r="P9" s="33"/>
      <c r="R9" s="32"/>
    </row>
    <row r="10" spans="1:18">
      <c r="A10" s="6" t="s">
        <v>40</v>
      </c>
      <c r="B10" s="37">
        <f t="shared" si="0"/>
        <v>10110.029844951701</v>
      </c>
      <c r="C10" s="33"/>
      <c r="D10" s="37">
        <f>IF( ISERROR(IND_voed_gas_kWh/1000),0,IND_voed_gas_kWh/1000)*0.903</f>
        <v>26723.784830838063</v>
      </c>
      <c r="E10" s="33">
        <f>C32*'E Balans VL '!I20/100/3.6*1000000</f>
        <v>21.193100256017967</v>
      </c>
      <c r="F10" s="33">
        <f>C32*'E Balans VL '!L20/100/3.6*1000000+C32*'E Balans VL '!N20/100/3.6*1000000</f>
        <v>196.97832040084975</v>
      </c>
      <c r="G10" s="34"/>
      <c r="H10" s="33"/>
      <c r="I10" s="33"/>
      <c r="J10" s="40">
        <f>C32*'E Balans VL '!D20/100/3.6*1000000+C32*'E Balans VL '!E20/100/3.6*1000000</f>
        <v>0</v>
      </c>
      <c r="K10" s="33"/>
      <c r="L10" s="33"/>
      <c r="M10" s="33"/>
      <c r="N10" s="33">
        <f>C32*'E Balans VL '!Y20/100/3.6*1000000</f>
        <v>402.14895812155959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5.3951769565051002</v>
      </c>
      <c r="C15" s="33"/>
      <c r="D15" s="37">
        <f>IF( ISERROR(IND_rest_gas_kWh/1000),0,IND_rest_gas_kWh/1000)*0.903</f>
        <v>23.344441542230346</v>
      </c>
      <c r="E15" s="33">
        <f>C37*'E Balans VL '!I15/100/3.6*1000000</f>
        <v>0.31762749386341438</v>
      </c>
      <c r="F15" s="33">
        <f>C37*'E Balans VL '!L15/100/3.6*1000000+C37*'E Balans VL '!N15/100/3.6*1000000</f>
        <v>0.82305329041079167</v>
      </c>
      <c r="G15" s="34"/>
      <c r="H15" s="33"/>
      <c r="I15" s="33"/>
      <c r="J15" s="40">
        <f>C37*'E Balans VL '!D15/100/3.6*1000000+C37*'E Balans VL '!E15/100/3.6*1000000</f>
        <v>2.9293209360536442E-2</v>
      </c>
      <c r="K15" s="33"/>
      <c r="L15" s="33"/>
      <c r="M15" s="33"/>
      <c r="N15" s="33">
        <f>C37*'E Balans VL '!Y15/100/3.6*1000000</f>
        <v>0.17045405460642546</v>
      </c>
      <c r="O15" s="33"/>
      <c r="P15" s="33"/>
      <c r="R15" s="32"/>
    </row>
    <row r="16" spans="1:18">
      <c r="A16" s="16" t="s">
        <v>467</v>
      </c>
      <c r="B16" s="243">
        <f>'lokale energieproductie'!N37+'lokale energieproductie'!N30</f>
        <v>742.5</v>
      </c>
      <c r="C16" s="243">
        <f>'lokale energieproductie'!O37+'lokale energieproductie'!O30</f>
        <v>1060.7142857142858</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-2121.4285714285716</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14367.450458699939</v>
      </c>
      <c r="C18" s="21">
        <f>C5+C16</f>
        <v>1060.7142857142858</v>
      </c>
      <c r="D18" s="21">
        <f>MAX((D5+D16),0)</f>
        <v>27438.653853334457</v>
      </c>
      <c r="E18" s="21">
        <f>MAX((E5+E16),0)</f>
        <v>32.96222922528213</v>
      </c>
      <c r="F18" s="21">
        <f>MAX((F5+F16),0)</f>
        <v>2435.0950652831798</v>
      </c>
      <c r="G18" s="21"/>
      <c r="H18" s="21"/>
      <c r="I18" s="21"/>
      <c r="J18" s="21">
        <f>MAX((J5+J16),0)</f>
        <v>7.4304930972114602E-2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0.19601834330550469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2816.2838364382756</v>
      </c>
      <c r="C22" s="23">
        <f ca="1">C18*C20</f>
        <v>0</v>
      </c>
      <c r="D22" s="23">
        <f>D18*D20</f>
        <v>5542.6080783735606</v>
      </c>
      <c r="E22" s="23">
        <f>E18*E20</f>
        <v>7.4824260341390438</v>
      </c>
      <c r="F22" s="23">
        <f>F18*F20</f>
        <v>650.17038243060904</v>
      </c>
      <c r="G22" s="23"/>
      <c r="H22" s="23"/>
      <c r="I22" s="23"/>
      <c r="J22" s="23">
        <f>J18*J20</f>
        <v>2.6303945564128569E-2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54.951182849543095</v>
      </c>
      <c r="C30" s="39">
        <f>IF(ISERROR(B30*3.6/1000000/'E Balans VL '!Z18*100),0,B30*3.6/1000000/'E Balans VL '!Z18*100)</f>
        <v>3.309009552821767E-3</v>
      </c>
      <c r="D30" s="233" t="s">
        <v>835</v>
      </c>
    </row>
    <row r="31" spans="1:18" ht="30">
      <c r="A31" s="6" t="s">
        <v>32</v>
      </c>
      <c r="B31" s="37">
        <f>IF( ISERROR(IND_ander_ele_kWh/1000),0,IND_ander_ele_kWh/1000)</f>
        <v>3454.5742539421904</v>
      </c>
      <c r="C31" s="39">
        <f>IF(ISERROR(B31*3.6/1000000/'E Balans VL '!Z19*100),0,B31*3.6/1000000/'E Balans VL '!Z19*100)</f>
        <v>0.1407465068973478</v>
      </c>
      <c r="D31" s="233" t="s">
        <v>835</v>
      </c>
    </row>
    <row r="32" spans="1:18" ht="30">
      <c r="A32" s="168" t="s">
        <v>40</v>
      </c>
      <c r="B32" s="37">
        <f>IF( ISERROR(IND_voed_ele_kWh/1000),0,IND_voed_ele_kWh/1000)</f>
        <v>10110.029844951701</v>
      </c>
      <c r="C32" s="39">
        <f>IF(ISERROR(B32*3.6/1000000/'E Balans VL '!Z20*100),0,B32*3.6/1000000/'E Balans VL '!Z20*100)</f>
        <v>0.29232164861780563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5.3951769565051002</v>
      </c>
      <c r="C37" s="39">
        <f>IF(ISERROR(B37*3.6/1000000/'E Balans VL '!Z15*100),0,B37*3.6/1000000/'E Balans VL '!Z15*100)</f>
        <v>4.4298489236314263E-5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604.22901020500706</v>
      </c>
      <c r="C5" s="17">
        <f>'Eigen informatie GS &amp; warmtenet'!B62</f>
        <v>0</v>
      </c>
      <c r="D5" s="30">
        <f>IF(ISERROR(SUM(LB_lb_gas_kWh,LB_rest_gas_kWh)/1000),0,SUM(LB_lb_gas_kWh,LB_rest_gas_kWh)/1000)*0.903</f>
        <v>181.76393967042779</v>
      </c>
      <c r="E5" s="17">
        <f>B17*'E Balans VL '!I25/3.6*1000000/100</f>
        <v>17.30614139496323</v>
      </c>
      <c r="F5" s="17">
        <f>B17*('E Balans VL '!L25/3.6*1000000+'E Balans VL '!N25/3.6*1000000)/100</f>
        <v>1912.6769240703113</v>
      </c>
      <c r="G5" s="18"/>
      <c r="H5" s="17"/>
      <c r="I5" s="17"/>
      <c r="J5" s="17">
        <f>('E Balans VL '!D25+'E Balans VL '!E25)/3.6*1000000*landbouw!B17/100</f>
        <v>153.63646305889893</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604.22901020500706</v>
      </c>
      <c r="C8" s="21">
        <f>C5+C6</f>
        <v>0</v>
      </c>
      <c r="D8" s="21">
        <f>MAX((D5+D6),0)</f>
        <v>181.76393967042779</v>
      </c>
      <c r="E8" s="21">
        <f>MAX((E5+E6),0)</f>
        <v>17.30614139496323</v>
      </c>
      <c r="F8" s="21">
        <f>MAX((F5+F6),0)</f>
        <v>1912.6769240703113</v>
      </c>
      <c r="G8" s="21"/>
      <c r="H8" s="21"/>
      <c r="I8" s="21"/>
      <c r="J8" s="21">
        <f>MAX((J5+J6),0)</f>
        <v>153.63646305889893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0.19601834330550469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118.43996955751037</v>
      </c>
      <c r="C12" s="23">
        <f ca="1">C8*C10</f>
        <v>0</v>
      </c>
      <c r="D12" s="23">
        <f>D8*D10</f>
        <v>36.716315813426412</v>
      </c>
      <c r="E12" s="23">
        <f>E8*E10</f>
        <v>3.9284940966566535</v>
      </c>
      <c r="F12" s="23">
        <f>F8*F10</f>
        <v>510.68473872677316</v>
      </c>
      <c r="G12" s="23"/>
      <c r="H12" s="23"/>
      <c r="I12" s="23"/>
      <c r="J12" s="23">
        <f>J8*J10</f>
        <v>54.387307922850219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8.3672010676330497E-2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83.125871377627305</v>
      </c>
      <c r="C26" s="243">
        <f>B26*'GWP N2O_CH4'!B5</f>
        <v>1745.6432989301734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29.108222753075694</v>
      </c>
      <c r="C27" s="243">
        <f>B27*'GWP N2O_CH4'!B5</f>
        <v>611.27267781458954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1.3978684583377532</v>
      </c>
      <c r="C28" s="243">
        <f>B28*'GWP N2O_CH4'!B4</f>
        <v>433.33922208470347</v>
      </c>
      <c r="D28" s="50"/>
    </row>
    <row r="29" spans="1:4">
      <c r="A29" s="41" t="s">
        <v>266</v>
      </c>
      <c r="B29" s="243">
        <f>B34*'ha_N2O bodem landbouw'!B4</f>
        <v>16.699471344573276</v>
      </c>
      <c r="C29" s="243">
        <f>B29*'GWP N2O_CH4'!B4</f>
        <v>5176.8361168177153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3.7938210144110819E-3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1.1039591103418436E-3</v>
      </c>
      <c r="C5" s="432" t="s">
        <v>204</v>
      </c>
      <c r="D5" s="417">
        <f>SUM(D6:D11)</f>
        <v>1.6590637389890151E-3</v>
      </c>
      <c r="E5" s="417">
        <f>SUM(E6:E11)</f>
        <v>7.6870907539151032E-4</v>
      </c>
      <c r="F5" s="430" t="s">
        <v>204</v>
      </c>
      <c r="G5" s="417">
        <f>SUM(G6:G11)</f>
        <v>0.35086846344194356</v>
      </c>
      <c r="H5" s="417">
        <f>SUM(H6:H11)</f>
        <v>8.4486422094848676E-2</v>
      </c>
      <c r="I5" s="432" t="s">
        <v>204</v>
      </c>
      <c r="J5" s="432" t="s">
        <v>204</v>
      </c>
      <c r="K5" s="432" t="s">
        <v>204</v>
      </c>
      <c r="L5" s="432" t="s">
        <v>204</v>
      </c>
      <c r="M5" s="417">
        <f>SUM(M6:M11)</f>
        <v>2.6135596737424313E-2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8.0576319762187793E-5</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1.3434379145163297E-4</v>
      </c>
      <c r="E6" s="884">
        <f>vkm_GW_PW*SUMIFS(TableVerdeelsleutelVkm[LPG],TableVerdeelsleutelVkm[Voertuigtype],"Lichte voertuigen")*SUMIFS(TableECFTransport[EnergieConsumptieFactor (PJ per km)],TableECFTransport[Index],CONCATENATE($A6,"_LPG_LPG"))</f>
        <v>5.3261849255660313E-5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1.6006523662427222E-2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6.5884546674905564E-3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1.3861352859434691E-3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2.9929043546002112E-7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1.1864061507608775E-2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8.7539601277294827E-8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6.8121434792813365E-4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9.1486418154035674E-5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2.0890495615679235E-4</v>
      </c>
      <c r="E8" s="420">
        <f>vkm_NGW_PW*SUMIFS(TableVerdeelsleutelVkm[LPG],TableVerdeelsleutelVkm[Voertuigtype],"Lichte voertuigen")*SUMIFS(TableECFTransport[EnergieConsumptieFactor (PJ per km)],TableECFTransport[Index],CONCATENATE($A8,"_LPG_LPG"))</f>
        <v>7.9301396868269888E-5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2.1830094994607346E-2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1.0149404277853024E-2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1.9729587024637958E-3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2.9835154846233512E-8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1.5230195134922416E-3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1.0533106332933102E-8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8.7449154869719095E-5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9.2818426499516663E-4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1.3158149913805898E-3</v>
      </c>
      <c r="E10" s="420">
        <f>vkm_SW_PW*SUMIFS(TableVerdeelsleutelVkm[LPG],TableVerdeelsleutelVkm[Voertuigtype],"Lichte voertuigen")*SUMIFS(TableECFTransport[EnergieConsumptieFactor (PJ per km)],TableECFTransport[Index],CONCATENATE($A10,"_LPG_LPG"))</f>
        <v>6.3614582926758013E-4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0.17344324388525417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6.7747446621827426E-2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1.4761555212887474E-2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3.3829818401473158E-6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0.12620151987855377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1.0184549700700352E-6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7.2462840333317197E-3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306.65530842828991</v>
      </c>
      <c r="C14" s="21"/>
      <c r="D14" s="21">
        <f t="shared" ref="D14:M14" si="0">((D5)*10^9/3600)+D12</f>
        <v>460.85103860805975</v>
      </c>
      <c r="E14" s="21">
        <f t="shared" si="0"/>
        <v>213.53029871986396</v>
      </c>
      <c r="F14" s="21"/>
      <c r="G14" s="21">
        <f t="shared" si="0"/>
        <v>97463.46206720655</v>
      </c>
      <c r="H14" s="21">
        <f t="shared" si="0"/>
        <v>23468.450581902409</v>
      </c>
      <c r="I14" s="21"/>
      <c r="J14" s="21"/>
      <c r="K14" s="21"/>
      <c r="L14" s="21"/>
      <c r="M14" s="21">
        <f t="shared" si="0"/>
        <v>7259.8879826178654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0.19601834330550469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60.11006552395196</v>
      </c>
      <c r="C18" s="23"/>
      <c r="D18" s="23">
        <f t="shared" ref="D18:M18" si="1">D14*D16</f>
        <v>93.09190979882807</v>
      </c>
      <c r="E18" s="23">
        <f t="shared" si="1"/>
        <v>48.47137780940912</v>
      </c>
      <c r="F18" s="23"/>
      <c r="G18" s="23">
        <f t="shared" si="1"/>
        <v>26022.744371944151</v>
      </c>
      <c r="H18" s="23">
        <f t="shared" si="1"/>
        <v>5843.6441948936999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2.1189889725483684E-5</v>
      </c>
      <c r="C50" s="315">
        <f t="shared" ref="C50:P50" si="2">SUM(C51:C52)</f>
        <v>0</v>
      </c>
      <c r="D50" s="315">
        <f t="shared" si="2"/>
        <v>0</v>
      </c>
      <c r="E50" s="315">
        <f t="shared" si="2"/>
        <v>0</v>
      </c>
      <c r="F50" s="315">
        <f t="shared" si="2"/>
        <v>0</v>
      </c>
      <c r="G50" s="315">
        <f t="shared" si="2"/>
        <v>1.3265511583385528E-3</v>
      </c>
      <c r="H50" s="315">
        <f t="shared" si="2"/>
        <v>0</v>
      </c>
      <c r="I50" s="315">
        <f t="shared" si="2"/>
        <v>0</v>
      </c>
      <c r="J50" s="315">
        <f t="shared" si="2"/>
        <v>0</v>
      </c>
      <c r="K50" s="315">
        <f t="shared" si="2"/>
        <v>0</v>
      </c>
      <c r="L50" s="315">
        <f t="shared" si="2"/>
        <v>0</v>
      </c>
      <c r="M50" s="315">
        <f t="shared" si="2"/>
        <v>7.6167630218656454E-5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2.1189889725483684E-5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1.3265511583385528E-3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7.6167630218656454E-5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5.8860804793010235</v>
      </c>
      <c r="C54" s="21">
        <f t="shared" ref="C54:P54" si="3">(C50)*10^9/3600</f>
        <v>0</v>
      </c>
      <c r="D54" s="21">
        <f t="shared" si="3"/>
        <v>0</v>
      </c>
      <c r="E54" s="21">
        <f t="shared" si="3"/>
        <v>0</v>
      </c>
      <c r="F54" s="21">
        <f t="shared" si="3"/>
        <v>0</v>
      </c>
      <c r="G54" s="21">
        <f t="shared" si="3"/>
        <v>368.48643287182023</v>
      </c>
      <c r="H54" s="21">
        <f t="shared" si="3"/>
        <v>0</v>
      </c>
      <c r="I54" s="21">
        <f t="shared" si="3"/>
        <v>0</v>
      </c>
      <c r="J54" s="21">
        <f t="shared" si="3"/>
        <v>0</v>
      </c>
      <c r="K54" s="21">
        <f t="shared" si="3"/>
        <v>0</v>
      </c>
      <c r="L54" s="21">
        <f t="shared" si="3"/>
        <v>0</v>
      </c>
      <c r="M54" s="21">
        <f t="shared" si="3"/>
        <v>21.157675060737905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0.19601834330550469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1.1537797441154576</v>
      </c>
      <c r="C58" s="23">
        <f t="shared" ref="C58:P58" ca="1" si="4">C54*C56</f>
        <v>0</v>
      </c>
      <c r="D58" s="23">
        <f t="shared" si="4"/>
        <v>0</v>
      </c>
      <c r="E58" s="23">
        <f t="shared" si="4"/>
        <v>0</v>
      </c>
      <c r="F58" s="23">
        <f t="shared" si="4"/>
        <v>0</v>
      </c>
      <c r="G58" s="23">
        <f t="shared" si="4"/>
        <v>98.385877576776011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33.273467383512546</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2792.9599555174273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742.5</v>
      </c>
      <c r="C8" s="543">
        <f>B48</f>
        <v>0</v>
      </c>
      <c r="D8" s="544"/>
      <c r="E8" s="544">
        <f>E48</f>
        <v>0</v>
      </c>
      <c r="F8" s="545"/>
      <c r="G8" s="546"/>
      <c r="H8" s="544">
        <f>I48</f>
        <v>0</v>
      </c>
      <c r="I8" s="544">
        <f>G48+F48</f>
        <v>0</v>
      </c>
      <c r="J8" s="544">
        <f>H48+D48+C48</f>
        <v>873.52941176470586</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3568.7334229009398</v>
      </c>
      <c r="C10" s="558">
        <f t="shared" ref="C10:L10" si="0">SUM(C8:C9)</f>
        <v>0</v>
      </c>
      <c r="D10" s="558">
        <f t="shared" si="0"/>
        <v>0</v>
      </c>
      <c r="E10" s="558">
        <f t="shared" si="0"/>
        <v>0</v>
      </c>
      <c r="F10" s="558">
        <f t="shared" si="0"/>
        <v>0</v>
      </c>
      <c r="G10" s="558">
        <f t="shared" si="0"/>
        <v>0</v>
      </c>
      <c r="H10" s="558">
        <f t="shared" si="0"/>
        <v>0</v>
      </c>
      <c r="I10" s="558">
        <f t="shared" si="0"/>
        <v>0</v>
      </c>
      <c r="J10" s="558">
        <f t="shared" si="0"/>
        <v>873.52941176470586</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1060.7142857142858</v>
      </c>
      <c r="C17" s="574">
        <f>B49</f>
        <v>0</v>
      </c>
      <c r="D17" s="575"/>
      <c r="E17" s="575">
        <f>E49</f>
        <v>0</v>
      </c>
      <c r="F17" s="576"/>
      <c r="G17" s="577"/>
      <c r="H17" s="574">
        <f>I49</f>
        <v>0</v>
      </c>
      <c r="I17" s="575">
        <f>G49+F49</f>
        <v>0</v>
      </c>
      <c r="J17" s="575">
        <f>H49+D49+C49</f>
        <v>1247.8991596638657</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1060.7142857142858</v>
      </c>
      <c r="C20" s="557">
        <f>SUM(C17:C19)</f>
        <v>0</v>
      </c>
      <c r="D20" s="557">
        <f t="shared" ref="D20:L20" si="1">SUM(D17:D19)</f>
        <v>0</v>
      </c>
      <c r="E20" s="557">
        <f t="shared" si="1"/>
        <v>0</v>
      </c>
      <c r="F20" s="557">
        <f t="shared" si="1"/>
        <v>0</v>
      </c>
      <c r="G20" s="557">
        <f t="shared" si="1"/>
        <v>0</v>
      </c>
      <c r="H20" s="557">
        <f t="shared" si="1"/>
        <v>0</v>
      </c>
      <c r="I20" s="557">
        <f t="shared" si="1"/>
        <v>0</v>
      </c>
      <c r="J20" s="557">
        <f t="shared" si="1"/>
        <v>1247.8991596638657</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24041</v>
      </c>
      <c r="C28" s="785">
        <v>3320</v>
      </c>
      <c r="D28" s="635"/>
      <c r="E28" s="634"/>
      <c r="F28" s="634"/>
      <c r="G28" s="634" t="s">
        <v>868</v>
      </c>
      <c r="H28" s="634" t="s">
        <v>869</v>
      </c>
      <c r="I28" s="634"/>
      <c r="J28" s="784"/>
      <c r="K28" s="784"/>
      <c r="L28" s="634" t="s">
        <v>870</v>
      </c>
      <c r="M28" s="634">
        <v>165</v>
      </c>
      <c r="N28" s="634">
        <v>742.5</v>
      </c>
      <c r="O28" s="634">
        <v>1060.7142857142858</v>
      </c>
      <c r="P28" s="634">
        <v>0</v>
      </c>
      <c r="Q28" s="634">
        <v>2121.4285714285716</v>
      </c>
      <c r="R28" s="634">
        <v>0</v>
      </c>
      <c r="S28" s="634">
        <v>0</v>
      </c>
      <c r="T28" s="634">
        <v>0</v>
      </c>
      <c r="U28" s="634">
        <v>0</v>
      </c>
      <c r="V28" s="634">
        <v>0</v>
      </c>
      <c r="W28" s="634">
        <v>0</v>
      </c>
      <c r="X28" s="634">
        <v>500</v>
      </c>
      <c r="Y28" s="634" t="s">
        <v>40</v>
      </c>
      <c r="Z28" s="636" t="s">
        <v>373</v>
      </c>
    </row>
    <row r="29" spans="1:26" s="568" customFormat="1" hidden="1">
      <c r="A29" s="590" t="s">
        <v>269</v>
      </c>
      <c r="B29" s="591"/>
      <c r="C29" s="591"/>
      <c r="D29" s="591"/>
      <c r="E29" s="591"/>
      <c r="F29" s="591"/>
      <c r="G29" s="591"/>
      <c r="H29" s="591"/>
      <c r="I29" s="591"/>
      <c r="J29" s="591"/>
      <c r="K29" s="591"/>
      <c r="L29" s="592"/>
      <c r="M29" s="592">
        <f>SUM(M28:M28)</f>
        <v>165</v>
      </c>
      <c r="N29" s="592">
        <f>SUM(N28:N28)</f>
        <v>742.5</v>
      </c>
      <c r="O29" s="592">
        <f>SUM(O28:O28)</f>
        <v>1060.7142857142858</v>
      </c>
      <c r="P29" s="592">
        <f>SUM(P28:P28)</f>
        <v>0</v>
      </c>
      <c r="Q29" s="592">
        <f>SUM(Q28:Q28)</f>
        <v>2121.4285714285716</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165</v>
      </c>
      <c r="N30" s="592">
        <f>SUMIF($Z$28:$Z$28,"industrie",N28:N28)</f>
        <v>742.5</v>
      </c>
      <c r="O30" s="592">
        <f>SUMIF($Z$28:$Z$28,"industrie",O28:O28)</f>
        <v>1060.7142857142858</v>
      </c>
      <c r="P30" s="592">
        <f>SUMIF($Z$28:$Z$28,"industrie",P28:P28)</f>
        <v>0</v>
      </c>
      <c r="Q30" s="592">
        <f>SUMIF($Z$28:$Z$28,"industrie",Q28:Q28)</f>
        <v>2121.4285714285716</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873.52941176470586</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1247.8991596638657</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2021-11-11T12:15:41Z</dcterms:modified>
</cp:coreProperties>
</file>