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17B7E8F-41EA-40C6-877A-55A95EE296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<sst xmlns="http://schemas.openxmlformats.org/spreadsheetml/2006/main" count="2422" uniqueCount="871">
  <si>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</si>
  <si>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</si>
  <si>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</si>
  <si>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</si>
  <si>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</si>
  <si>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</si>
  <si>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</si>
  <si>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</si>
  <si>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</si>
  <si>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</si>
  <si>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</si>
  <si>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</si>
  <si>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</si>
  <si>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</si>
  <si>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</si>
  <si>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</si>
  <si>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</si>
  <si>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</si>
  <si>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</si>
  <si>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</si>
  <si>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</si>
  <si>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</si>
  <si>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</si>
  <si>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</si>
  <si>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</si>
  <si>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</si>
  <si>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</si>
  <si>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</si>
  <si>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</si>
  <si>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</si>
  <si>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</si>
  <si>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</si>
  <si>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</si>
  <si>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</si>
  <si>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</si>
  <si>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</si>
  <si>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</si>
  <si>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</si>
  <si>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</si>
  <si>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</si>
  <si>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</si>
  <si>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</si>
  <si>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</si>
  <si>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</si>
  <si>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</si>
  <si>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</si>
  <si>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</si>
  <si>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</si>
  <si>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</si>
  <si>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</si>
  <si>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</si>
  <si>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</si>
  <si>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</si>
  <si>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</si>
  <si>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</si>
  <si>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</si>
  <si>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</si>
  <si>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</si>
  <si>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</si>
  <si>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</si>
  <si>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</si>
  <si>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</si>
  <si>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</si>
  <si>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</si>
  <si>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</si>
  <si>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</si>
  <si>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</si>
  <si>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</si>
  <si>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</si>
  <si>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</si>
  <si>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</si>
  <si>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</si>
  <si>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</si>
  <si>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</si>
  <si>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</si>
  <si>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</si>
  <si>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</si>
  <si>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</si>
  <si>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</si>
  <si>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</si>
  <si>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</si>
  <si>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</si>
  <si>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</si>
  <si>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</si>
  <si>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</si>
  <si>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</si>
  <si>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</si>
  <si>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</si>
  <si>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</si>
  <si>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</si>
  <si>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</si>
  <si>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</si>
  <si>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</si>
  <si>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</si>
  <si>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</si>
  <si>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</si>
  <si>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</si>
  <si>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</si>
  <si>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</si>
  <si>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</si>
  <si>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</si>
  <si>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</si>
  <si>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</si>
  <si>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</si>
  <si>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</si>
  <si>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</si>
  <si>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</si>
  <si>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</si>
  <si>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</si>
  <si>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</si>
  <si>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</si>
  <si>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</si>
  <si>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</si>
  <si>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</si>
  <si>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</si>
  <si>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</si>
  <si>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</si>
  <si>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</si>
  <si>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</si>
  <si>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</si>
  <si>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</si>
  <si>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</si>
  <si>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</si>
  <si>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</si>
  <si>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</si>
  <si>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</si>
  <si>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</si>
  <si>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</si>
  <si>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</si>
  <si>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</si>
  <si>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</si>
  <si>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</si>
  <si>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</si>
  <si>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</si>
  <si>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</si>
  <si>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</si>
  <si>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</si>
  <si>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</si>
  <si>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</si>
  <si>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</si>
  <si>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</si>
  <si>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</si>
  <si>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</si>
  <si>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</si>
  <si>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</si>
  <si>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</si>
  <si>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</si>
  <si>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</si>
  <si>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</si>
  <si>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</si>
  <si>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</si>
  <si>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</si>
  <si>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</si>
  <si>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</si>
  <si>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</si>
  <si>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</si>
  <si>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</si>
  <si>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</si>
  <si>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</si>
  <si>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</si>
  <si>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</si>
  <si>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</si>
  <si>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</si>
  <si>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</si>
  <si>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</si>
  <si>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</si>
  <si>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</si>
  <si>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</si>
  <si>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</si>
  <si>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</si>
  <si>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</si>
  <si>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</si>
  <si>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</si>
  <si>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</si>
  <si>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</si>
  <si>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</si>
  <si>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</si>
  <si>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</si>
  <si>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</si>
  <si>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</si>
  <si>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</si>
  <si>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</si>
  <si>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</si>
  <si>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</si>
  <si>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</si>
  <si>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</si>
  <si>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</si>
  <si>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</si>
  <si>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</si>
  <si>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</si>
  <si>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</si>
  <si>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</si>
  <si>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</si>
  <si>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</si>
  <si>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</si>
  <si>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</si>
  <si>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</si>
  <si>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</si>
  <si>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</si>
  <si>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</si>
  <si>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</si>
  <si>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</si>
  <si>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</si>
  <si>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</si>
  <si>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</si>
  <si>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</si>
  <si>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</si>
  <si>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</si>
  <si>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</si>
  <si>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</si>
  <si>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</si>
  <si>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</si>
  <si>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</si>
  <si>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</si>
  <si>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</si>
  <si>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</si>
  <si>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</si>
  <si>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</si>
  <si>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</si>
  <si>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</si>
  <si>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</si>
  <si>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</si>
  <si>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</si>
  <si>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</si>
  <si>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</si>
  <si>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</si>
  <si>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</si>
  <si>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</si>
  <si>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</si>
  <si>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</si>
  <si>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</si>
  <si>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</si>
  <si>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</si>
  <si>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</si>
  <si>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</si>
  <si>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</si>
  <si>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</si>
  <si>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</si>
  <si>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</si>
  <si>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</si>
  <si>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</si>
  <si>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</si>
  <si>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</si>
  <si>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</si>
  <si>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</si>
  <si>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</si>
  <si>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</si>
  <si>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</si>
  <si>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</si>
  <si>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</si>
  <si>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</si>
  <si>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</si>
  <si>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</si>
  <si>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</si>
  <si>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</si>
  <si>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</si>
  <si>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</si>
  <si>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</si>
  <si>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</si>
  <si>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</si>
  <si>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</si>
  <si>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</si>
  <si>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</si>
  <si>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</si>
  <si>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</si>
  <si>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</si>
  <si>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</si>
  <si>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</si>
  <si>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</si>
  <si>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</si>
  <si>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</si>
  <si>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</si>
  <si>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</si>
  <si>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</si>
  <si>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</si>
  <si>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</si>
  <si>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</si>
  <si>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</si>
  <si>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</si>
  <si>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</si>
  <si>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</si>
  <si>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</si>
  <si>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</si>
  <si>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</si>
  <si>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</si>
  <si>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</si>
  <si>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</si>
  <si>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</si>
  <si>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</si>
  <si>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</si>
  <si>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</si>
  <si>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</si>
  <si>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</si>
  <si>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</si>
  <si>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</si>
  <si>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</si>
  <si>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</si>
  <si>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</si>
  <si>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</si>
  <si>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</si>
  <si>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</si>
  <si>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</si>
  <si>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</si>
  <si>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</si>
  <si>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</si>
  <si>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</si>
  <si>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</si>
  <si>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</si>
  <si>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</si>
  <si>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</si>
  <si>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</si>
  <si>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</si>
  <si>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</si>
  <si>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</si>
  <si>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</si>
  <si>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</si>
  <si>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</si>
  <si>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</si>
  <si>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</si>
  <si>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</si>
  <si>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</si>
  <si>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</si>
  <si>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</si>
  <si>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</si>
  <si>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</si>
  <si>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</si>
  <si>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</si>
  <si>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</si>
  <si>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</si>
  <si>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</si>
  <si>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</si>
  <si>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</si>
  <si>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</si>
  <si>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</si>
  <si>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</si>
  <si>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</si>
  <si>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</si>
  <si>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</si>
  <si>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</si>
  <si>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</si>
  <si>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</si>
  <si>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</si>
  <si>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</si>
  <si>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</si>
  <si>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</si>
  <si>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</si>
  <si>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</si>
  <si>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</si>
  <si>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</si>
  <si>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</si>
  <si>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</si>
  <si>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</si>
  <si>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</si>
  <si>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</si>
  <si>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</si>
  <si>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</si>
  <si>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</si>
  <si>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</si>
  <si>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</si>
  <si>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</si>
  <si>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</si>
  <si>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</si>
  <si>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</si>
  <si>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</si>
  <si>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</si>
  <si>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</si>
  <si>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</si>
  <si>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</si>
  <si>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</si>
  <si>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</si>
  <si>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</si>
  <si>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</si>
  <si>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</si>
  <si>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</si>
  <si>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</si>
  <si>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</si>
  <si>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</si>
  <si>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</si>
  <si>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</si>
  <si>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</si>
  <si>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</si>
  <si>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</si>
  <si>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</si>
  <si>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</si>
  <si>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</si>
  <si>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</si>
  <si>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</si>
  <si>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</si>
  <si>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</si>
  <si>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</si>
  <si>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</si>
  <si>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</si>
  <si>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</si>
  <si>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</si>
  <si>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</si>
  <si>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</si>
  <si>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</si>
  <si>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</si>
  <si>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</si>
  <si>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</si>
  <si>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</si>
  <si>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</si>
  <si>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</si>
  <si>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</si>
  <si>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</si>
  <si>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</si>
  <si>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</si>
  <si>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</si>
  <si>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</si>
  <si>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</si>
  <si>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</si>
  <si>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</si>
  <si>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</si>
  <si>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</si>
  <si>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</si>
  <si>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</si>
  <si>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</si>
  <si>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</si>
  <si>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</si>
  <si>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</si>
  <si>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</si>
  <si>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</si>
  <si>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</si>
  <si>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</si>
  <si>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</si>
  <si>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</si>
  <si>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</si>
  <si>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</si>
  <si>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</si>
  <si>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</si>
  <si>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</si>
  <si>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</si>
  <si>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</si>
  <si>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</si>
  <si>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</si>
  <si>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</si>
  <si>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</si>
  <si>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</si>
  <si>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</si>
  <si>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</si>
  <si>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</si>
  <si>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</si>
  <si>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</si>
  <si>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</si>
  <si>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</si>
  <si>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</si>
  <si>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</si>
  <si>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</si>
  <si>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</si>
  <si>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</si>
  <si>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</si>
  <si>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</si>
  <si>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</si>
  <si>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</si>
  <si>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</si>
  <si>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</si>
  <si>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</si>
  <si>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</si>
  <si>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</si>
  <si>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</si>
  <si>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</si>
  <si>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</si>
  <si>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</si>
  <si>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</si>
  <si>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</si>
  <si>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</si>
  <si>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</si>
  <si>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</si>
  <si>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</si>
  <si>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</si>
  <si>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</si>
  <si>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</si>
  <si>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</si>
  <si>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</si>
  <si>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</si>
  <si>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</si>
  <si>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</si>
  <si>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</si>
  <si>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</si>
  <si>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</si>
  <si>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</si>
  <si>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</si>
  <si>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</si>
  <si>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</si>
  <si>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</si>
  <si>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</si>
  <si>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</si>
  <si>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</si>
  <si>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</si>
  <si>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</si>
  <si>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</si>
  <si>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</si>
  <si>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</si>
  <si>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</si>
  <si>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</si>
  <si>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</si>
  <si>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</si>
  <si>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</si>
  <si>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</si>
  <si>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</si>
  <si>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</si>
  <si>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</si>
  <si>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</si>
  <si>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</si>
  <si>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</si>
  <si>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</si>
  <si>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</si>
  <si>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</si>
  <si>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</si>
  <si>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</si>
  <si>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</si>
  <si>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</si>
  <si>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</si>
  <si>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</si>
  <si>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</si>
  <si>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</si>
  <si>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</si>
  <si>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</si>
  <si>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</si>
  <si>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</si>
  <si>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</si>
  <si>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</si>
  <si>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</si>
  <si>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</si>
  <si>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</si>
  <si>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</si>
  <si>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</si>
  <si>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</si>
  <si>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</si>
  <si>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</si>
  <si>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</si>
  <si>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</si>
  <si>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</si>
  <si>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</si>
  <si>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</si>
  <si>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</si>
  <si>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</si>
  <si>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</si>
  <si>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</si>
  <si>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</si>
  <si>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</si>
  <si>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</si>
  <si>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</si>
  <si>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</si>
  <si>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</si>
  <si>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</si>
  <si>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</si>
  <si>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</si>
  <si>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</si>
  <si>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</si>
  <si>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</si>
  <si>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</si>
  <si>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</si>
  <si>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</si>
  <si>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</si>
  <si>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</si>
  <si>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</si>
  <si>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</si>
  <si>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</si>
  <si>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</si>
  <si>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</si>
  <si>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</si>
  <si>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</si>
  <si>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</si>
  <si>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</si>
  <si>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</si>
  <si>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</si>
  <si>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</si>
  <si>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</si>
  <si>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</si>
  <si>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</si>
  <si>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</si>
  <si>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</si>
  <si>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</si>
  <si>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</si>
  <si>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</si>
  <si>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</si>
  <si>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</si>
  <si>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</si>
  <si>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</si>
  <si>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</si>
  <si>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</si>
  <si>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</si>
  <si>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</si>
  <si>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</si>
  <si>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</si>
  <si>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</si>
  <si>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</si>
  <si>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</si>
  <si>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</si>
  <si>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</si>
  <si>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</si>
  <si>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</si>
  <si>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</si>
  <si>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</si>
  <si>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</si>
  <si>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</si>
  <si>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</si>
  <si>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</si>
  <si>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</si>
  <si>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</si>
  <si>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</si>
  <si>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</si>
  <si>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</si>
  <si>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</si>
  <si>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</si>
  <si>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</si>
  <si>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</si>
  <si>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</si>
  <si>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</si>
  <si>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</si>
  <si>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</si>
  <si>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</si>
  <si>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</si>
  <si>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</si>
  <si>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</si>
  <si>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</si>
  <si>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</si>
  <si>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</si>
  <si>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</si>
  <si>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</si>
  <si>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</si>
  <si>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</si>
  <si>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</si>
  <si>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</si>
  <si>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</si>
  <si>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</si>
  <si>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</si>
  <si>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</si>
  <si>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</si>
  <si>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</si>
  <si>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</si>
  <si>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</si>
  <si>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</si>
  <si>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</si>
  <si>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</si>
  <si>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</si>
  <si>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</si>
  <si>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</si>
  <si>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</si>
  <si>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</si>
  <si>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</si>
  <si>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</si>
  <si>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</si>
  <si>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</si>
  <si>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</si>
  <si>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</si>
  <si>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</si>
  <si>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</si>
  <si>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</si>
  <si>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</si>
  <si>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</si>
  <si>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</si>
  <si>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</si>
  <si>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</si>
  <si>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</si>
  <si>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</si>
  <si>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</si>
  <si>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</si>
  <si>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</si>
  <si>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</si>
  <si>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</si>
  <si>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</si>
  <si>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</si>
  <si>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</si>
  <si>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</si>
  <si>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</si>
  <si>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</si>
  <si>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</si>
  <si>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</si>
  <si>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</si>
  <si>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</si>
  <si>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</si>
  <si>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</si>
  <si>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</si>
  <si>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</si>
  <si>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</si>
  <si>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</si>
  <si>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</si>
  <si>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</si>
  <si>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</si>
  <si>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</si>
  <si>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</si>
  <si>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</si>
  <si>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</si>
  <si>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</si>
  <si>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</si>
  <si>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</si>
  <si>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</si>
  <si>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</si>
  <si>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</si>
  <si>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</si>
  <si>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</si>
  <si>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</si>
  <si>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</si>
  <si>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</si>
  <si>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</si>
  <si>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</si>
  <si>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</si>
  <si>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</si>
  <si>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</si>
  <si>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</si>
  <si>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</si>
  <si>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</si>
  <si>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</si>
  <si>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</si>
  <si>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</si>
  <si>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</si>
  <si>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</si>
  <si>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</si>
  <si>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</si>
  <si>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</si>
  <si>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</si>
  <si>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</si>
  <si>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</si>
  <si>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</si>
  <si>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</si>
  <si>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</si>
  <si>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</si>
  <si>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</si>
  <si>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</si>
  <si>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</si>
  <si>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</si>
  <si>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</si>
  <si>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</si>
  <si>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</si>
  <si>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</si>
  <si>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</si>
  <si>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</si>
  <si>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</si>
  <si>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</si>
  <si>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</si>
  <si>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</si>
  <si>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</si>
  <si>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</si>
  <si>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</si>
  <si>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</si>
  <si>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</si>
  <si>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</si>
  <si>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</si>
  <si>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</si>
  <si>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</si>
  <si>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</si>
  <si>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</si>
  <si>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</si>
  <si>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</si>
  <si>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</si>
  <si>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</si>
  <si>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</si>
  <si>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</si>
  <si>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</si>
  <si>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</si>
  <si>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</si>
  <si>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</si>
  <si>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</si>
  <si>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</si>
  <si>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</si>
  <si>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</si>
  <si>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</si>
  <si>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</si>
  <si>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</si>
  <si>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</si>
  <si>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</si>
  <si>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</si>
  <si>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</si>
  <si>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</si>
  <si>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</si>
  <si>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</si>
  <si>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</si>
  <si>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</si>
  <si>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</si>
  <si>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</si>
  <si>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</si>
  <si>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</si>
  <si>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</si>
  <si>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</si>
  <si>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</si>
  <si>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</si>
  <si>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</si>
  <si>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</si>
  <si>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</si>
  <si>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</si>
  <si>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</si>
  <si>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</si>
  <si>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</si>
  <si>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</si>
  <si>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</si>
  <si>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</si>
  <si>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</si>
  <si>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</si>
  <si>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</si>
  <si>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</si>
  <si>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</si>
  <si>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</si>
  <si>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</si>
  <si>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</si>
  <si>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</si>
  <si>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</si>
  <si>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</si>
  <si>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</si>
  <si>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</si>
  <si>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</si>
  <si>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</si>
  <si>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</si>
  <si>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</si>
  <si>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</si>
  <si>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</si>
  <si>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</si>
  <si>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</si>
  <si>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</si>
  <si>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</si>
  <si>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</si>
  <si>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</si>
  <si>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</si>
  <si>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</si>
  <si>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</si>
  <si>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</si>
  <si>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</si>
  <si>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</si>
  <si>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</si>
  <si>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</si>
  <si>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</si>
  <si>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</si>
  <si>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</si>
  <si>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</si>
  <si>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</si>
  <si>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</si>
  <si>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</si>
  <si>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</si>
  <si>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</si>
  <si>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</si>
  <si>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</si>
  <si>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</si>
  <si>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</si>
  <si>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</si>
  <si>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</si>
  <si>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</si>
  <si>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</si>
  <si>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</si>
  <si>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</si>
  <si>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</si>
  <si>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</si>
  <si>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</si>
  <si>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</si>
  <si>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</si>
  <si>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</si>
  <si>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</si>
  <si>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</si>
  <si>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</si>
  <si>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</si>
  <si>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</si>
  <si>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</si>
  <si>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</si>
  <si>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</si>
  <si>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</si>
  <si>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</si>
  <si>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</si>
  <si>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</si>
  <si>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</si>
  <si>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</si>
  <si>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</si>
  <si>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</si>
  <si>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</si>
  <si>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</si>
  <si>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23104</t>
  </si>
  <si>
    <t>LENNIK</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</si>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</sst>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F5A6290-8D75-4B1F-9712-BCAF8B95A66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78032.609711839177</c:v>
                </c:pt>
                <c:pt idx="1">
                  <c:v>16829.039144325809</c:v>
                </c:pt>
                <c:pt idx="2">
                  <c:v>578.44399999999996</c:v>
                </c:pt>
                <c:pt idx="3">
                  <c:v>6670.1726106431861</c:v>
                </c:pt>
                <c:pt idx="4">
                  <c:v>5073.736779508572</c:v>
                </c:pt>
                <c:pt idx="5">
                  <c:v>93398.901559227292</c:v>
                </c:pt>
                <c:pt idx="6">
                  <c:v>1754.9700271790284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78032.609711839177</c:v>
                </c:pt>
                <c:pt idx="1">
                  <c:v>16829.039144325809</c:v>
                </c:pt>
                <c:pt idx="2">
                  <c:v>578.44399999999996</c:v>
                </c:pt>
                <c:pt idx="3">
                  <c:v>6670.1726106431861</c:v>
                </c:pt>
                <c:pt idx="4">
                  <c:v>5073.736779508572</c:v>
                </c:pt>
                <c:pt idx="5">
                  <c:v>93398.901559227292</c:v>
                </c:pt>
                <c:pt idx="6">
                  <c:v>1754.9700271790284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16345.417013088714</c:v>
                </c:pt>
                <c:pt idx="1">
                  <c:v>3382.9626650403316</c:v>
                </c:pt>
                <c:pt idx="2">
                  <c:v>115.23669262314984</c:v>
                </c:pt>
                <c:pt idx="3">
                  <c:v>1511.2470243894684</c:v>
                </c:pt>
                <c:pt idx="4">
                  <c:v>1049.0165129955917</c:v>
                </c:pt>
                <c:pt idx="5">
                  <c:v>23060.187087024005</c:v>
                </c:pt>
                <c:pt idx="6">
                  <c:v>441.74168384968038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16345.417013088714</c:v>
                </c:pt>
                <c:pt idx="1">
                  <c:v>3382.9626650403316</c:v>
                </c:pt>
                <c:pt idx="2">
                  <c:v>115.23669262314984</c:v>
                </c:pt>
                <c:pt idx="3">
                  <c:v>1511.2470243894684</c:v>
                </c:pt>
                <c:pt idx="4">
                  <c:v>1049.0165129955917</c:v>
                </c:pt>
                <c:pt idx="5">
                  <c:v>23060.187087024005</c:v>
                </c:pt>
                <c:pt idx="6">
                  <c:v>441.74168384968038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23104</v>
      </c>
      <c r="B6" s="384"/>
      <c r="C6" s="385"/>
    </row>
    <row r="7" spans="1:7" s="382" customFormat="1" ht="15.75" customHeight="1">
      <c r="A7" s="386" t="str">
        <f>txtMunicipality</f>
        <v>LENNIK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8229.5406867959755</v>
      </c>
      <c r="D10" s="681">
        <f ca="1">tertiair!C16</f>
        <v>0</v>
      </c>
      <c r="E10" s="681">
        <f ca="1">tertiair!D16</f>
        <v>7741.4491832440099</v>
      </c>
      <c r="F10" s="681">
        <f>tertiair!E16</f>
        <v>25.260890481508429</v>
      </c>
      <c r="G10" s="681">
        <f ca="1">tertiair!F16</f>
        <v>1083.2005757157146</v>
      </c>
      <c r="H10" s="681">
        <f>tertiair!G16</f>
        <v>0</v>
      </c>
      <c r="I10" s="681">
        <f>tertiair!H16</f>
        <v>0</v>
      </c>
      <c r="J10" s="681">
        <f>tertiair!I16</f>
        <v>0</v>
      </c>
      <c r="K10" s="681">
        <f>tertiair!J16</f>
        <v>5.2403209213380229E-3</v>
      </c>
      <c r="L10" s="681">
        <f>tertiair!K16</f>
        <v>0</v>
      </c>
      <c r="M10" s="681">
        <f ca="1">tertiair!L16</f>
        <v>0</v>
      </c>
      <c r="N10" s="681">
        <f>tertiair!M16</f>
        <v>0</v>
      </c>
      <c r="O10" s="681">
        <f ca="1">tertiair!N16</f>
        <v>213.1537696230028</v>
      </c>
      <c r="P10" s="681">
        <f>tertiair!O16</f>
        <v>9.7945215316823084</v>
      </c>
      <c r="Q10" s="682">
        <f>tertiair!P16</f>
        <v>105.07827661299004</v>
      </c>
      <c r="R10" s="684">
        <f ca="1">SUM(C10:Q10)</f>
        <v>17407.483144325808</v>
      </c>
      <c r="S10" s="67"/>
    </row>
    <row r="11" spans="1:19" s="443" customFormat="1">
      <c r="A11" s="802" t="s">
        <v>214</v>
      </c>
      <c r="B11" s="807"/>
      <c r="C11" s="681">
        <f>huishoudens!B8</f>
        <v>17359.563395826823</v>
      </c>
      <c r="D11" s="681">
        <f>huishoudens!C8</f>
        <v>0</v>
      </c>
      <c r="E11" s="681">
        <f>huishoudens!D8</f>
        <v>25515.156707012382</v>
      </c>
      <c r="F11" s="681">
        <f>huishoudens!E8</f>
        <v>1263.5102054181298</v>
      </c>
      <c r="G11" s="681">
        <f>huishoudens!F8</f>
        <v>27679.21933167092</v>
      </c>
      <c r="H11" s="681">
        <f>huishoudens!G8</f>
        <v>0</v>
      </c>
      <c r="I11" s="681">
        <f>huishoudens!H8</f>
        <v>0</v>
      </c>
      <c r="J11" s="681">
        <f>huishoudens!I8</f>
        <v>0</v>
      </c>
      <c r="K11" s="681">
        <f>huishoudens!J8</f>
        <v>157.74689835143622</v>
      </c>
      <c r="L11" s="681">
        <f>huishoudens!K8</f>
        <v>0</v>
      </c>
      <c r="M11" s="681">
        <f>huishoudens!L8</f>
        <v>0</v>
      </c>
      <c r="N11" s="681">
        <f>huishoudens!M8</f>
        <v>0</v>
      </c>
      <c r="O11" s="681">
        <f>huishoudens!N8</f>
        <v>5055.8383178065806</v>
      </c>
      <c r="P11" s="681">
        <f>huishoudens!O8</f>
        <v>190.45998906115506</v>
      </c>
      <c r="Q11" s="682">
        <f>huishoudens!P8</f>
        <v>811.11486669174678</v>
      </c>
      <c r="R11" s="684">
        <f>SUM(C11:Q11)</f>
        <v>78032.609711839177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2239.8713834260161</v>
      </c>
      <c r="D13" s="681">
        <f>industrie!C18</f>
        <v>0</v>
      </c>
      <c r="E13" s="681">
        <f>industrie!D18</f>
        <v>2020.9891957892842</v>
      </c>
      <c r="F13" s="681">
        <f>industrie!E18</f>
        <v>6.4764817098896437</v>
      </c>
      <c r="G13" s="681">
        <f>industrie!F18</f>
        <v>722.99776679550109</v>
      </c>
      <c r="H13" s="681">
        <f>industrie!G18</f>
        <v>0</v>
      </c>
      <c r="I13" s="681">
        <f>industrie!H18</f>
        <v>0</v>
      </c>
      <c r="J13" s="681">
        <f>industrie!I18</f>
        <v>0</v>
      </c>
      <c r="K13" s="681">
        <f>industrie!J18</f>
        <v>0.12011273023016089</v>
      </c>
      <c r="L13" s="681">
        <f>industrie!K18</f>
        <v>0</v>
      </c>
      <c r="M13" s="681">
        <f>industrie!L18</f>
        <v>0</v>
      </c>
      <c r="N13" s="681">
        <f>industrie!M18</f>
        <v>0</v>
      </c>
      <c r="O13" s="681">
        <f>industrie!N18</f>
        <v>83.281839057651581</v>
      </c>
      <c r="P13" s="681">
        <f>industrie!O18</f>
        <v>0</v>
      </c>
      <c r="Q13" s="682">
        <f>industrie!P18</f>
        <v>0</v>
      </c>
      <c r="R13" s="684">
        <f>SUM(C13:Q13)</f>
        <v>5073.736779508572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27828.975466048814</v>
      </c>
      <c r="D16" s="717">
        <f t="shared" ref="D16:R16" ca="1" si="0">SUM(D9:D15)</f>
        <v>0</v>
      </c>
      <c r="E16" s="717">
        <f t="shared" ca="1" si="0"/>
        <v>35277.595086045672</v>
      </c>
      <c r="F16" s="717">
        <f t="shared" si="0"/>
        <v>1295.2475776095278</v>
      </c>
      <c r="G16" s="717">
        <f t="shared" ca="1" si="0"/>
        <v>29485.417674182136</v>
      </c>
      <c r="H16" s="717">
        <f t="shared" si="0"/>
        <v>0</v>
      </c>
      <c r="I16" s="717">
        <f t="shared" si="0"/>
        <v>0</v>
      </c>
      <c r="J16" s="717">
        <f t="shared" si="0"/>
        <v>0</v>
      </c>
      <c r="K16" s="717">
        <f t="shared" si="0"/>
        <v>157.87225140258769</v>
      </c>
      <c r="L16" s="717">
        <f t="shared" si="0"/>
        <v>0</v>
      </c>
      <c r="M16" s="717">
        <f t="shared" ca="1" si="0"/>
        <v>0</v>
      </c>
      <c r="N16" s="717">
        <f t="shared" si="0"/>
        <v>0</v>
      </c>
      <c r="O16" s="717">
        <f t="shared" ca="1" si="0"/>
        <v>5352.2739264872343</v>
      </c>
      <c r="P16" s="717">
        <f t="shared" si="0"/>
        <v>200.25451059283736</v>
      </c>
      <c r="Q16" s="717">
        <f t="shared" si="0"/>
        <v>916.19314330473685</v>
      </c>
      <c r="R16" s="717">
        <f t="shared" ca="1" si="0"/>
        <v>100513.82963567357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26.116577498707926</v>
      </c>
      <c r="D19" s="681">
        <f>transport!C54</f>
        <v>0</v>
      </c>
      <c r="E19" s="681">
        <f>transport!D54</f>
        <v>0</v>
      </c>
      <c r="F19" s="681">
        <f>transport!E54</f>
        <v>0</v>
      </c>
      <c r="G19" s="681">
        <f>transport!F54</f>
        <v>0</v>
      </c>
      <c r="H19" s="681">
        <f>transport!G54</f>
        <v>1634.976707362679</v>
      </c>
      <c r="I19" s="681">
        <f>transport!H54</f>
        <v>0</v>
      </c>
      <c r="J19" s="681">
        <f>transport!I54</f>
        <v>0</v>
      </c>
      <c r="K19" s="681">
        <f>transport!J54</f>
        <v>0</v>
      </c>
      <c r="L19" s="681">
        <f>transport!K54</f>
        <v>0</v>
      </c>
      <c r="M19" s="681">
        <f>transport!L54</f>
        <v>0</v>
      </c>
      <c r="N19" s="681">
        <f>transport!M54</f>
        <v>93.876742317641416</v>
      </c>
      <c r="O19" s="681">
        <f>transport!N54</f>
        <v>0</v>
      </c>
      <c r="P19" s="681">
        <f>transport!O54</f>
        <v>0</v>
      </c>
      <c r="Q19" s="682">
        <f>transport!P54</f>
        <v>0</v>
      </c>
      <c r="R19" s="684">
        <f>SUM(C19:Q19)</f>
        <v>1754.9700271790284</v>
      </c>
      <c r="S19" s="67"/>
    </row>
    <row r="20" spans="1:19" s="443" customFormat="1">
      <c r="A20" s="802" t="s">
        <v>296</v>
      </c>
      <c r="B20" s="807"/>
      <c r="C20" s="681">
        <f>transport!B14</f>
        <v>231.78526136228135</v>
      </c>
      <c r="D20" s="681">
        <f>transport!C14</f>
        <v>0</v>
      </c>
      <c r="E20" s="681">
        <f>transport!D14</f>
        <v>462.76285445531875</v>
      </c>
      <c r="F20" s="681">
        <f>transport!E14</f>
        <v>178.66756235328435</v>
      </c>
      <c r="G20" s="681">
        <f>transport!F14</f>
        <v>0</v>
      </c>
      <c r="H20" s="681">
        <f>transport!G14</f>
        <v>64649.57697318821</v>
      </c>
      <c r="I20" s="681">
        <f>transport!H14</f>
        <v>22564.41169169416</v>
      </c>
      <c r="J20" s="681">
        <f>transport!I14</f>
        <v>0</v>
      </c>
      <c r="K20" s="681">
        <f>transport!J14</f>
        <v>0</v>
      </c>
      <c r="L20" s="681">
        <f>transport!K14</f>
        <v>0</v>
      </c>
      <c r="M20" s="681">
        <f>transport!L14</f>
        <v>0</v>
      </c>
      <c r="N20" s="681">
        <f>transport!M14</f>
        <v>5311.6972161740478</v>
      </c>
      <c r="O20" s="681">
        <f>transport!N14</f>
        <v>0</v>
      </c>
      <c r="P20" s="681">
        <f>transport!O14</f>
        <v>0</v>
      </c>
      <c r="Q20" s="682">
        <f>transport!P14</f>
        <v>0</v>
      </c>
      <c r="R20" s="684">
        <f>SUM(C20:Q20)</f>
        <v>93398.901559227292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257.9018388609893</v>
      </c>
      <c r="D22" s="805">
        <f t="shared" ref="D22:R22" si="1">SUM(D18:D21)</f>
        <v>0</v>
      </c>
      <c r="E22" s="805">
        <f t="shared" si="1"/>
        <v>462.76285445531875</v>
      </c>
      <c r="F22" s="805">
        <f t="shared" si="1"/>
        <v>178.66756235328435</v>
      </c>
      <c r="G22" s="805">
        <f t="shared" si="1"/>
        <v>0</v>
      </c>
      <c r="H22" s="805">
        <f t="shared" si="1"/>
        <v>66284.553680550889</v>
      </c>
      <c r="I22" s="805">
        <f t="shared" si="1"/>
        <v>22564.41169169416</v>
      </c>
      <c r="J22" s="805">
        <f t="shared" si="1"/>
        <v>0</v>
      </c>
      <c r="K22" s="805">
        <f t="shared" si="1"/>
        <v>0</v>
      </c>
      <c r="L22" s="805">
        <f t="shared" si="1"/>
        <v>0</v>
      </c>
      <c r="M22" s="805">
        <f t="shared" si="1"/>
        <v>0</v>
      </c>
      <c r="N22" s="805">
        <f t="shared" si="1"/>
        <v>5405.5739584916892</v>
      </c>
      <c r="O22" s="805">
        <f t="shared" si="1"/>
        <v>0</v>
      </c>
      <c r="P22" s="805">
        <f t="shared" si="1"/>
        <v>0</v>
      </c>
      <c r="Q22" s="805">
        <f t="shared" si="1"/>
        <v>0</v>
      </c>
      <c r="R22" s="805">
        <f t="shared" si="1"/>
        <v>95153.871586406327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728.18568194608906</v>
      </c>
      <c r="D24" s="681">
        <f>+landbouw!C8</f>
        <v>62.357142857142847</v>
      </c>
      <c r="E24" s="681">
        <f>+landbouw!D8</f>
        <v>3368.5588480513557</v>
      </c>
      <c r="F24" s="681">
        <f>+landbouw!E8</f>
        <v>20.856470246721546</v>
      </c>
      <c r="G24" s="681">
        <f>+landbouw!F8</f>
        <v>2305.0597153952176</v>
      </c>
      <c r="H24" s="681">
        <f>+landbouw!G8</f>
        <v>0</v>
      </c>
      <c r="I24" s="681">
        <f>+landbouw!H8</f>
        <v>0</v>
      </c>
      <c r="J24" s="681">
        <f>+landbouw!I8</f>
        <v>0</v>
      </c>
      <c r="K24" s="681">
        <f>+landbouw!J8</f>
        <v>185.15475214665946</v>
      </c>
      <c r="L24" s="681">
        <f>+landbouw!K8</f>
        <v>0</v>
      </c>
      <c r="M24" s="681">
        <f>+landbouw!L8</f>
        <v>0</v>
      </c>
      <c r="N24" s="681">
        <f>+landbouw!M8</f>
        <v>0</v>
      </c>
      <c r="O24" s="681">
        <f>+landbouw!N8</f>
        <v>0</v>
      </c>
      <c r="P24" s="681">
        <f>+landbouw!O8</f>
        <v>0</v>
      </c>
      <c r="Q24" s="682">
        <f>+landbouw!P8</f>
        <v>0</v>
      </c>
      <c r="R24" s="684">
        <f>SUM(C24:Q24)</f>
        <v>6670.1726106431861</v>
      </c>
      <c r="S24" s="67"/>
    </row>
    <row r="25" spans="1:19" s="443" customFormat="1" ht="15" thickBot="1">
      <c r="A25" s="824" t="s">
        <v>690</v>
      </c>
      <c r="B25" s="937"/>
      <c r="C25" s="938">
        <f>IF(Onbekend_ele_kWh="---",0,Onbekend_ele_kWh)/1000+IF(REST_rest_ele_kWh="---",0,REST_rest_ele_kWh)/1000</f>
        <v>500.26859232233301</v>
      </c>
      <c r="D25" s="938"/>
      <c r="E25" s="938">
        <f>IF(onbekend_gas_kWh="---",0,onbekend_gas_kWh)/1000+IF(REST_rest_gas_kWh="---",0,REST_rest_gas_kWh)/1000</f>
        <v>1118.0818738278199</v>
      </c>
      <c r="F25" s="938"/>
      <c r="G25" s="938"/>
      <c r="H25" s="938"/>
      <c r="I25" s="938"/>
      <c r="J25" s="938"/>
      <c r="K25" s="938"/>
      <c r="L25" s="938"/>
      <c r="M25" s="938"/>
      <c r="N25" s="938"/>
      <c r="O25" s="938"/>
      <c r="P25" s="938"/>
      <c r="Q25" s="939"/>
      <c r="R25" s="684">
        <f>SUM(C25:Q25)</f>
        <v>1618.3504661501529</v>
      </c>
      <c r="S25" s="67"/>
    </row>
    <row r="26" spans="1:19" s="443" customFormat="1" ht="15.75" thickBot="1">
      <c r="A26" s="689" t="s">
        <v>691</v>
      </c>
      <c r="B26" s="810"/>
      <c r="C26" s="805">
        <f>SUM(C24:C25)</f>
        <v>1228.4542742684221</v>
      </c>
      <c r="D26" s="805">
        <f t="shared" ref="D26:R26" si="2">SUM(D24:D25)</f>
        <v>62.357142857142847</v>
      </c>
      <c r="E26" s="805">
        <f t="shared" si="2"/>
        <v>4486.6407218791755</v>
      </c>
      <c r="F26" s="805">
        <f t="shared" si="2"/>
        <v>20.856470246721546</v>
      </c>
      <c r="G26" s="805">
        <f t="shared" si="2"/>
        <v>2305.0597153952176</v>
      </c>
      <c r="H26" s="805">
        <f t="shared" si="2"/>
        <v>0</v>
      </c>
      <c r="I26" s="805">
        <f t="shared" si="2"/>
        <v>0</v>
      </c>
      <c r="J26" s="805">
        <f t="shared" si="2"/>
        <v>0</v>
      </c>
      <c r="K26" s="805">
        <f t="shared" si="2"/>
        <v>185.15475214665946</v>
      </c>
      <c r="L26" s="805">
        <f t="shared" si="2"/>
        <v>0</v>
      </c>
      <c r="M26" s="805">
        <f t="shared" si="2"/>
        <v>0</v>
      </c>
      <c r="N26" s="805">
        <f t="shared" si="2"/>
        <v>0</v>
      </c>
      <c r="O26" s="805">
        <f t="shared" si="2"/>
        <v>0</v>
      </c>
      <c r="P26" s="805">
        <f t="shared" si="2"/>
        <v>0</v>
      </c>
      <c r="Q26" s="805">
        <f t="shared" si="2"/>
        <v>0</v>
      </c>
      <c r="R26" s="805">
        <f t="shared" si="2"/>
        <v>8288.523076793339</v>
      </c>
      <c r="S26" s="67"/>
    </row>
    <row r="27" spans="1:19" s="443" customFormat="1" ht="17.25" thickTop="1" thickBot="1">
      <c r="A27" s="690" t="s">
        <v>109</v>
      </c>
      <c r="B27" s="797"/>
      <c r="C27" s="691">
        <f ca="1">C22+C16+C26</f>
        <v>29315.331579178222</v>
      </c>
      <c r="D27" s="691">
        <f t="shared" ref="D27:R27" ca="1" si="3">D22+D16+D26</f>
        <v>62.357142857142847</v>
      </c>
      <c r="E27" s="691">
        <f t="shared" ca="1" si="3"/>
        <v>40226.998662380167</v>
      </c>
      <c r="F27" s="691">
        <f t="shared" si="3"/>
        <v>1494.7716102095337</v>
      </c>
      <c r="G27" s="691">
        <f t="shared" ca="1" si="3"/>
        <v>31790.477389577354</v>
      </c>
      <c r="H27" s="691">
        <f t="shared" si="3"/>
        <v>66284.553680550889</v>
      </c>
      <c r="I27" s="691">
        <f t="shared" si="3"/>
        <v>22564.41169169416</v>
      </c>
      <c r="J27" s="691">
        <f t="shared" si="3"/>
        <v>0</v>
      </c>
      <c r="K27" s="691">
        <f t="shared" si="3"/>
        <v>343.02700354924718</v>
      </c>
      <c r="L27" s="691">
        <f t="shared" si="3"/>
        <v>0</v>
      </c>
      <c r="M27" s="691">
        <f t="shared" ca="1" si="3"/>
        <v>0</v>
      </c>
      <c r="N27" s="691">
        <f t="shared" si="3"/>
        <v>5405.5739584916892</v>
      </c>
      <c r="O27" s="691">
        <f t="shared" ca="1" si="3"/>
        <v>5352.2739264872343</v>
      </c>
      <c r="P27" s="691">
        <f t="shared" si="3"/>
        <v>200.25451059283736</v>
      </c>
      <c r="Q27" s="691">
        <f t="shared" si="3"/>
        <v>916.19314330473685</v>
      </c>
      <c r="R27" s="691">
        <f t="shared" ca="1" si="3"/>
        <v>203956.22429887322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1639.4759917191868</v>
      </c>
      <c r="D40" s="681">
        <f ca="1">tertiair!C20</f>
        <v>0</v>
      </c>
      <c r="E40" s="681">
        <f ca="1">tertiair!D20</f>
        <v>1563.77273501529</v>
      </c>
      <c r="F40" s="681">
        <f>tertiair!E20</f>
        <v>5.734222139302414</v>
      </c>
      <c r="G40" s="681">
        <f ca="1">tertiair!F20</f>
        <v>289.21455371609585</v>
      </c>
      <c r="H40" s="681">
        <f>tertiair!G20</f>
        <v>0</v>
      </c>
      <c r="I40" s="681">
        <f>tertiair!H20</f>
        <v>0</v>
      </c>
      <c r="J40" s="681">
        <f>tertiair!I20</f>
        <v>0</v>
      </c>
      <c r="K40" s="681">
        <f>tertiair!J20</f>
        <v>1.8550736061536601E-3</v>
      </c>
      <c r="L40" s="681">
        <f>tertiair!K20</f>
        <v>0</v>
      </c>
      <c r="M40" s="681">
        <f ca="1">tertiair!L20</f>
        <v>0</v>
      </c>
      <c r="N40" s="681">
        <f>tertiair!M20</f>
        <v>0</v>
      </c>
      <c r="O40" s="681">
        <f ca="1">tertiair!N20</f>
        <v>0</v>
      </c>
      <c r="P40" s="681">
        <f>tertiair!O20</f>
        <v>0</v>
      </c>
      <c r="Q40" s="764">
        <f>tertiair!P20</f>
        <v>0</v>
      </c>
      <c r="R40" s="843">
        <f t="shared" ca="1" si="4"/>
        <v>3498.1993576634814</v>
      </c>
    </row>
    <row r="41" spans="1:18">
      <c r="A41" s="815" t="s">
        <v>214</v>
      </c>
      <c r="B41" s="822"/>
      <c r="C41" s="681">
        <f ca="1">huishoudens!B12</f>
        <v>3458.3445780697507</v>
      </c>
      <c r="D41" s="681">
        <f ca="1">huishoudens!C12</f>
        <v>0</v>
      </c>
      <c r="E41" s="681">
        <f>huishoudens!D12</f>
        <v>5154.0616548165017</v>
      </c>
      <c r="F41" s="681">
        <f>huishoudens!E12</f>
        <v>286.81681662991548</v>
      </c>
      <c r="G41" s="681">
        <f>huishoudens!F12</f>
        <v>7390.3515615561364</v>
      </c>
      <c r="H41" s="681">
        <f>huishoudens!G12</f>
        <v>0</v>
      </c>
      <c r="I41" s="681">
        <f>huishoudens!H12</f>
        <v>0</v>
      </c>
      <c r="J41" s="681">
        <f>huishoudens!I12</f>
        <v>0</v>
      </c>
      <c r="K41" s="681">
        <f>huishoudens!J12</f>
        <v>55.842402016408414</v>
      </c>
      <c r="L41" s="681">
        <f>huishoudens!K12</f>
        <v>0</v>
      </c>
      <c r="M41" s="681">
        <f>huishoudens!L12</f>
        <v>0</v>
      </c>
      <c r="N41" s="681">
        <f>huishoudens!M12</f>
        <v>0</v>
      </c>
      <c r="O41" s="681">
        <f>huishoudens!N12</f>
        <v>0</v>
      </c>
      <c r="P41" s="681">
        <f>huishoudens!O12</f>
        <v>0</v>
      </c>
      <c r="Q41" s="764">
        <f>huishoudens!P12</f>
        <v>0</v>
      </c>
      <c r="R41" s="843">
        <f t="shared" ca="1" si="4"/>
        <v>16345.417013088714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446.22361045711119</v>
      </c>
      <c r="D43" s="681">
        <f ca="1">industrie!C22</f>
        <v>0</v>
      </c>
      <c r="E43" s="681">
        <f>industrie!D22</f>
        <v>408.23981754943543</v>
      </c>
      <c r="F43" s="681">
        <f>industrie!E22</f>
        <v>1.4701613481449491</v>
      </c>
      <c r="G43" s="681">
        <f>industrie!F22</f>
        <v>193.04040373439881</v>
      </c>
      <c r="H43" s="681">
        <f>industrie!G22</f>
        <v>0</v>
      </c>
      <c r="I43" s="681">
        <f>industrie!H22</f>
        <v>0</v>
      </c>
      <c r="J43" s="681">
        <f>industrie!I22</f>
        <v>0</v>
      </c>
      <c r="K43" s="681">
        <f>industrie!J22</f>
        <v>4.2519906501476953E-2</v>
      </c>
      <c r="L43" s="681">
        <f>industrie!K22</f>
        <v>0</v>
      </c>
      <c r="M43" s="681">
        <f>industrie!L22</f>
        <v>0</v>
      </c>
      <c r="N43" s="681">
        <f>industrie!M22</f>
        <v>0</v>
      </c>
      <c r="O43" s="681">
        <f>industrie!N22</f>
        <v>0</v>
      </c>
      <c r="P43" s="681">
        <f>industrie!O22</f>
        <v>0</v>
      </c>
      <c r="Q43" s="764">
        <f>industrie!P22</f>
        <v>0</v>
      </c>
      <c r="R43" s="842">
        <f t="shared" ca="1" si="4"/>
        <v>1049.0165129955917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5544.0441802460482</v>
      </c>
      <c r="D46" s="717">
        <f t="shared" ref="D46:Q46" ca="1" si="5">SUM(D39:D45)</f>
        <v>0</v>
      </c>
      <c r="E46" s="717">
        <f t="shared" ca="1" si="5"/>
        <v>7126.0742073812271</v>
      </c>
      <c r="F46" s="717">
        <f t="shared" si="5"/>
        <v>294.02120011736281</v>
      </c>
      <c r="G46" s="717">
        <f t="shared" ca="1" si="5"/>
        <v>7872.6065190066311</v>
      </c>
      <c r="H46" s="717">
        <f t="shared" si="5"/>
        <v>0</v>
      </c>
      <c r="I46" s="717">
        <f t="shared" si="5"/>
        <v>0</v>
      </c>
      <c r="J46" s="717">
        <f t="shared" si="5"/>
        <v>0</v>
      </c>
      <c r="K46" s="717">
        <f t="shared" si="5"/>
        <v>55.886776996516041</v>
      </c>
      <c r="L46" s="717">
        <f t="shared" si="5"/>
        <v>0</v>
      </c>
      <c r="M46" s="717">
        <f t="shared" ca="1" si="5"/>
        <v>0</v>
      </c>
      <c r="N46" s="717">
        <f t="shared" si="5"/>
        <v>0</v>
      </c>
      <c r="O46" s="717">
        <f t="shared" ca="1" si="5"/>
        <v>0</v>
      </c>
      <c r="P46" s="717">
        <f t="shared" si="5"/>
        <v>0</v>
      </c>
      <c r="Q46" s="717">
        <f t="shared" si="5"/>
        <v>0</v>
      </c>
      <c r="R46" s="717">
        <f ca="1">SUM(R39:R45)</f>
        <v>20892.632883747789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5.2029029838450684</v>
      </c>
      <c r="D49" s="681">
        <f ca="1">transport!C58</f>
        <v>0</v>
      </c>
      <c r="E49" s="681">
        <f>transport!D58</f>
        <v>0</v>
      </c>
      <c r="F49" s="681">
        <f>transport!E58</f>
        <v>0</v>
      </c>
      <c r="G49" s="681">
        <f>transport!F58</f>
        <v>0</v>
      </c>
      <c r="H49" s="681">
        <f>transport!G58</f>
        <v>436.53878086583529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441.74168384968038</v>
      </c>
    </row>
    <row r="50" spans="1:18">
      <c r="A50" s="818" t="s">
        <v>296</v>
      </c>
      <c r="B50" s="828"/>
      <c r="C50" s="687">
        <f ca="1">transport!B18</f>
        <v>46.175890696734108</v>
      </c>
      <c r="D50" s="687">
        <f>transport!C18</f>
        <v>0</v>
      </c>
      <c r="E50" s="687">
        <f>transport!D18</f>
        <v>93.478096599974393</v>
      </c>
      <c r="F50" s="687">
        <f>transport!E18</f>
        <v>40.557536654195552</v>
      </c>
      <c r="G50" s="687">
        <f>transport!F18</f>
        <v>0</v>
      </c>
      <c r="H50" s="687">
        <f>transport!G18</f>
        <v>17261.437051841254</v>
      </c>
      <c r="I50" s="687">
        <f>transport!H18</f>
        <v>5618.5385112318463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23060.187087024005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51.378793680579179</v>
      </c>
      <c r="D52" s="717">
        <f t="shared" ref="D52:Q52" ca="1" si="6">SUM(D48:D51)</f>
        <v>0</v>
      </c>
      <c r="E52" s="717">
        <f t="shared" si="6"/>
        <v>93.478096599974393</v>
      </c>
      <c r="F52" s="717">
        <f t="shared" si="6"/>
        <v>40.557536654195552</v>
      </c>
      <c r="G52" s="717">
        <f t="shared" si="6"/>
        <v>0</v>
      </c>
      <c r="H52" s="717">
        <f t="shared" si="6"/>
        <v>17697.975832707089</v>
      </c>
      <c r="I52" s="717">
        <f t="shared" si="6"/>
        <v>5618.5385112318463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23501.928770873685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145.06799206664815</v>
      </c>
      <c r="D54" s="687">
        <f ca="1">+landbouw!C12</f>
        <v>0</v>
      </c>
      <c r="E54" s="687">
        <f>+landbouw!D12</f>
        <v>680.44888730637388</v>
      </c>
      <c r="F54" s="687">
        <f>+landbouw!E12</f>
        <v>4.7344187460057912</v>
      </c>
      <c r="G54" s="687">
        <f>+landbouw!F12</f>
        <v>615.45094401052313</v>
      </c>
      <c r="H54" s="687">
        <f>+landbouw!G12</f>
        <v>0</v>
      </c>
      <c r="I54" s="687">
        <f>+landbouw!H12</f>
        <v>0</v>
      </c>
      <c r="J54" s="687">
        <f>+landbouw!I12</f>
        <v>0</v>
      </c>
      <c r="K54" s="687">
        <f>+landbouw!J12</f>
        <v>65.54478225991744</v>
      </c>
      <c r="L54" s="687">
        <f>+landbouw!K12</f>
        <v>0</v>
      </c>
      <c r="M54" s="687">
        <f>+landbouw!L12</f>
        <v>0</v>
      </c>
      <c r="N54" s="687">
        <f>+landbouw!M12</f>
        <v>0</v>
      </c>
      <c r="O54" s="687">
        <f>+landbouw!N12</f>
        <v>0</v>
      </c>
      <c r="P54" s="687">
        <f>+landbouw!O12</f>
        <v>0</v>
      </c>
      <c r="Q54" s="688">
        <f>+landbouw!P12</f>
        <v>0</v>
      </c>
      <c r="R54" s="716">
        <f ca="1">SUM(C54:Q54)</f>
        <v>1511.2470243894684</v>
      </c>
    </row>
    <row r="55" spans="1:18" ht="15" thickBot="1">
      <c r="A55" s="818" t="s">
        <v>690</v>
      </c>
      <c r="B55" s="828"/>
      <c r="C55" s="687">
        <f ca="1">C25*'EF ele_warmte'!B12</f>
        <v>99.662712384370053</v>
      </c>
      <c r="D55" s="687"/>
      <c r="E55" s="687">
        <f>E25*EF_CO2_aardgas</f>
        <v>225.85253851321963</v>
      </c>
      <c r="F55" s="687"/>
      <c r="G55" s="687"/>
      <c r="H55" s="687"/>
      <c r="I55" s="687"/>
      <c r="J55" s="687"/>
      <c r="K55" s="687"/>
      <c r="L55" s="687"/>
      <c r="M55" s="687"/>
      <c r="N55" s="687"/>
      <c r="O55" s="687"/>
      <c r="P55" s="687"/>
      <c r="Q55" s="688"/>
      <c r="R55" s="716">
        <f ca="1">SUM(C55:Q55)</f>
        <v>325.51525089758968</v>
      </c>
    </row>
    <row r="56" spans="1:18" ht="15.75" thickBot="1">
      <c r="A56" s="816" t="s">
        <v>691</v>
      </c>
      <c r="B56" s="829"/>
      <c r="C56" s="717">
        <f ca="1">SUM(C54:C55)</f>
        <v>244.7307044510182</v>
      </c>
      <c r="D56" s="717">
        <f t="shared" ref="D56:Q56" ca="1" si="7">SUM(D54:D55)</f>
        <v>0</v>
      </c>
      <c r="E56" s="717">
        <f t="shared" si="7"/>
        <v>906.30142581959353</v>
      </c>
      <c r="F56" s="717">
        <f t="shared" si="7"/>
        <v>4.7344187460057912</v>
      </c>
      <c r="G56" s="717">
        <f t="shared" si="7"/>
        <v>615.45094401052313</v>
      </c>
      <c r="H56" s="717">
        <f t="shared" si="7"/>
        <v>0</v>
      </c>
      <c r="I56" s="717">
        <f t="shared" si="7"/>
        <v>0</v>
      </c>
      <c r="J56" s="717">
        <f t="shared" si="7"/>
        <v>0</v>
      </c>
      <c r="K56" s="717">
        <f t="shared" si="7"/>
        <v>65.54478225991744</v>
      </c>
      <c r="L56" s="717">
        <f t="shared" si="7"/>
        <v>0</v>
      </c>
      <c r="M56" s="717">
        <f t="shared" si="7"/>
        <v>0</v>
      </c>
      <c r="N56" s="717">
        <f t="shared" si="7"/>
        <v>0</v>
      </c>
      <c r="O56" s="717">
        <f t="shared" si="7"/>
        <v>0</v>
      </c>
      <c r="P56" s="717">
        <f t="shared" si="7"/>
        <v>0</v>
      </c>
      <c r="Q56" s="718">
        <f t="shared" si="7"/>
        <v>0</v>
      </c>
      <c r="R56" s="719">
        <f ca="1">SUM(R54:R55)</f>
        <v>1836.7622752870579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5840.1536783776455</v>
      </c>
      <c r="D61" s="725">
        <f t="shared" ref="D61:Q61" ca="1" si="8">D46+D52+D56</f>
        <v>0</v>
      </c>
      <c r="E61" s="725">
        <f t="shared" ca="1" si="8"/>
        <v>8125.853729800795</v>
      </c>
      <c r="F61" s="725">
        <f t="shared" si="8"/>
        <v>339.31315551756416</v>
      </c>
      <c r="G61" s="725">
        <f t="shared" ca="1" si="8"/>
        <v>8488.0574630171541</v>
      </c>
      <c r="H61" s="725">
        <f t="shared" si="8"/>
        <v>17697.975832707089</v>
      </c>
      <c r="I61" s="725">
        <f t="shared" si="8"/>
        <v>5618.5385112318463</v>
      </c>
      <c r="J61" s="725">
        <f t="shared" si="8"/>
        <v>0</v>
      </c>
      <c r="K61" s="725">
        <f t="shared" si="8"/>
        <v>121.43155925643347</v>
      </c>
      <c r="L61" s="725">
        <f t="shared" si="8"/>
        <v>0</v>
      </c>
      <c r="M61" s="725">
        <f t="shared" ca="1" si="8"/>
        <v>0</v>
      </c>
      <c r="N61" s="725">
        <f t="shared" si="8"/>
        <v>0</v>
      </c>
      <c r="O61" s="725">
        <f t="shared" ca="1" si="8"/>
        <v>0</v>
      </c>
      <c r="P61" s="725">
        <f t="shared" si="8"/>
        <v>0</v>
      </c>
      <c r="Q61" s="725">
        <f t="shared" si="8"/>
        <v>0</v>
      </c>
      <c r="R61" s="725">
        <f ca="1">R46+R52+R56</f>
        <v>46231.323929908533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0.19921840769918928</v>
      </c>
      <c r="D63" s="771">
        <f t="shared" ca="1" si="9"/>
        <v>0</v>
      </c>
      <c r="E63" s="963">
        <f t="shared" ca="1" si="9"/>
        <v>0.20200000000000004</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2845.6468353879704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2889.2968353879705</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17359.563395826823</v>
      </c>
      <c r="C4" s="447">
        <f>huishoudens!C8</f>
        <v>0</v>
      </c>
      <c r="D4" s="447">
        <f>huishoudens!D8</f>
        <v>25515.156707012382</v>
      </c>
      <c r="E4" s="447">
        <f>huishoudens!E8</f>
        <v>1263.5102054181298</v>
      </c>
      <c r="F4" s="447">
        <f>huishoudens!F8</f>
        <v>27679.21933167092</v>
      </c>
      <c r="G4" s="447">
        <f>huishoudens!G8</f>
        <v>0</v>
      </c>
      <c r="H4" s="447">
        <f>huishoudens!H8</f>
        <v>0</v>
      </c>
      <c r="I4" s="447">
        <f>huishoudens!I8</f>
        <v>0</v>
      </c>
      <c r="J4" s="447">
        <f>huishoudens!J8</f>
        <v>157.74689835143622</v>
      </c>
      <c r="K4" s="447">
        <f>huishoudens!K8</f>
        <v>0</v>
      </c>
      <c r="L4" s="447">
        <f>huishoudens!L8</f>
        <v>0</v>
      </c>
      <c r="M4" s="447">
        <f>huishoudens!M8</f>
        <v>0</v>
      </c>
      <c r="N4" s="447">
        <f>huishoudens!N8</f>
        <v>5055.8383178065806</v>
      </c>
      <c r="O4" s="447">
        <f>huishoudens!O8</f>
        <v>190.45998906115506</v>
      </c>
      <c r="P4" s="448">
        <f>huishoudens!P8</f>
        <v>811.11486669174678</v>
      </c>
      <c r="Q4" s="449">
        <f>SUM(B4:P4)</f>
        <v>78032.609711839177</v>
      </c>
    </row>
    <row r="5" spans="1:17">
      <c r="A5" s="446" t="s">
        <v>149</v>
      </c>
      <c r="B5" s="447">
        <f ca="1">tertiair!B16</f>
        <v>7651.096686795976</v>
      </c>
      <c r="C5" s="447">
        <f ca="1">tertiair!C16</f>
        <v>0</v>
      </c>
      <c r="D5" s="447">
        <f ca="1">tertiair!D16</f>
        <v>7741.4491832440099</v>
      </c>
      <c r="E5" s="447">
        <f>tertiair!E16</f>
        <v>25.260890481508429</v>
      </c>
      <c r="F5" s="447">
        <f ca="1">tertiair!F16</f>
        <v>1083.2005757157146</v>
      </c>
      <c r="G5" s="447">
        <f>tertiair!G16</f>
        <v>0</v>
      </c>
      <c r="H5" s="447">
        <f>tertiair!H16</f>
        <v>0</v>
      </c>
      <c r="I5" s="447">
        <f>tertiair!I16</f>
        <v>0</v>
      </c>
      <c r="J5" s="447">
        <f>tertiair!J16</f>
        <v>5.2403209213380229E-3</v>
      </c>
      <c r="K5" s="447">
        <f>tertiair!K16</f>
        <v>0</v>
      </c>
      <c r="L5" s="447">
        <f ca="1">tertiair!L16</f>
        <v>0</v>
      </c>
      <c r="M5" s="447">
        <f>tertiair!M16</f>
        <v>0</v>
      </c>
      <c r="N5" s="447">
        <f ca="1">tertiair!N16</f>
        <v>213.1537696230028</v>
      </c>
      <c r="O5" s="447">
        <f>tertiair!O16</f>
        <v>9.7945215316823084</v>
      </c>
      <c r="P5" s="448">
        <f>tertiair!P16</f>
        <v>105.07827661299004</v>
      </c>
      <c r="Q5" s="446">
        <f t="shared" ref="Q5:Q14" ca="1" si="0">SUM(B5:P5)</f>
        <v>16829.039144325809</v>
      </c>
    </row>
    <row r="6" spans="1:17">
      <c r="A6" s="446" t="s">
        <v>187</v>
      </c>
      <c r="B6" s="447">
        <f>'openbare verlichting'!B8</f>
        <v>578.44399999999996</v>
      </c>
      <c r="C6" s="447"/>
      <c r="D6" s="447"/>
      <c r="E6" s="447"/>
      <c r="F6" s="447"/>
      <c r="G6" s="447"/>
      <c r="H6" s="447"/>
      <c r="I6" s="447"/>
      <c r="J6" s="447"/>
      <c r="K6" s="447"/>
      <c r="L6" s="447"/>
      <c r="M6" s="447"/>
      <c r="N6" s="447"/>
      <c r="O6" s="447"/>
      <c r="P6" s="448"/>
      <c r="Q6" s="446">
        <f t="shared" si="0"/>
        <v>578.44399999999996</v>
      </c>
    </row>
    <row r="7" spans="1:17">
      <c r="A7" s="446" t="s">
        <v>105</v>
      </c>
      <c r="B7" s="447">
        <f>landbouw!B8</f>
        <v>728.18568194608906</v>
      </c>
      <c r="C7" s="447">
        <f>landbouw!C8</f>
        <v>62.357142857142847</v>
      </c>
      <c r="D7" s="447">
        <f>landbouw!D8</f>
        <v>3368.5588480513557</v>
      </c>
      <c r="E7" s="447">
        <f>landbouw!E8</f>
        <v>20.856470246721546</v>
      </c>
      <c r="F7" s="447">
        <f>landbouw!F8</f>
        <v>2305.0597153952176</v>
      </c>
      <c r="G7" s="447">
        <f>landbouw!G8</f>
        <v>0</v>
      </c>
      <c r="H7" s="447">
        <f>landbouw!H8</f>
        <v>0</v>
      </c>
      <c r="I7" s="447">
        <f>landbouw!I8</f>
        <v>0</v>
      </c>
      <c r="J7" s="447">
        <f>landbouw!J8</f>
        <v>185.15475214665946</v>
      </c>
      <c r="K7" s="447">
        <f>landbouw!K8</f>
        <v>0</v>
      </c>
      <c r="L7" s="447">
        <f>landbouw!L8</f>
        <v>0</v>
      </c>
      <c r="M7" s="447">
        <f>landbouw!M8</f>
        <v>0</v>
      </c>
      <c r="N7" s="447">
        <f>landbouw!N8</f>
        <v>0</v>
      </c>
      <c r="O7" s="447">
        <f>landbouw!O8</f>
        <v>0</v>
      </c>
      <c r="P7" s="448">
        <f>landbouw!P8</f>
        <v>0</v>
      </c>
      <c r="Q7" s="446">
        <f t="shared" si="0"/>
        <v>6670.1726106431861</v>
      </c>
    </row>
    <row r="8" spans="1:17">
      <c r="A8" s="446" t="s">
        <v>611</v>
      </c>
      <c r="B8" s="447">
        <f>industrie!B18</f>
        <v>2239.8713834260161</v>
      </c>
      <c r="C8" s="447">
        <f>industrie!C18</f>
        <v>0</v>
      </c>
      <c r="D8" s="447">
        <f>industrie!D18</f>
        <v>2020.9891957892842</v>
      </c>
      <c r="E8" s="447">
        <f>industrie!E18</f>
        <v>6.4764817098896437</v>
      </c>
      <c r="F8" s="447">
        <f>industrie!F18</f>
        <v>722.99776679550109</v>
      </c>
      <c r="G8" s="447">
        <f>industrie!G18</f>
        <v>0</v>
      </c>
      <c r="H8" s="447">
        <f>industrie!H18</f>
        <v>0</v>
      </c>
      <c r="I8" s="447">
        <f>industrie!I18</f>
        <v>0</v>
      </c>
      <c r="J8" s="447">
        <f>industrie!J18</f>
        <v>0.12011273023016089</v>
      </c>
      <c r="K8" s="447">
        <f>industrie!K18</f>
        <v>0</v>
      </c>
      <c r="L8" s="447">
        <f>industrie!L18</f>
        <v>0</v>
      </c>
      <c r="M8" s="447">
        <f>industrie!M18</f>
        <v>0</v>
      </c>
      <c r="N8" s="447">
        <f>industrie!N18</f>
        <v>83.281839057651581</v>
      </c>
      <c r="O8" s="447">
        <f>industrie!O18</f>
        <v>0</v>
      </c>
      <c r="P8" s="448">
        <f>industrie!P18</f>
        <v>0</v>
      </c>
      <c r="Q8" s="446">
        <f t="shared" si="0"/>
        <v>5073.736779508572</v>
      </c>
    </row>
    <row r="9" spans="1:17" s="452" customFormat="1">
      <c r="A9" s="450" t="s">
        <v>537</v>
      </c>
      <c r="B9" s="451">
        <f>transport!B14</f>
        <v>231.78526136228135</v>
      </c>
      <c r="C9" s="451">
        <f>transport!C14</f>
        <v>0</v>
      </c>
      <c r="D9" s="451">
        <f>transport!D14</f>
        <v>462.76285445531875</v>
      </c>
      <c r="E9" s="451">
        <f>transport!E14</f>
        <v>178.66756235328435</v>
      </c>
      <c r="F9" s="451">
        <f>transport!F14</f>
        <v>0</v>
      </c>
      <c r="G9" s="451">
        <f>transport!G14</f>
        <v>64649.57697318821</v>
      </c>
      <c r="H9" s="451">
        <f>transport!H14</f>
        <v>22564.41169169416</v>
      </c>
      <c r="I9" s="451">
        <f>transport!I14</f>
        <v>0</v>
      </c>
      <c r="J9" s="451">
        <f>transport!J14</f>
        <v>0</v>
      </c>
      <c r="K9" s="451">
        <f>transport!K14</f>
        <v>0</v>
      </c>
      <c r="L9" s="451">
        <f>transport!L14</f>
        <v>0</v>
      </c>
      <c r="M9" s="451">
        <f>transport!M14</f>
        <v>5311.6972161740478</v>
      </c>
      <c r="N9" s="451">
        <f>transport!N14</f>
        <v>0</v>
      </c>
      <c r="O9" s="451">
        <f>transport!O14</f>
        <v>0</v>
      </c>
      <c r="P9" s="451">
        <f>transport!P14</f>
        <v>0</v>
      </c>
      <c r="Q9" s="450">
        <f>SUM(B9:P9)</f>
        <v>93398.901559227292</v>
      </c>
    </row>
    <row r="10" spans="1:17">
      <c r="A10" s="446" t="s">
        <v>527</v>
      </c>
      <c r="B10" s="447">
        <f>transport!B54</f>
        <v>26.116577498707926</v>
      </c>
      <c r="C10" s="447">
        <f>transport!C54</f>
        <v>0</v>
      </c>
      <c r="D10" s="447">
        <f>transport!D54</f>
        <v>0</v>
      </c>
      <c r="E10" s="447">
        <f>transport!E54</f>
        <v>0</v>
      </c>
      <c r="F10" s="447">
        <f>transport!F54</f>
        <v>0</v>
      </c>
      <c r="G10" s="447">
        <f>transport!G54</f>
        <v>1634.976707362679</v>
      </c>
      <c r="H10" s="447">
        <f>transport!H54</f>
        <v>0</v>
      </c>
      <c r="I10" s="447">
        <f>transport!I54</f>
        <v>0</v>
      </c>
      <c r="J10" s="447">
        <f>transport!J54</f>
        <v>0</v>
      </c>
      <c r="K10" s="447">
        <f>transport!K54</f>
        <v>0</v>
      </c>
      <c r="L10" s="447">
        <f>transport!L54</f>
        <v>0</v>
      </c>
      <c r="M10" s="447">
        <f>transport!M54</f>
        <v>93.876742317641416</v>
      </c>
      <c r="N10" s="447">
        <f>transport!N54</f>
        <v>0</v>
      </c>
      <c r="O10" s="447">
        <f>transport!O54</f>
        <v>0</v>
      </c>
      <c r="P10" s="448">
        <f>transport!P54</f>
        <v>0</v>
      </c>
      <c r="Q10" s="446">
        <f t="shared" si="0"/>
        <v>1754.9700271790284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500.26859232233301</v>
      </c>
      <c r="C14" s="454"/>
      <c r="D14" s="454">
        <f>'SEAP template'!E25</f>
        <v>1118.0818738278199</v>
      </c>
      <c r="E14" s="454"/>
      <c r="F14" s="454"/>
      <c r="G14" s="454"/>
      <c r="H14" s="454"/>
      <c r="I14" s="454"/>
      <c r="J14" s="454"/>
      <c r="K14" s="454"/>
      <c r="L14" s="454"/>
      <c r="M14" s="454"/>
      <c r="N14" s="454"/>
      <c r="O14" s="454"/>
      <c r="P14" s="455"/>
      <c r="Q14" s="446">
        <f t="shared" si="0"/>
        <v>1618.3504661501529</v>
      </c>
    </row>
    <row r="15" spans="1:17" s="458" customFormat="1">
      <c r="A15" s="456" t="s">
        <v>531</v>
      </c>
      <c r="B15" s="457">
        <f ca="1">SUM(B4:B14)</f>
        <v>29315.331579178226</v>
      </c>
      <c r="C15" s="457">
        <f t="shared" ref="C15:Q15" ca="1" si="1">SUM(C4:C14)</f>
        <v>62.357142857142847</v>
      </c>
      <c r="D15" s="457">
        <f t="shared" ca="1" si="1"/>
        <v>40226.99866238016</v>
      </c>
      <c r="E15" s="457">
        <f t="shared" si="1"/>
        <v>1494.7716102095337</v>
      </c>
      <c r="F15" s="457">
        <f t="shared" ca="1" si="1"/>
        <v>31790.477389577354</v>
      </c>
      <c r="G15" s="457">
        <f t="shared" si="1"/>
        <v>66284.553680550889</v>
      </c>
      <c r="H15" s="457">
        <f t="shared" si="1"/>
        <v>22564.41169169416</v>
      </c>
      <c r="I15" s="457">
        <f t="shared" si="1"/>
        <v>0</v>
      </c>
      <c r="J15" s="457">
        <f t="shared" si="1"/>
        <v>343.02700354924718</v>
      </c>
      <c r="K15" s="457">
        <f t="shared" si="1"/>
        <v>0</v>
      </c>
      <c r="L15" s="457">
        <f t="shared" ca="1" si="1"/>
        <v>0</v>
      </c>
      <c r="M15" s="457">
        <f t="shared" si="1"/>
        <v>5405.5739584916892</v>
      </c>
      <c r="N15" s="457">
        <f t="shared" ca="1" si="1"/>
        <v>5352.2739264872343</v>
      </c>
      <c r="O15" s="457">
        <f t="shared" si="1"/>
        <v>200.25451059283736</v>
      </c>
      <c r="P15" s="457">
        <f t="shared" si="1"/>
        <v>916.19314330473685</v>
      </c>
      <c r="Q15" s="457">
        <f t="shared" ca="1" si="1"/>
        <v>203956.22429887322</v>
      </c>
    </row>
    <row r="17" spans="1:17">
      <c r="A17" s="459" t="s">
        <v>532</v>
      </c>
      <c r="B17" s="776">
        <f ca="1">huishoudens!B10</f>
        <v>0.19921840769918928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3458.3445780697507</v>
      </c>
      <c r="C22" s="447">
        <f t="shared" ref="C22:C32" ca="1" si="3">C4*$C$17</f>
        <v>0</v>
      </c>
      <c r="D22" s="447">
        <f t="shared" ref="D22:D32" si="4">D4*$D$17</f>
        <v>5154.0616548165017</v>
      </c>
      <c r="E22" s="447">
        <f t="shared" ref="E22:E32" si="5">E4*$E$17</f>
        <v>286.81681662991548</v>
      </c>
      <c r="F22" s="447">
        <f t="shared" ref="F22:F32" si="6">F4*$F$17</f>
        <v>7390.3515615561364</v>
      </c>
      <c r="G22" s="447">
        <f t="shared" ref="G22:G32" si="7">G4*$G$17</f>
        <v>0</v>
      </c>
      <c r="H22" s="447">
        <f t="shared" ref="H22:H32" si="8">H4*$H$17</f>
        <v>0</v>
      </c>
      <c r="I22" s="447">
        <f t="shared" ref="I22:I32" si="9">I4*$I$17</f>
        <v>0</v>
      </c>
      <c r="J22" s="447">
        <f t="shared" ref="J22:J32" si="10">J4*$J$17</f>
        <v>55.842402016408414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16345.417013088714</v>
      </c>
    </row>
    <row r="23" spans="1:17">
      <c r="A23" s="446" t="s">
        <v>149</v>
      </c>
      <c r="B23" s="447">
        <f t="shared" ca="1" si="2"/>
        <v>1524.239299096037</v>
      </c>
      <c r="C23" s="447">
        <f t="shared" ca="1" si="3"/>
        <v>0</v>
      </c>
      <c r="D23" s="447">
        <f t="shared" ca="1" si="4"/>
        <v>1563.77273501529</v>
      </c>
      <c r="E23" s="447">
        <f t="shared" si="5"/>
        <v>5.734222139302414</v>
      </c>
      <c r="F23" s="447">
        <f t="shared" ca="1" si="6"/>
        <v>289.21455371609585</v>
      </c>
      <c r="G23" s="447">
        <f t="shared" si="7"/>
        <v>0</v>
      </c>
      <c r="H23" s="447">
        <f t="shared" si="8"/>
        <v>0</v>
      </c>
      <c r="I23" s="447">
        <f t="shared" si="9"/>
        <v>0</v>
      </c>
      <c r="J23" s="447">
        <f t="shared" si="10"/>
        <v>1.8550736061536601E-3</v>
      </c>
      <c r="K23" s="447">
        <f t="shared" si="11"/>
        <v>0</v>
      </c>
      <c r="L23" s="447">
        <f t="shared" ca="1" si="12"/>
        <v>0</v>
      </c>
      <c r="M23" s="447">
        <f t="shared" si="13"/>
        <v>0</v>
      </c>
      <c r="N23" s="447">
        <f t="shared" ca="1" si="14"/>
        <v>0</v>
      </c>
      <c r="O23" s="447">
        <f t="shared" si="15"/>
        <v>0</v>
      </c>
      <c r="P23" s="448">
        <f t="shared" si="16"/>
        <v>0</v>
      </c>
      <c r="Q23" s="446">
        <f t="shared" ref="Q23:Q31" ca="1" si="17">SUM(B23:P23)</f>
        <v>3382.9626650403316</v>
      </c>
    </row>
    <row r="24" spans="1:17">
      <c r="A24" s="446" t="s">
        <v>187</v>
      </c>
      <c r="B24" s="447">
        <f t="shared" ca="1" si="2"/>
        <v>115.23669262314984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115.23669262314984</v>
      </c>
    </row>
    <row r="25" spans="1:17">
      <c r="A25" s="446" t="s">
        <v>105</v>
      </c>
      <c r="B25" s="447">
        <f t="shared" ca="1" si="2"/>
        <v>145.06799206664815</v>
      </c>
      <c r="C25" s="447">
        <f t="shared" ca="1" si="3"/>
        <v>0</v>
      </c>
      <c r="D25" s="447">
        <f t="shared" si="4"/>
        <v>680.44888730637388</v>
      </c>
      <c r="E25" s="447">
        <f t="shared" si="5"/>
        <v>4.7344187460057912</v>
      </c>
      <c r="F25" s="447">
        <f t="shared" si="6"/>
        <v>615.45094401052313</v>
      </c>
      <c r="G25" s="447">
        <f t="shared" si="7"/>
        <v>0</v>
      </c>
      <c r="H25" s="447">
        <f t="shared" si="8"/>
        <v>0</v>
      </c>
      <c r="I25" s="447">
        <f t="shared" si="9"/>
        <v>0</v>
      </c>
      <c r="J25" s="447">
        <f t="shared" si="10"/>
        <v>65.54478225991744</v>
      </c>
      <c r="K25" s="447">
        <f t="shared" si="11"/>
        <v>0</v>
      </c>
      <c r="L25" s="447">
        <f t="shared" si="12"/>
        <v>0</v>
      </c>
      <c r="M25" s="447">
        <f t="shared" si="13"/>
        <v>0</v>
      </c>
      <c r="N25" s="447">
        <f t="shared" si="14"/>
        <v>0</v>
      </c>
      <c r="O25" s="447">
        <f t="shared" si="15"/>
        <v>0</v>
      </c>
      <c r="P25" s="448">
        <f t="shared" si="16"/>
        <v>0</v>
      </c>
      <c r="Q25" s="446">
        <f t="shared" ca="1" si="17"/>
        <v>1511.2470243894684</v>
      </c>
    </row>
    <row r="26" spans="1:17">
      <c r="A26" s="446" t="s">
        <v>611</v>
      </c>
      <c r="B26" s="447">
        <f t="shared" ca="1" si="2"/>
        <v>446.22361045711119</v>
      </c>
      <c r="C26" s="447">
        <f t="shared" ca="1" si="3"/>
        <v>0</v>
      </c>
      <c r="D26" s="447">
        <f t="shared" si="4"/>
        <v>408.23981754943543</v>
      </c>
      <c r="E26" s="447">
        <f t="shared" si="5"/>
        <v>1.4701613481449491</v>
      </c>
      <c r="F26" s="447">
        <f t="shared" si="6"/>
        <v>193.04040373439881</v>
      </c>
      <c r="G26" s="447">
        <f t="shared" si="7"/>
        <v>0</v>
      </c>
      <c r="H26" s="447">
        <f t="shared" si="8"/>
        <v>0</v>
      </c>
      <c r="I26" s="447">
        <f t="shared" si="9"/>
        <v>0</v>
      </c>
      <c r="J26" s="447">
        <f t="shared" si="10"/>
        <v>4.2519906501476953E-2</v>
      </c>
      <c r="K26" s="447">
        <f t="shared" si="11"/>
        <v>0</v>
      </c>
      <c r="L26" s="447">
        <f t="shared" si="12"/>
        <v>0</v>
      </c>
      <c r="M26" s="447">
        <f t="shared" si="13"/>
        <v>0</v>
      </c>
      <c r="N26" s="447">
        <f t="shared" si="14"/>
        <v>0</v>
      </c>
      <c r="O26" s="447">
        <f t="shared" si="15"/>
        <v>0</v>
      </c>
      <c r="P26" s="448">
        <f t="shared" si="16"/>
        <v>0</v>
      </c>
      <c r="Q26" s="446">
        <f t="shared" ca="1" si="17"/>
        <v>1049.0165129955917</v>
      </c>
    </row>
    <row r="27" spans="1:17" s="452" customFormat="1">
      <c r="A27" s="450" t="s">
        <v>537</v>
      </c>
      <c r="B27" s="770">
        <f t="shared" ca="1" si="2"/>
        <v>46.175890696734108</v>
      </c>
      <c r="C27" s="451">
        <f t="shared" ca="1" si="3"/>
        <v>0</v>
      </c>
      <c r="D27" s="451">
        <f t="shared" si="4"/>
        <v>93.478096599974393</v>
      </c>
      <c r="E27" s="451">
        <f t="shared" si="5"/>
        <v>40.557536654195552</v>
      </c>
      <c r="F27" s="451">
        <f t="shared" si="6"/>
        <v>0</v>
      </c>
      <c r="G27" s="451">
        <f t="shared" si="7"/>
        <v>17261.437051841254</v>
      </c>
      <c r="H27" s="451">
        <f t="shared" si="8"/>
        <v>5618.5385112318463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23060.187087024005</v>
      </c>
    </row>
    <row r="28" spans="1:17" ht="16.5" customHeight="1">
      <c r="A28" s="446" t="s">
        <v>527</v>
      </c>
      <c r="B28" s="447">
        <f t="shared" ca="1" si="2"/>
        <v>5.2029029838450684</v>
      </c>
      <c r="C28" s="447">
        <f t="shared" ca="1" si="3"/>
        <v>0</v>
      </c>
      <c r="D28" s="447">
        <f t="shared" si="4"/>
        <v>0</v>
      </c>
      <c r="E28" s="447">
        <f t="shared" si="5"/>
        <v>0</v>
      </c>
      <c r="F28" s="447">
        <f t="shared" si="6"/>
        <v>0</v>
      </c>
      <c r="G28" s="447">
        <f t="shared" si="7"/>
        <v>436.53878086583529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441.74168384968038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99.662712384370053</v>
      </c>
      <c r="C32" s="447">
        <f t="shared" ca="1" si="3"/>
        <v>0</v>
      </c>
      <c r="D32" s="447">
        <f t="shared" si="4"/>
        <v>225.85253851321963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325.51525089758968</v>
      </c>
    </row>
    <row r="33" spans="1:17" s="458" customFormat="1">
      <c r="A33" s="456" t="s">
        <v>531</v>
      </c>
      <c r="B33" s="457">
        <f ca="1">SUM(B22:B32)</f>
        <v>5840.1536783776455</v>
      </c>
      <c r="C33" s="457">
        <f t="shared" ref="C33:Q33" ca="1" si="19">SUM(C22:C32)</f>
        <v>0</v>
      </c>
      <c r="D33" s="457">
        <f t="shared" ca="1" si="19"/>
        <v>8125.853729800795</v>
      </c>
      <c r="E33" s="457">
        <f t="shared" si="19"/>
        <v>339.31315551756416</v>
      </c>
      <c r="F33" s="457">
        <f t="shared" ca="1" si="19"/>
        <v>8488.0574630171559</v>
      </c>
      <c r="G33" s="457">
        <f t="shared" si="19"/>
        <v>17697.975832707089</v>
      </c>
      <c r="H33" s="457">
        <f t="shared" si="19"/>
        <v>5618.5385112318463</v>
      </c>
      <c r="I33" s="457">
        <f t="shared" si="19"/>
        <v>0</v>
      </c>
      <c r="J33" s="457">
        <f t="shared" si="19"/>
        <v>121.43155925643349</v>
      </c>
      <c r="K33" s="457">
        <f t="shared" si="19"/>
        <v>0</v>
      </c>
      <c r="L33" s="457">
        <f t="shared" ca="1" si="19"/>
        <v>0</v>
      </c>
      <c r="M33" s="457">
        <f t="shared" si="19"/>
        <v>0</v>
      </c>
      <c r="N33" s="457">
        <f t="shared" ca="1" si="19"/>
        <v>0</v>
      </c>
      <c r="O33" s="457">
        <f t="shared" si="19"/>
        <v>0</v>
      </c>
      <c r="P33" s="457">
        <f t="shared" si="19"/>
        <v>0</v>
      </c>
      <c r="Q33" s="457">
        <f t="shared" ca="1" si="19"/>
        <v>46231.323929908533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2845.6468353879704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2889.2968353879705</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0.19921840769918928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0.19921840769918928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0.19921840769918928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0.19921840769918928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1830.25</v>
      </c>
      <c r="C14" s="326"/>
      <c r="D14" s="326"/>
      <c r="E14" s="326"/>
      <c r="F14" s="326"/>
    </row>
    <row r="15" spans="1:6">
      <c r="A15" s="1310" t="s">
        <v>177</v>
      </c>
      <c r="B15" s="1311">
        <v>18</v>
      </c>
      <c r="C15" s="326"/>
      <c r="D15" s="326"/>
      <c r="E15" s="326"/>
      <c r="F15" s="326"/>
    </row>
    <row r="16" spans="1:6">
      <c r="A16" s="1310" t="s">
        <v>6</v>
      </c>
      <c r="B16" s="1311">
        <v>621</v>
      </c>
      <c r="C16" s="326"/>
      <c r="D16" s="326"/>
      <c r="E16" s="326"/>
      <c r="F16" s="326"/>
    </row>
    <row r="17" spans="1:6">
      <c r="A17" s="1310" t="s">
        <v>7</v>
      </c>
      <c r="B17" s="1311">
        <v>575</v>
      </c>
      <c r="C17" s="326"/>
      <c r="D17" s="326"/>
      <c r="E17" s="326"/>
      <c r="F17" s="326"/>
    </row>
    <row r="18" spans="1:6">
      <c r="A18" s="1310" t="s">
        <v>8</v>
      </c>
      <c r="B18" s="1311">
        <v>720</v>
      </c>
      <c r="C18" s="326"/>
      <c r="D18" s="326"/>
      <c r="E18" s="326"/>
      <c r="F18" s="326"/>
    </row>
    <row r="19" spans="1:6">
      <c r="A19" s="1310" t="s">
        <v>9</v>
      </c>
      <c r="B19" s="1311">
        <v>565</v>
      </c>
      <c r="C19" s="326"/>
      <c r="D19" s="326"/>
      <c r="E19" s="326"/>
      <c r="F19" s="326"/>
    </row>
    <row r="20" spans="1:6">
      <c r="A20" s="1310" t="s">
        <v>10</v>
      </c>
      <c r="B20" s="1311">
        <v>421</v>
      </c>
      <c r="C20" s="326"/>
      <c r="D20" s="326"/>
      <c r="E20" s="326"/>
      <c r="F20" s="326"/>
    </row>
    <row r="21" spans="1:6">
      <c r="A21" s="1310" t="s">
        <v>11</v>
      </c>
      <c r="B21" s="1311">
        <v>0</v>
      </c>
      <c r="C21" s="326"/>
      <c r="D21" s="326"/>
      <c r="E21" s="326"/>
      <c r="F21" s="326"/>
    </row>
    <row r="22" spans="1:6">
      <c r="A22" s="1310" t="s">
        <v>12</v>
      </c>
      <c r="B22" s="1311">
        <v>3</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427</v>
      </c>
      <c r="C26" s="326"/>
      <c r="D26" s="326"/>
      <c r="E26" s="326"/>
      <c r="F26" s="326"/>
    </row>
    <row r="27" spans="1:6">
      <c r="A27" s="1310" t="s">
        <v>17</v>
      </c>
      <c r="B27" s="1311">
        <v>9</v>
      </c>
      <c r="C27" s="326"/>
      <c r="D27" s="326"/>
      <c r="E27" s="326"/>
      <c r="F27" s="326"/>
    </row>
    <row r="28" spans="1:6">
      <c r="A28" s="1310" t="s">
        <v>18</v>
      </c>
      <c r="B28" s="1312">
        <v>8243</v>
      </c>
      <c r="C28" s="326"/>
      <c r="D28" s="326"/>
      <c r="E28" s="326"/>
      <c r="F28" s="326"/>
    </row>
    <row r="29" spans="1:6">
      <c r="A29" s="1310" t="s">
        <v>678</v>
      </c>
      <c r="B29" s="1312">
        <v>162</v>
      </c>
      <c r="C29" s="326"/>
      <c r="D29" s="326"/>
      <c r="E29" s="326"/>
      <c r="F29" s="326"/>
    </row>
    <row r="30" spans="1:6">
      <c r="A30" s="1305" t="s">
        <v>679</v>
      </c>
      <c r="B30" s="1313">
        <v>18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6.6442106047999996</v>
      </c>
    </row>
    <row r="39" spans="1:6">
      <c r="A39" s="1310" t="s">
        <v>29</v>
      </c>
      <c r="B39" s="1310" t="s">
        <v>30</v>
      </c>
      <c r="C39" s="1311">
        <v>1610</v>
      </c>
      <c r="D39" s="1311">
        <v>28255987.4939229</v>
      </c>
      <c r="E39" s="1311">
        <v>3482</v>
      </c>
      <c r="F39" s="1311">
        <v>14781663.66413</v>
      </c>
    </row>
    <row r="40" spans="1:6">
      <c r="A40" s="1310" t="s">
        <v>29</v>
      </c>
      <c r="B40" s="1310" t="s">
        <v>28</v>
      </c>
      <c r="C40" s="1311">
        <v>0</v>
      </c>
      <c r="D40" s="1311">
        <v>0</v>
      </c>
      <c r="E40" s="1311">
        <v>0</v>
      </c>
      <c r="F40" s="1311">
        <v>0</v>
      </c>
    </row>
    <row r="41" spans="1:6">
      <c r="A41" s="1310" t="s">
        <v>31</v>
      </c>
      <c r="B41" s="1310" t="s">
        <v>32</v>
      </c>
      <c r="C41" s="1311">
        <v>45</v>
      </c>
      <c r="D41" s="1311">
        <v>2175660.75905697</v>
      </c>
      <c r="E41" s="1311">
        <v>111</v>
      </c>
      <c r="F41" s="1311">
        <v>1084186.1802211299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10397.2610656992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155567.86786403501</v>
      </c>
    </row>
    <row r="48" spans="1:6">
      <c r="A48" s="1310" t="s">
        <v>31</v>
      </c>
      <c r="B48" s="1310" t="s">
        <v>28</v>
      </c>
      <c r="C48" s="1311">
        <v>4</v>
      </c>
      <c r="D48" s="1311">
        <v>62422.514242347592</v>
      </c>
      <c r="E48" s="1311">
        <v>2</v>
      </c>
      <c r="F48" s="1311">
        <v>14886</v>
      </c>
    </row>
    <row r="49" spans="1:6">
      <c r="A49" s="1310" t="s">
        <v>31</v>
      </c>
      <c r="B49" s="1310" t="s">
        <v>39</v>
      </c>
      <c r="C49" s="1311">
        <v>0</v>
      </c>
      <c r="D49" s="1311">
        <v>0</v>
      </c>
      <c r="E49" s="1311">
        <v>0</v>
      </c>
      <c r="F49" s="1311">
        <v>0</v>
      </c>
    </row>
    <row r="50" spans="1:6">
      <c r="A50" s="1310" t="s">
        <v>31</v>
      </c>
      <c r="B50" s="1310" t="s">
        <v>40</v>
      </c>
      <c r="C50" s="1311">
        <v>0</v>
      </c>
      <c r="D50" s="1311">
        <v>0</v>
      </c>
      <c r="E50" s="1311">
        <v>9</v>
      </c>
      <c r="F50" s="1311">
        <v>974834.07427515194</v>
      </c>
    </row>
    <row r="51" spans="1:6">
      <c r="A51" s="1310" t="s">
        <v>41</v>
      </c>
      <c r="B51" s="1310" t="s">
        <v>42</v>
      </c>
      <c r="C51" s="1311">
        <v>7</v>
      </c>
      <c r="D51" s="1311">
        <v>3730408.4696028298</v>
      </c>
      <c r="E51" s="1311">
        <v>62</v>
      </c>
      <c r="F51" s="1311">
        <v>728185.68194608903</v>
      </c>
    </row>
    <row r="52" spans="1:6">
      <c r="A52" s="1310" t="s">
        <v>41</v>
      </c>
      <c r="B52" s="1310" t="s">
        <v>28</v>
      </c>
      <c r="C52" s="1311">
        <v>0</v>
      </c>
      <c r="D52" s="1311">
        <v>0</v>
      </c>
      <c r="E52" s="1311">
        <v>0</v>
      </c>
      <c r="F52" s="1311">
        <v>0</v>
      </c>
    </row>
    <row r="53" spans="1:6">
      <c r="A53" s="1310" t="s">
        <v>43</v>
      </c>
      <c r="B53" s="1310" t="s">
        <v>44</v>
      </c>
      <c r="C53" s="1311">
        <v>55</v>
      </c>
      <c r="D53" s="1311">
        <v>1118081.8738278199</v>
      </c>
      <c r="E53" s="1311">
        <v>120</v>
      </c>
      <c r="F53" s="1311">
        <v>500268.59232233302</v>
      </c>
    </row>
    <row r="54" spans="1:6">
      <c r="A54" s="1310" t="s">
        <v>45</v>
      </c>
      <c r="B54" s="1310" t="s">
        <v>46</v>
      </c>
      <c r="C54" s="1311">
        <v>0</v>
      </c>
      <c r="D54" s="1311">
        <v>0</v>
      </c>
      <c r="E54" s="1311">
        <v>1</v>
      </c>
      <c r="F54" s="1311">
        <v>578444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778869.14568909898</v>
      </c>
      <c r="E57" s="1311">
        <v>53</v>
      </c>
      <c r="F57" s="1311">
        <v>518116.64468317502</v>
      </c>
    </row>
    <row r="58" spans="1:6">
      <c r="A58" s="1310" t="s">
        <v>48</v>
      </c>
      <c r="B58" s="1310" t="s">
        <v>50</v>
      </c>
      <c r="C58" s="1311">
        <v>21</v>
      </c>
      <c r="D58" s="1311">
        <v>1661857.9073821199</v>
      </c>
      <c r="E58" s="1311">
        <v>37</v>
      </c>
      <c r="F58" s="1311">
        <v>1172410.240117</v>
      </c>
    </row>
    <row r="59" spans="1:6">
      <c r="A59" s="1310" t="s">
        <v>48</v>
      </c>
      <c r="B59" s="1310" t="s">
        <v>51</v>
      </c>
      <c r="C59" s="1311">
        <v>49</v>
      </c>
      <c r="D59" s="1311">
        <v>1551326.6550169501</v>
      </c>
      <c r="E59" s="1311">
        <v>124</v>
      </c>
      <c r="F59" s="1311">
        <v>2259721.5406736499</v>
      </c>
    </row>
    <row r="60" spans="1:6">
      <c r="A60" s="1310" t="s">
        <v>48</v>
      </c>
      <c r="B60" s="1310" t="s">
        <v>52</v>
      </c>
      <c r="C60" s="1311">
        <v>25</v>
      </c>
      <c r="D60" s="1311">
        <v>778218.24288121099</v>
      </c>
      <c r="E60" s="1311">
        <v>44</v>
      </c>
      <c r="F60" s="1311">
        <v>839293.00224388496</v>
      </c>
    </row>
    <row r="61" spans="1:6">
      <c r="A61" s="1310" t="s">
        <v>48</v>
      </c>
      <c r="B61" s="1310" t="s">
        <v>53</v>
      </c>
      <c r="C61" s="1311">
        <v>97</v>
      </c>
      <c r="D61" s="1311">
        <v>2580082.4885617201</v>
      </c>
      <c r="E61" s="1311">
        <v>208</v>
      </c>
      <c r="F61" s="1311">
        <v>2016285.88877071</v>
      </c>
    </row>
    <row r="62" spans="1:6">
      <c r="A62" s="1310" t="s">
        <v>48</v>
      </c>
      <c r="B62" s="1310" t="s">
        <v>54</v>
      </c>
      <c r="C62" s="1311">
        <v>10</v>
      </c>
      <c r="D62" s="1311">
        <v>1222678.98598829</v>
      </c>
      <c r="E62" s="1311">
        <v>14</v>
      </c>
      <c r="F62" s="1311">
        <v>845269.370307556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2592.9393613185998</v>
      </c>
      <c r="E65" s="1311">
        <v>0</v>
      </c>
      <c r="F65" s="1311">
        <v>0</v>
      </c>
    </row>
    <row r="66" spans="1:6">
      <c r="A66" s="1310" t="s">
        <v>55</v>
      </c>
      <c r="B66" s="1310" t="s">
        <v>57</v>
      </c>
      <c r="C66" s="1311">
        <v>0</v>
      </c>
      <c r="D66" s="1311">
        <v>0</v>
      </c>
      <c r="E66" s="1311">
        <v>12</v>
      </c>
      <c r="F66" s="1311">
        <v>121030.01137217801</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57111.8458584564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54816246</v>
      </c>
      <c r="E73" s="445"/>
      <c r="F73" s="326"/>
    </row>
    <row r="74" spans="1:6">
      <c r="A74" s="1310" t="s">
        <v>63</v>
      </c>
      <c r="B74" s="1310" t="s">
        <v>632</v>
      </c>
      <c r="C74" s="1323" t="s">
        <v>634</v>
      </c>
      <c r="D74" s="1311">
        <v>3069154.4729413721</v>
      </c>
      <c r="E74" s="445"/>
      <c r="F74" s="326"/>
    </row>
    <row r="75" spans="1:6">
      <c r="A75" s="1310" t="s">
        <v>64</v>
      </c>
      <c r="B75" s="1310" t="s">
        <v>631</v>
      </c>
      <c r="C75" s="1323" t="s">
        <v>635</v>
      </c>
      <c r="D75" s="1311">
        <v>51304643</v>
      </c>
      <c r="E75" s="445"/>
      <c r="F75" s="326"/>
    </row>
    <row r="76" spans="1:6">
      <c r="A76" s="1310" t="s">
        <v>64</v>
      </c>
      <c r="B76" s="1310" t="s">
        <v>632</v>
      </c>
      <c r="C76" s="1323" t="s">
        <v>636</v>
      </c>
      <c r="D76" s="1311">
        <v>1583167.4729413721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487131.05411725602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2577.8997316968212</v>
      </c>
      <c r="C91" s="326"/>
      <c r="D91" s="326"/>
      <c r="E91" s="326"/>
      <c r="F91" s="326"/>
    </row>
    <row r="92" spans="1:6">
      <c r="A92" s="1305" t="s">
        <v>68</v>
      </c>
      <c r="B92" s="1306">
        <v>267.74710369114939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622</v>
      </c>
      <c r="C97" s="326"/>
      <c r="D97" s="326"/>
      <c r="E97" s="326"/>
      <c r="F97" s="326"/>
    </row>
    <row r="98" spans="1:6">
      <c r="A98" s="1310" t="s">
        <v>71</v>
      </c>
      <c r="B98" s="1311">
        <v>2</v>
      </c>
      <c r="C98" s="326"/>
      <c r="D98" s="326"/>
      <c r="E98" s="326"/>
      <c r="F98" s="326"/>
    </row>
    <row r="99" spans="1:6">
      <c r="A99" s="1310" t="s">
        <v>72</v>
      </c>
      <c r="B99" s="1311">
        <v>79</v>
      </c>
      <c r="C99" s="326"/>
      <c r="D99" s="326"/>
      <c r="E99" s="326"/>
      <c r="F99" s="326"/>
    </row>
    <row r="100" spans="1:6">
      <c r="A100" s="1310" t="s">
        <v>73</v>
      </c>
      <c r="B100" s="1311">
        <v>385</v>
      </c>
      <c r="C100" s="326"/>
      <c r="D100" s="326"/>
      <c r="E100" s="326"/>
      <c r="F100" s="326"/>
    </row>
    <row r="101" spans="1:6">
      <c r="A101" s="1310" t="s">
        <v>74</v>
      </c>
      <c r="B101" s="1311">
        <v>43</v>
      </c>
      <c r="C101" s="326"/>
      <c r="D101" s="326"/>
      <c r="E101" s="326"/>
      <c r="F101" s="326"/>
    </row>
    <row r="102" spans="1:6">
      <c r="A102" s="1310" t="s">
        <v>75</v>
      </c>
      <c r="B102" s="1311">
        <v>42</v>
      </c>
      <c r="C102" s="326"/>
      <c r="D102" s="326"/>
      <c r="E102" s="326"/>
      <c r="F102" s="326"/>
    </row>
    <row r="103" spans="1:6">
      <c r="A103" s="1310" t="s">
        <v>76</v>
      </c>
      <c r="B103" s="1311">
        <v>96</v>
      </c>
      <c r="C103" s="326"/>
      <c r="D103" s="326"/>
      <c r="E103" s="326"/>
      <c r="F103" s="326"/>
    </row>
    <row r="104" spans="1:6">
      <c r="A104" s="1310" t="s">
        <v>77</v>
      </c>
      <c r="B104" s="1311">
        <v>2009</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46</v>
      </c>
      <c r="C123" s="1311">
        <v>20</v>
      </c>
      <c r="D123" s="326"/>
      <c r="E123" s="326"/>
      <c r="F123" s="326"/>
    </row>
    <row r="124" spans="1:6">
      <c r="A124" s="1310" t="s">
        <v>88</v>
      </c>
      <c r="B124" s="1311">
        <v>1</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75</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29315.331579178222</v>
      </c>
      <c r="C3" s="43" t="s">
        <v>163</v>
      </c>
      <c r="D3" s="43"/>
      <c r="E3" s="154"/>
      <c r="F3" s="43"/>
      <c r="G3" s="43"/>
      <c r="H3" s="43"/>
      <c r="I3" s="43"/>
      <c r="J3" s="43"/>
      <c r="K3" s="96"/>
    </row>
    <row r="4" spans="1:11">
      <c r="A4" s="352" t="s">
        <v>164</v>
      </c>
      <c r="B4" s="49">
        <f>IF(ISERROR('SEAP template'!B78+'SEAP template'!C78),0,'SEAP template'!B78+'SEAP template'!C78)</f>
        <v>2889.2968353879705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0.19921840769918928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578.44399999999996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578.44399999999996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0.19921840769918928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115.23669262314984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14781.663664130001</v>
      </c>
      <c r="C5" s="17">
        <f>IF(ISERROR('Eigen informatie GS &amp; warmtenet'!B59),0,'Eigen informatie GS &amp; warmtenet'!B59)</f>
        <v>0</v>
      </c>
      <c r="D5" s="30">
        <f>(SUM(HH_hh_gas_kWh,HH_rest_gas_kWh)/1000)*0.903</f>
        <v>25515.156707012382</v>
      </c>
      <c r="E5" s="17">
        <f>B32*B41</f>
        <v>1263.5102054181298</v>
      </c>
      <c r="F5" s="17">
        <f>B36*B45</f>
        <v>27679.21933167092</v>
      </c>
      <c r="G5" s="18"/>
      <c r="H5" s="17"/>
      <c r="I5" s="17"/>
      <c r="J5" s="17">
        <f>B35*B44+C35*C44</f>
        <v>157.74689835143622</v>
      </c>
      <c r="K5" s="17"/>
      <c r="L5" s="17"/>
      <c r="M5" s="17"/>
      <c r="N5" s="17">
        <f>B34*B43+C34*C43</f>
        <v>5055.8383178065806</v>
      </c>
      <c r="O5" s="17">
        <f>B52*B53*B54</f>
        <v>190.45998906115506</v>
      </c>
      <c r="P5" s="17">
        <f>B60*B61*B62/1000-B60*B61*B62/1000/B63</f>
        <v>811.11486669174678</v>
      </c>
    </row>
    <row r="6" spans="1:16">
      <c r="A6" s="16" t="s">
        <v>597</v>
      </c>
      <c r="B6" s="778">
        <f>kWh_PV_kleiner_dan_10kW</f>
        <v>2577.8997316968212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17359.563395826823</v>
      </c>
      <c r="C8" s="21">
        <f>C5</f>
        <v>0</v>
      </c>
      <c r="D8" s="21">
        <f>D5</f>
        <v>25515.156707012382</v>
      </c>
      <c r="E8" s="21">
        <f>E5</f>
        <v>1263.5102054181298</v>
      </c>
      <c r="F8" s="21">
        <f>F5</f>
        <v>27679.21933167092</v>
      </c>
      <c r="G8" s="21"/>
      <c r="H8" s="21"/>
      <c r="I8" s="21"/>
      <c r="J8" s="21">
        <f>J5</f>
        <v>157.74689835143622</v>
      </c>
      <c r="K8" s="21"/>
      <c r="L8" s="21">
        <f>L5</f>
        <v>0</v>
      </c>
      <c r="M8" s="21">
        <f>M5</f>
        <v>0</v>
      </c>
      <c r="N8" s="21">
        <f>N5</f>
        <v>5055.8383178065806</v>
      </c>
      <c r="O8" s="21">
        <f>O5</f>
        <v>190.45998906115506</v>
      </c>
      <c r="P8" s="21">
        <f>P5</f>
        <v>811.11486669174678</v>
      </c>
    </row>
    <row r="9" spans="1:16">
      <c r="B9" s="19"/>
      <c r="C9" s="19"/>
      <c r="D9" s="254"/>
      <c r="E9" s="19"/>
      <c r="F9" s="19"/>
      <c r="G9" s="19"/>
      <c r="H9" s="19"/>
      <c r="I9" s="19"/>
      <c r="J9" s="19"/>
      <c r="K9" s="19"/>
      <c r="L9" s="19"/>
      <c r="M9" s="19"/>
      <c r="N9" s="19"/>
      <c r="O9" s="19"/>
      <c r="P9" s="19"/>
    </row>
    <row r="10" spans="1:16">
      <c r="A10" s="24" t="s">
        <v>207</v>
      </c>
      <c r="B10" s="25">
        <f ca="1">'EF ele_warmte'!B12</f>
        <v>0.19921840769918928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3458.3445780697507</v>
      </c>
      <c r="C12" s="23">
        <f ca="1">C10*C8</f>
        <v>0</v>
      </c>
      <c r="D12" s="23">
        <f>D8*D10</f>
        <v>5154.0616548165017</v>
      </c>
      <c r="E12" s="23">
        <f>E10*E8</f>
        <v>286.81681662991548</v>
      </c>
      <c r="F12" s="23">
        <f>F10*F8</f>
        <v>7390.3515615561364</v>
      </c>
      <c r="G12" s="23"/>
      <c r="H12" s="23"/>
      <c r="I12" s="23"/>
      <c r="J12" s="23">
        <f>J10*J8</f>
        <v>55.842402016408414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3597</v>
      </c>
      <c r="C26" s="36"/>
      <c r="D26" s="225"/>
    </row>
    <row r="27" spans="1:5" s="15" customFormat="1">
      <c r="A27" s="227" t="s">
        <v>860</v>
      </c>
      <c r="B27" s="37">
        <f>SUM(HH_hh_gas_aantal,HH_rest_gas_aantal)</f>
        <v>1610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1529.5</v>
      </c>
      <c r="C31" s="34" t="s">
        <v>104</v>
      </c>
      <c r="D31" s="171"/>
    </row>
    <row r="32" spans="1:5">
      <c r="A32" s="168" t="s">
        <v>72</v>
      </c>
      <c r="B32" s="33">
        <f>IF((B21*($B$26-($B$27-0.05*$B$27)-$B$60))&lt;0,0,(B21*($B$26-($B$27-0.05*$B$27)-$B$60)))</f>
        <v>31.599583000277015</v>
      </c>
      <c r="C32" s="34" t="s">
        <v>104</v>
      </c>
      <c r="D32" s="171"/>
    </row>
    <row r="33" spans="1:6">
      <c r="A33" s="168" t="s">
        <v>73</v>
      </c>
      <c r="B33" s="33">
        <f>IF((B22*($B$26-($B$27-0.05*$B$27)-$B$60))&lt;0,0,B22*($B$26-($B$27-0.05*$B$27)-$B$60))</f>
        <v>513.11464426345538</v>
      </c>
      <c r="C33" s="34" t="s">
        <v>104</v>
      </c>
      <c r="D33" s="171"/>
    </row>
    <row r="34" spans="1:6">
      <c r="A34" s="168" t="s">
        <v>74</v>
      </c>
      <c r="B34" s="33">
        <f>IF((B24*($B$26-($B$27-0.05*$B$27)-$B$60))&lt;0,0,B24*($B$26-($B$27-0.05*$B$27)-$B$60))</f>
        <v>98.370944043608347</v>
      </c>
      <c r="C34" s="33">
        <f>B26*C24</f>
        <v>737.04666548413934</v>
      </c>
      <c r="D34" s="230"/>
    </row>
    <row r="35" spans="1:6">
      <c r="A35" s="168" t="s">
        <v>76</v>
      </c>
      <c r="B35" s="33">
        <f>IF((B19*($B$26-($B$27-0.05*$B$27)-$B$60))&lt;0,0,B19*($B$26-($B$27-0.05*$B$27)-$B$60))</f>
        <v>13.736263394752509</v>
      </c>
      <c r="C35" s="33">
        <f>B35/2</f>
        <v>6.8681316973762545</v>
      </c>
      <c r="D35" s="230"/>
    </row>
    <row r="36" spans="1:6">
      <c r="A36" s="168" t="s">
        <v>77</v>
      </c>
      <c r="B36" s="33">
        <f>IF((B18*($B$26-($B$27-0.05*$B$27)-$B$60))&lt;0,0,B18*($B$26-($B$27-0.05*$B$27)-$B$60))</f>
        <v>1333.6785652979063</v>
      </c>
      <c r="C36" s="34" t="s">
        <v>104</v>
      </c>
      <c r="D36" s="171"/>
    </row>
    <row r="37" spans="1:6">
      <c r="A37" s="168" t="s">
        <v>78</v>
      </c>
      <c r="B37" s="33">
        <f>B60</f>
        <v>77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7651.096686795976</v>
      </c>
      <c r="C5" s="17">
        <f>IF(ISERROR('Eigen informatie GS &amp; warmtenet'!B60),0,'Eigen informatie GS &amp; warmtenet'!B60)</f>
        <v>0</v>
      </c>
      <c r="D5" s="30">
        <f>SUM(D6:D12)</f>
        <v>7741.4491832440099</v>
      </c>
      <c r="E5" s="17">
        <f>SUM(E6:E12)</f>
        <v>25.260890481508429</v>
      </c>
      <c r="F5" s="17">
        <f>SUM(F6:F12)</f>
        <v>1083.2005757157146</v>
      </c>
      <c r="G5" s="18"/>
      <c r="H5" s="17"/>
      <c r="I5" s="17"/>
      <c r="J5" s="17">
        <f>SUM(J6:J12)</f>
        <v>5.2403209213380229E-3</v>
      </c>
      <c r="K5" s="17"/>
      <c r="L5" s="17"/>
      <c r="M5" s="17"/>
      <c r="N5" s="17">
        <f>SUM(N6:N12)</f>
        <v>213.1537696230028</v>
      </c>
      <c r="O5" s="17">
        <f>B38*B39*B40</f>
        <v>9.7945215316823084</v>
      </c>
      <c r="P5" s="17">
        <f>B46*B47*B48/1000-B46*B47*B48/1000/B49</f>
        <v>105.07827661299004</v>
      </c>
      <c r="R5" s="32"/>
    </row>
    <row r="6" spans="1:18">
      <c r="A6" s="32" t="s">
        <v>53</v>
      </c>
      <c r="B6" s="37">
        <f>B26</f>
        <v>2016.28588877071</v>
      </c>
      <c r="C6" s="33"/>
      <c r="D6" s="37">
        <f>IF(ISERROR(TER_kantoor_gas_kWh/1000),0,TER_kantoor_gas_kWh/1000)*0.903</f>
        <v>2329.8144871712334</v>
      </c>
      <c r="E6" s="33">
        <f>$C$26*'E Balans VL '!I12/100/3.6*1000000</f>
        <v>0.48042149791730548</v>
      </c>
      <c r="F6" s="33">
        <f>$C$26*('E Balans VL '!L12+'E Balans VL '!N12)/100/3.6*1000000</f>
        <v>175.13418127662746</v>
      </c>
      <c r="G6" s="34"/>
      <c r="H6" s="33"/>
      <c r="I6" s="33"/>
      <c r="J6" s="33">
        <f>$C$26*('E Balans VL '!D12+'E Balans VL '!E12)/100/3.6*1000000</f>
        <v>0</v>
      </c>
      <c r="K6" s="33"/>
      <c r="L6" s="33"/>
      <c r="M6" s="33"/>
      <c r="N6" s="33">
        <f>$C$26*'E Balans VL '!Y12/100/3.6*1000000</f>
        <v>2.6950481691392372</v>
      </c>
      <c r="O6" s="33"/>
      <c r="P6" s="33"/>
      <c r="R6" s="32"/>
    </row>
    <row r="7" spans="1:18">
      <c r="A7" s="32" t="s">
        <v>52</v>
      </c>
      <c r="B7" s="37">
        <f t="shared" ref="B7:B12" si="0">B27</f>
        <v>839.29300224388498</v>
      </c>
      <c r="C7" s="33"/>
      <c r="D7" s="37">
        <f>IF(ISERROR(TER_horeca_gas_kWh/1000),0,TER_horeca_gas_kWh/1000)*0.903</f>
        <v>702.73107332173356</v>
      </c>
      <c r="E7" s="33">
        <f>$C$27*'E Balans VL '!I9/100/3.6*1000000</f>
        <v>0</v>
      </c>
      <c r="F7" s="33">
        <f>$C$27*('E Balans VL '!L9+'E Balans VL '!N9)/100/3.6*1000000</f>
        <v>68.387190649240196</v>
      </c>
      <c r="G7" s="34"/>
      <c r="H7" s="33"/>
      <c r="I7" s="33"/>
      <c r="J7" s="33">
        <f>$C$27*('E Balans VL '!D9+'E Balans VL '!E9)/100/3.6*1000000</f>
        <v>0</v>
      </c>
      <c r="K7" s="33"/>
      <c r="L7" s="33"/>
      <c r="M7" s="33"/>
      <c r="N7" s="33">
        <f>$C$27*'E Balans VL '!Y9/100/3.6*1000000</f>
        <v>0.23246853620933225</v>
      </c>
      <c r="O7" s="33"/>
      <c r="P7" s="33"/>
      <c r="R7" s="32"/>
    </row>
    <row r="8" spans="1:18">
      <c r="A8" s="6" t="s">
        <v>51</v>
      </c>
      <c r="B8" s="37">
        <f t="shared" si="0"/>
        <v>2259.72154067365</v>
      </c>
      <c r="C8" s="33"/>
      <c r="D8" s="37">
        <f>IF(ISERROR(TER_handel_gas_kWh/1000),0,TER_handel_gas_kWh/1000)*0.903</f>
        <v>1400.8479694803059</v>
      </c>
      <c r="E8" s="33">
        <f>$C$28*'E Balans VL '!I13/100/3.6*1000000</f>
        <v>18.063343096343878</v>
      </c>
      <c r="F8" s="33">
        <f>$C$28*('E Balans VL '!L13+'E Balans VL '!N13)/100/3.6*1000000</f>
        <v>224.48928781724618</v>
      </c>
      <c r="G8" s="34"/>
      <c r="H8" s="33"/>
      <c r="I8" s="33"/>
      <c r="J8" s="33">
        <f>$C$28*('E Balans VL '!D13+'E Balans VL '!E13)/100/3.6*1000000</f>
        <v>0</v>
      </c>
      <c r="K8" s="33"/>
      <c r="L8" s="33"/>
      <c r="M8" s="33"/>
      <c r="N8" s="33">
        <f>$C$28*'E Balans VL '!Y13/100/3.6*1000000</f>
        <v>0.84414050302100418</v>
      </c>
      <c r="O8" s="33"/>
      <c r="P8" s="33"/>
      <c r="R8" s="32"/>
    </row>
    <row r="9" spans="1:18">
      <c r="A9" s="32" t="s">
        <v>50</v>
      </c>
      <c r="B9" s="37">
        <f t="shared" si="0"/>
        <v>1172.4102401170001</v>
      </c>
      <c r="C9" s="33"/>
      <c r="D9" s="37">
        <f>IF(ISERROR(TER_gezond_gas_kWh/1000),0,TER_gezond_gas_kWh/1000)*0.903</f>
        <v>1500.6576903660543</v>
      </c>
      <c r="E9" s="33">
        <f>$C$29*'E Balans VL '!I10/100/3.6*1000000</f>
        <v>0</v>
      </c>
      <c r="F9" s="33">
        <f>$C$29*('E Balans VL '!L10+'E Balans VL '!N10)/100/3.6*1000000</f>
        <v>106.88429862829116</v>
      </c>
      <c r="G9" s="34"/>
      <c r="H9" s="33"/>
      <c r="I9" s="33"/>
      <c r="J9" s="33">
        <f>$C$29*('E Balans VL '!D10+'E Balans VL '!E10)/100/3.6*1000000</f>
        <v>0</v>
      </c>
      <c r="K9" s="33"/>
      <c r="L9" s="33"/>
      <c r="M9" s="33"/>
      <c r="N9" s="33">
        <f>$C$29*'E Balans VL '!Y10/100/3.6*1000000</f>
        <v>8.5692681880432069</v>
      </c>
      <c r="O9" s="33"/>
      <c r="P9" s="33"/>
      <c r="R9" s="32"/>
    </row>
    <row r="10" spans="1:18">
      <c r="A10" s="32" t="s">
        <v>49</v>
      </c>
      <c r="B10" s="37">
        <f t="shared" si="0"/>
        <v>518.11664468317497</v>
      </c>
      <c r="C10" s="33"/>
      <c r="D10" s="37">
        <f>IF(ISERROR(TER_ander_gas_kWh/1000),0,TER_ander_gas_kWh/1000)*0.903</f>
        <v>703.31883855725641</v>
      </c>
      <c r="E10" s="33">
        <f>$C$30*'E Balans VL '!I14/100/3.6*1000000</f>
        <v>6.7171258872472448</v>
      </c>
      <c r="F10" s="33">
        <f>$C$30*('E Balans VL '!L14+'E Balans VL '!N14)/100/3.6*1000000</f>
        <v>475.18570813260862</v>
      </c>
      <c r="G10" s="34"/>
      <c r="H10" s="33"/>
      <c r="I10" s="33"/>
      <c r="J10" s="33">
        <f>$C$30*('E Balans VL '!D14+'E Balans VL '!E14)/100/3.6*1000000</f>
        <v>5.2403209213380229E-3</v>
      </c>
      <c r="K10" s="33"/>
      <c r="L10" s="33"/>
      <c r="M10" s="33"/>
      <c r="N10" s="33">
        <f>$C$30*'E Balans VL '!Y14/100/3.6*1000000</f>
        <v>198.15088213639913</v>
      </c>
      <c r="O10" s="33"/>
      <c r="P10" s="33"/>
      <c r="R10" s="32"/>
    </row>
    <row r="11" spans="1:18">
      <c r="A11" s="32" t="s">
        <v>54</v>
      </c>
      <c r="B11" s="37">
        <f t="shared" si="0"/>
        <v>845.26937030755596</v>
      </c>
      <c r="C11" s="33"/>
      <c r="D11" s="37">
        <f>IF(ISERROR(TER_onderwijs_gas_kWh/1000),0,TER_onderwijs_gas_kWh/1000)*0.903</f>
        <v>1104.0791243474259</v>
      </c>
      <c r="E11" s="33">
        <f>$C$31*'E Balans VL '!I11/100/3.6*1000000</f>
        <v>0</v>
      </c>
      <c r="F11" s="33">
        <f>$C$31*('E Balans VL '!L11+'E Balans VL '!N11)/100/3.6*1000000</f>
        <v>33.119909211700964</v>
      </c>
      <c r="G11" s="34"/>
      <c r="H11" s="33"/>
      <c r="I11" s="33"/>
      <c r="J11" s="33">
        <f>$C$31*('E Balans VL '!D11+'E Balans VL '!E11)/100/3.6*1000000</f>
        <v>0</v>
      </c>
      <c r="K11" s="33"/>
      <c r="L11" s="33"/>
      <c r="M11" s="33"/>
      <c r="N11" s="33">
        <f>$C$31*'E Balans VL '!Y11/100/3.6*1000000</f>
        <v>2.6619620901908818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7651.096686795976</v>
      </c>
      <c r="C16" s="21">
        <f t="shared" ca="1" si="1"/>
        <v>0</v>
      </c>
      <c r="D16" s="21">
        <f t="shared" ca="1" si="1"/>
        <v>7741.4491832440099</v>
      </c>
      <c r="E16" s="21">
        <f t="shared" si="1"/>
        <v>25.260890481508429</v>
      </c>
      <c r="F16" s="21">
        <f t="shared" ca="1" si="1"/>
        <v>1083.2005757157146</v>
      </c>
      <c r="G16" s="21">
        <f t="shared" si="1"/>
        <v>0</v>
      </c>
      <c r="H16" s="21">
        <f t="shared" si="1"/>
        <v>0</v>
      </c>
      <c r="I16" s="21">
        <f t="shared" si="1"/>
        <v>0</v>
      </c>
      <c r="J16" s="21">
        <f t="shared" si="1"/>
        <v>5.2403209213380229E-3</v>
      </c>
      <c r="K16" s="21">
        <f t="shared" si="1"/>
        <v>0</v>
      </c>
      <c r="L16" s="21">
        <f t="shared" ca="1" si="1"/>
        <v>0</v>
      </c>
      <c r="M16" s="21">
        <f t="shared" si="1"/>
        <v>0</v>
      </c>
      <c r="N16" s="21">
        <f t="shared" ca="1" si="1"/>
        <v>213.1537696230028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0.19921840769918928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1524.239299096037</v>
      </c>
      <c r="C20" s="23">
        <f t="shared" ref="C20:P20" ca="1" si="2">C16*C18</f>
        <v>0</v>
      </c>
      <c r="D20" s="23">
        <f t="shared" ca="1" si="2"/>
        <v>1563.77273501529</v>
      </c>
      <c r="E20" s="23">
        <f t="shared" si="2"/>
        <v>5.734222139302414</v>
      </c>
      <c r="F20" s="23">
        <f t="shared" ca="1" si="2"/>
        <v>289.21455371609585</v>
      </c>
      <c r="G20" s="23">
        <f t="shared" si="2"/>
        <v>0</v>
      </c>
      <c r="H20" s="23">
        <f t="shared" si="2"/>
        <v>0</v>
      </c>
      <c r="I20" s="23">
        <f t="shared" si="2"/>
        <v>0</v>
      </c>
      <c r="J20" s="23">
        <f t="shared" si="2"/>
        <v>1.8550736061536601E-3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2016.28588877071</v>
      </c>
      <c r="C26" s="39">
        <f>IF(ISERROR(B26*3.6/1000000/'E Balans VL '!Z12*100),0,B26*3.6/1000000/'E Balans VL '!Z12*100)</f>
        <v>5.7847052406033689E-2</v>
      </c>
      <c r="D26" s="233" t="s">
        <v>835</v>
      </c>
      <c r="F26" s="6"/>
    </row>
    <row r="27" spans="1:18" ht="30">
      <c r="A27" s="228" t="s">
        <v>52</v>
      </c>
      <c r="B27" s="33">
        <f>IF(ISERROR(TER_horeca_ele_kWh/1000),0,TER_horeca_ele_kWh/1000)</f>
        <v>839.29300224388498</v>
      </c>
      <c r="C27" s="39">
        <f>IF(ISERROR(B27*3.6/1000000/'E Balans VL '!Z9*100),0,B27*3.6/1000000/'E Balans VL '!Z9*100)</f>
        <v>6.1486902483955094E-2</v>
      </c>
      <c r="D27" s="233" t="s">
        <v>835</v>
      </c>
      <c r="F27" s="6"/>
    </row>
    <row r="28" spans="1:18" ht="30">
      <c r="A28" s="168" t="s">
        <v>51</v>
      </c>
      <c r="B28" s="33">
        <f>IF(ISERROR(TER_handel_ele_kWh/1000),0,TER_handel_ele_kWh/1000)</f>
        <v>2259.72154067365</v>
      </c>
      <c r="C28" s="39">
        <f>IF(ISERROR(B28*3.6/1000000/'E Balans VL '!Z13*100),0,B28*3.6/1000000/'E Balans VL '!Z13*100)</f>
        <v>6.9827301571969841E-2</v>
      </c>
      <c r="D28" s="233" t="s">
        <v>835</v>
      </c>
      <c r="F28" s="6"/>
    </row>
    <row r="29" spans="1:18" ht="30">
      <c r="A29" s="228" t="s">
        <v>50</v>
      </c>
      <c r="B29" s="33">
        <f>IF(ISERROR(TER_gezond_ele_kWh/1000),0,TER_gezond_ele_kWh/1000)</f>
        <v>1172.4102401170001</v>
      </c>
      <c r="C29" s="39">
        <f>IF(ISERROR(B29*3.6/1000000/'E Balans VL '!Z10*100),0,B29*3.6/1000000/'E Balans VL '!Z10*100)</f>
        <v>0.11490341262927257</v>
      </c>
      <c r="D29" s="233" t="s">
        <v>835</v>
      </c>
      <c r="F29" s="6"/>
    </row>
    <row r="30" spans="1:18" ht="30">
      <c r="A30" s="228" t="s">
        <v>49</v>
      </c>
      <c r="B30" s="33">
        <f>IF(ISERROR(TER_ander_ele_kWh/1000),0,TER_ander_ele_kWh/1000)</f>
        <v>518.11664468317497</v>
      </c>
      <c r="C30" s="39">
        <f>IF(ISERROR(B30*3.6/1000000/'E Balans VL '!Z14*100),0,B30*3.6/1000000/'E Balans VL '!Z14*100)</f>
        <v>2.1462065206845144E-2</v>
      </c>
      <c r="D30" s="233" t="s">
        <v>835</v>
      </c>
      <c r="F30" s="6"/>
    </row>
    <row r="31" spans="1:18" ht="30">
      <c r="A31" s="228" t="s">
        <v>54</v>
      </c>
      <c r="B31" s="33">
        <f>IF(ISERROR(TER_onderwijs_ele_kWh/1000),0,TER_onderwijs_ele_kWh/1000)</f>
        <v>845.26937030755596</v>
      </c>
      <c r="C31" s="39">
        <f>IF(ISERROR(B31*3.6/1000000/'E Balans VL '!Z11*100),0,B31*3.6/1000000/'E Balans VL '!Z11*100)</f>
        <v>0.25972557909197669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2239.8713834260161</v>
      </c>
      <c r="C5" s="17">
        <f>IF(ISERROR('Eigen informatie GS &amp; warmtenet'!B61),0,'Eigen informatie GS &amp; warmtenet'!B61)</f>
        <v>0</v>
      </c>
      <c r="D5" s="30">
        <f>SUM(D6:D15)</f>
        <v>2020.9891957892842</v>
      </c>
      <c r="E5" s="17">
        <f>SUM(E6:E15)</f>
        <v>6.4764817098896437</v>
      </c>
      <c r="F5" s="17">
        <f>SUM(F6:F15)</f>
        <v>722.99776679550109</v>
      </c>
      <c r="G5" s="18"/>
      <c r="H5" s="17"/>
      <c r="I5" s="17"/>
      <c r="J5" s="17">
        <f>SUM(J6:J15)</f>
        <v>0.12011273023016089</v>
      </c>
      <c r="K5" s="17"/>
      <c r="L5" s="17"/>
      <c r="M5" s="17"/>
      <c r="N5" s="17">
        <f>SUM(N6:N15)</f>
        <v>83.281839057651581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10.397261065699199</v>
      </c>
      <c r="C8" s="33"/>
      <c r="D8" s="37">
        <f>IF( ISERROR(IND_metaal_Gas_kWH/1000),0,IND_metaal_Gas_kWH/1000)*0.903</f>
        <v>0</v>
      </c>
      <c r="E8" s="33">
        <f>C30*'E Balans VL '!I18/100/3.6*1000000</f>
        <v>5.6677091599678098E-2</v>
      </c>
      <c r="F8" s="33">
        <f>C30*'E Balans VL '!L18/100/3.6*1000000+C30*'E Balans VL '!N18/100/3.6*1000000</f>
        <v>0.66958440680191711</v>
      </c>
      <c r="G8" s="34"/>
      <c r="H8" s="33"/>
      <c r="I8" s="33"/>
      <c r="J8" s="40">
        <f>C30*'E Balans VL '!D18/100/3.6*1000000+C30*'E Balans VL '!E18/100/3.6*1000000</f>
        <v>8.5166250541601277E-3</v>
      </c>
      <c r="K8" s="33"/>
      <c r="L8" s="33"/>
      <c r="M8" s="33"/>
      <c r="N8" s="33">
        <f>C30*'E Balans VL '!Y18/100/3.6*1000000</f>
        <v>0.22462595484657671</v>
      </c>
      <c r="O8" s="33"/>
      <c r="P8" s="33"/>
      <c r="R8" s="32"/>
    </row>
    <row r="9" spans="1:18">
      <c r="A9" s="6" t="s">
        <v>32</v>
      </c>
      <c r="B9" s="37">
        <f t="shared" si="0"/>
        <v>1084.1861802211299</v>
      </c>
      <c r="C9" s="33"/>
      <c r="D9" s="37">
        <f>IF( ISERROR(IND_andere_gas_kWh/1000),0,IND_andere_gas_kWh/1000)*0.903</f>
        <v>1964.6216654284442</v>
      </c>
      <c r="E9" s="33">
        <f>C31*'E Balans VL '!I19/100/3.6*1000000</f>
        <v>3.4999376272627143</v>
      </c>
      <c r="F9" s="33">
        <f>C31*'E Balans VL '!L19/100/3.6*1000000+C31*'E Balans VL '!N19/100/3.6*1000000</f>
        <v>701.04329505908674</v>
      </c>
      <c r="G9" s="34"/>
      <c r="H9" s="33"/>
      <c r="I9" s="33"/>
      <c r="J9" s="40">
        <f>C31*'E Balans VL '!D19/100/3.6*1000000+C31*'E Balans VL '!E19/100/3.6*1000000</f>
        <v>0</v>
      </c>
      <c r="K9" s="33"/>
      <c r="L9" s="33"/>
      <c r="M9" s="33"/>
      <c r="N9" s="33">
        <f>C31*'E Balans VL '!Y19/100/3.6*1000000</f>
        <v>43.810711197867178</v>
      </c>
      <c r="O9" s="33"/>
      <c r="P9" s="33"/>
      <c r="R9" s="32"/>
    </row>
    <row r="10" spans="1:18">
      <c r="A10" s="6" t="s">
        <v>40</v>
      </c>
      <c r="B10" s="37">
        <f t="shared" si="0"/>
        <v>974.83407427515192</v>
      </c>
      <c r="C10" s="33"/>
      <c r="D10" s="37">
        <f>IF( ISERROR(IND_voed_gas_kWh/1000),0,IND_voed_gas_kWh/1000)*0.903</f>
        <v>0</v>
      </c>
      <c r="E10" s="33">
        <f>C32*'E Balans VL '!I20/100/3.6*1000000</f>
        <v>2.0434911257370731</v>
      </c>
      <c r="F10" s="33">
        <f>C32*'E Balans VL '!L20/100/3.6*1000000+C32*'E Balans VL '!N20/100/3.6*1000000</f>
        <v>18.993136673688426</v>
      </c>
      <c r="G10" s="34"/>
      <c r="H10" s="33"/>
      <c r="I10" s="33"/>
      <c r="J10" s="40">
        <f>C32*'E Balans VL '!D20/100/3.6*1000000+C32*'E Balans VL '!E20/100/3.6*1000000</f>
        <v>0</v>
      </c>
      <c r="K10" s="33"/>
      <c r="L10" s="33"/>
      <c r="M10" s="33"/>
      <c r="N10" s="33">
        <f>C32*'E Balans VL '!Y20/100/3.6*1000000</f>
        <v>38.776196838518857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155.56786786403501</v>
      </c>
      <c r="C13" s="33"/>
      <c r="D13" s="37">
        <f>IF( ISERROR(IND_papier_gas_kWh/1000),0,IND_papier_gas_kWh/1000)*0.903</f>
        <v>0</v>
      </c>
      <c r="E13" s="33">
        <f>C35*'E Balans VL '!I23/100/3.6*1000000</f>
        <v>0</v>
      </c>
      <c r="F13" s="33">
        <f>C35*'E Balans VL '!L23/100/3.6*1000000+C35*'E Balans VL '!N23/100/3.6*1000000</f>
        <v>2.0838806353784458E-2</v>
      </c>
      <c r="G13" s="34"/>
      <c r="H13" s="33"/>
      <c r="I13" s="33"/>
      <c r="J13" s="40">
        <f>C35*'E Balans VL '!D23/100/3.6*1000000+C35*'E Balans VL '!E23/100/3.6*1000000</f>
        <v>3.0772303091960003E-2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14.885999999999999</v>
      </c>
      <c r="C15" s="33"/>
      <c r="D15" s="37">
        <f>IF( ISERROR(IND_rest_gas_kWh/1000),0,IND_rest_gas_kWh/1000)*0.903</f>
        <v>56.367530360839872</v>
      </c>
      <c r="E15" s="33">
        <f>C37*'E Balans VL '!I15/100/3.6*1000000</f>
        <v>0.87637586529017808</v>
      </c>
      <c r="F15" s="33">
        <f>C37*'E Balans VL '!L15/100/3.6*1000000+C37*'E Balans VL '!N15/100/3.6*1000000</f>
        <v>2.2709118495701124</v>
      </c>
      <c r="G15" s="34"/>
      <c r="H15" s="33"/>
      <c r="I15" s="33"/>
      <c r="J15" s="40">
        <f>C37*'E Balans VL '!D15/100/3.6*1000000+C37*'E Balans VL '!E15/100/3.6*1000000</f>
        <v>8.0823802084040761E-2</v>
      </c>
      <c r="K15" s="33"/>
      <c r="L15" s="33"/>
      <c r="M15" s="33"/>
      <c r="N15" s="33">
        <f>C37*'E Balans VL '!Y15/100/3.6*1000000</f>
        <v>0.47030506641897402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2239.8713834260161</v>
      </c>
      <c r="C18" s="21">
        <f>C5+C16</f>
        <v>0</v>
      </c>
      <c r="D18" s="21">
        <f>MAX((D5+D16),0)</f>
        <v>2020.9891957892842</v>
      </c>
      <c r="E18" s="21">
        <f>MAX((E5+E16),0)</f>
        <v>6.4764817098896437</v>
      </c>
      <c r="F18" s="21">
        <f>MAX((F5+F16),0)</f>
        <v>722.99776679550109</v>
      </c>
      <c r="G18" s="21"/>
      <c r="H18" s="21"/>
      <c r="I18" s="21"/>
      <c r="J18" s="21">
        <f>MAX((J5+J16),0)</f>
        <v>0.12011273023016089</v>
      </c>
      <c r="K18" s="21"/>
      <c r="L18" s="21">
        <f>MAX((L5+L16),0)</f>
        <v>0</v>
      </c>
      <c r="M18" s="21"/>
      <c r="N18" s="21">
        <f>MAX((N5+N16),0)</f>
        <v>83.281839057651581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0.19921840769918928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446.22361045711119</v>
      </c>
      <c r="C22" s="23">
        <f ca="1">C18*C20</f>
        <v>0</v>
      </c>
      <c r="D22" s="23">
        <f>D18*D20</f>
        <v>408.23981754943543</v>
      </c>
      <c r="E22" s="23">
        <f>E18*E20</f>
        <v>1.4701613481449491</v>
      </c>
      <c r="F22" s="23">
        <f>F18*F20</f>
        <v>193.04040373439881</v>
      </c>
      <c r="G22" s="23"/>
      <c r="H22" s="23"/>
      <c r="I22" s="23"/>
      <c r="J22" s="23">
        <f>J18*J20</f>
        <v>4.2519906501476953E-2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10.397261065699199</v>
      </c>
      <c r="C30" s="39">
        <f>IF(ISERROR(B30*3.6/1000000/'E Balans VL '!Z18*100),0,B30*3.6/1000000/'E Balans VL '!Z18*100)</f>
        <v>6.2609455166380546E-4</v>
      </c>
      <c r="D30" s="233" t="s">
        <v>835</v>
      </c>
    </row>
    <row r="31" spans="1:18" ht="30">
      <c r="A31" s="6" t="s">
        <v>32</v>
      </c>
      <c r="B31" s="37">
        <f>IF( ISERROR(IND_ander_ele_kWh/1000),0,IND_ander_ele_kWh/1000)</f>
        <v>1084.1861802211299</v>
      </c>
      <c r="C31" s="39">
        <f>IF(ISERROR(B31*3.6/1000000/'E Balans VL '!Z19*100),0,B31*3.6/1000000/'E Balans VL '!Z19*100)</f>
        <v>4.4171989505904549E-2</v>
      </c>
      <c r="D31" s="233" t="s">
        <v>835</v>
      </c>
    </row>
    <row r="32" spans="1:18" ht="30">
      <c r="A32" s="168" t="s">
        <v>40</v>
      </c>
      <c r="B32" s="37">
        <f>IF( ISERROR(IND_voed_ele_kWh/1000),0,IND_voed_ele_kWh/1000)</f>
        <v>974.83407427515192</v>
      </c>
      <c r="C32" s="39">
        <f>IF(ISERROR(B32*3.6/1000000/'E Balans VL '!Z20*100),0,B32*3.6/1000000/'E Balans VL '!Z20*100)</f>
        <v>2.8186376112748872E-2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155.56786786403501</v>
      </c>
      <c r="C35" s="39">
        <f>IF(ISERROR(B35*3.6/1000000/'E Balans VL '!Z22*100),0,B35*3.6/1000000/'E Balans VL '!Z22*100)</f>
        <v>6.6426034002634318E-2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14.885999999999999</v>
      </c>
      <c r="C37" s="39">
        <f>IF(ISERROR(B37*3.6/1000000/'E Balans VL '!Z15*100),0,B37*3.6/1000000/'E Balans VL '!Z15*100)</f>
        <v>1.2222533497750914E-4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728.18568194608906</v>
      </c>
      <c r="C5" s="17">
        <f>'Eigen informatie GS &amp; warmtenet'!B62</f>
        <v>0</v>
      </c>
      <c r="D5" s="30">
        <f>IF(ISERROR(SUM(LB_lb_gas_kWh,LB_rest_gas_kWh)/1000),0,SUM(LB_lb_gas_kWh,LB_rest_gas_kWh)/1000)*0.903</f>
        <v>3368.5588480513557</v>
      </c>
      <c r="E5" s="17">
        <f>B17*'E Balans VL '!I25/3.6*1000000/100</f>
        <v>20.856470246721546</v>
      </c>
      <c r="F5" s="17">
        <f>B17*('E Balans VL '!L25/3.6*1000000+'E Balans VL '!N25/3.6*1000000)/100</f>
        <v>2305.0597153952176</v>
      </c>
      <c r="G5" s="18"/>
      <c r="H5" s="17"/>
      <c r="I5" s="17"/>
      <c r="J5" s="17">
        <f>('E Balans VL '!D25+'E Balans VL '!E25)/3.6*1000000*landbouw!B17/100</f>
        <v>185.15475214665946</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728.18568194608906</v>
      </c>
      <c r="C8" s="21">
        <f>C5+C6</f>
        <v>62.357142857142847</v>
      </c>
      <c r="D8" s="21">
        <f>MAX((D5+D6),0)</f>
        <v>3368.5588480513557</v>
      </c>
      <c r="E8" s="21">
        <f>MAX((E5+E6),0)</f>
        <v>20.856470246721546</v>
      </c>
      <c r="F8" s="21">
        <f>MAX((F5+F6),0)</f>
        <v>2305.0597153952176</v>
      </c>
      <c r="G8" s="21"/>
      <c r="H8" s="21"/>
      <c r="I8" s="21"/>
      <c r="J8" s="21">
        <f>MAX((J5+J6),0)</f>
        <v>185.15475214665946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0.19921840769918928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145.06799206664815</v>
      </c>
      <c r="C12" s="23">
        <f ca="1">C8*C10</f>
        <v>0</v>
      </c>
      <c r="D12" s="23">
        <f>D8*D10</f>
        <v>680.44888730637388</v>
      </c>
      <c r="E12" s="23">
        <f>E8*E10</f>
        <v>4.7344187460057912</v>
      </c>
      <c r="F12" s="23">
        <f>F8*F10</f>
        <v>615.45094401052313</v>
      </c>
      <c r="G12" s="23"/>
      <c r="H12" s="23"/>
      <c r="I12" s="23"/>
      <c r="J12" s="23">
        <f>J8*J10</f>
        <v>65.54478225991744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0.10083719769342393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197.54843236885071</v>
      </c>
      <c r="C26" s="243">
        <f>B26*'GWP N2O_CH4'!B5</f>
        <v>4148.517079745865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27.66676548640212</v>
      </c>
      <c r="C27" s="243">
        <f>B27*'GWP N2O_CH4'!B5</f>
        <v>581.00207521444452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2.6296559395051085</v>
      </c>
      <c r="C28" s="243">
        <f>B28*'GWP N2O_CH4'!B4</f>
        <v>815.1933412465836</v>
      </c>
      <c r="D28" s="50"/>
    </row>
    <row r="29" spans="1:4">
      <c r="A29" s="41" t="s">
        <v>266</v>
      </c>
      <c r="B29" s="243">
        <f>B34*'ha_N2O bodem landbouw'!B4</f>
        <v>11.936345945639788</v>
      </c>
      <c r="C29" s="243">
        <f>B29*'GWP N2O_CH4'!B4</f>
        <v>3700.2672431483343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2.7117241707513406E-3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8.3442694090421292E-4</v>
      </c>
      <c r="C5" s="432" t="s">
        <v>204</v>
      </c>
      <c r="D5" s="417">
        <f>SUM(D6:D11)</f>
        <v>1.6659462760391474E-3</v>
      </c>
      <c r="E5" s="417">
        <f>SUM(E6:E11)</f>
        <v>6.4320322447182368E-4</v>
      </c>
      <c r="F5" s="430" t="s">
        <v>204</v>
      </c>
      <c r="G5" s="417">
        <f>SUM(G6:G11)</f>
        <v>0.23273847710347756</v>
      </c>
      <c r="H5" s="417">
        <f>SUM(H6:H11)</f>
        <v>8.1231882090098975E-2</v>
      </c>
      <c r="I5" s="432" t="s">
        <v>204</v>
      </c>
      <c r="J5" s="432" t="s">
        <v>204</v>
      </c>
      <c r="K5" s="432" t="s">
        <v>204</v>
      </c>
      <c r="L5" s="432" t="s">
        <v>204</v>
      </c>
      <c r="M5" s="417">
        <f>SUM(M6:M11)</f>
        <v>1.9122109978226571E-2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3.8438277684867014E-4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6.4087612542947472E-4</v>
      </c>
      <c r="E6" s="884">
        <f>vkm_GW_PW*SUMIFS(TableVerdeelsleutelVkm[LPG],TableVerdeelsleutelVkm[Voertuigtype],"Lichte voertuigen")*SUMIFS(TableECFTransport[EnergieConsumptieFactor (PJ per km)],TableECFTransport[Index],CONCATENATE($A6,"_LPG_LPG"))</f>
        <v>2.5408131790344388E-4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7.6357818664547356E-2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3.1429686882026436E-2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6.6124455903595033E-3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7.4672001133486732E-7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2.9600451914951288E-2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2.1840848992570995E-7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1.6996078903240418E-3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4.4891226211747138E-4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1.0250701506096726E-3</v>
      </c>
      <c r="E8" s="420">
        <f>vkm_NGW_PW*SUMIFS(TableVerdeelsleutelVkm[LPG],TableVerdeelsleutelVkm[Voertuigtype],"Lichte voertuigen")*SUMIFS(TableECFTransport[EnergieConsumptieFactor (PJ per km)],TableECFTransport[Index],CONCATENATE($A8,"_LPG_LPG"))</f>
        <v>3.8912190656837975E-4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0.10711751016165648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4.9801840813621996E-2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9.681058369736862E-3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3.8518192673658791E-7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1.966269636232244E-2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1.3598596061426903E-7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1.1289981278061652E-3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231.78526136228135</v>
      </c>
      <c r="C14" s="21"/>
      <c r="D14" s="21">
        <f t="shared" ref="D14:M14" si="0">((D5)*10^9/3600)+D12</f>
        <v>462.76285445531875</v>
      </c>
      <c r="E14" s="21">
        <f t="shared" si="0"/>
        <v>178.66756235328435</v>
      </c>
      <c r="F14" s="21"/>
      <c r="G14" s="21">
        <f t="shared" si="0"/>
        <v>64649.57697318821</v>
      </c>
      <c r="H14" s="21">
        <f t="shared" si="0"/>
        <v>22564.41169169416</v>
      </c>
      <c r="I14" s="21"/>
      <c r="J14" s="21"/>
      <c r="K14" s="21"/>
      <c r="L14" s="21"/>
      <c r="M14" s="21">
        <f t="shared" si="0"/>
        <v>5311.6972161740478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0.19921840769918928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46.175890696734108</v>
      </c>
      <c r="C18" s="23"/>
      <c r="D18" s="23">
        <f t="shared" ref="D18:M18" si="1">D14*D16</f>
        <v>93.478096599974393</v>
      </c>
      <c r="E18" s="23">
        <f t="shared" si="1"/>
        <v>40.557536654195552</v>
      </c>
      <c r="F18" s="23"/>
      <c r="G18" s="23">
        <f t="shared" si="1"/>
        <v>17261.437051841254</v>
      </c>
      <c r="H18" s="23">
        <f t="shared" si="1"/>
        <v>5618.5385112318463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9.4019678995348522E-5</v>
      </c>
      <c r="C50" s="315">
        <f t="shared" ref="C50:P50" si="2">SUM(C51:C52)</f>
        <v>0</v>
      </c>
      <c r="D50" s="315">
        <f t="shared" si="2"/>
        <v>0</v>
      </c>
      <c r="E50" s="315">
        <f t="shared" si="2"/>
        <v>0</v>
      </c>
      <c r="F50" s="315">
        <f t="shared" si="2"/>
        <v>0</v>
      </c>
      <c r="G50" s="315">
        <f t="shared" si="2"/>
        <v>5.8859161465056441E-3</v>
      </c>
      <c r="H50" s="315">
        <f t="shared" si="2"/>
        <v>0</v>
      </c>
      <c r="I50" s="315">
        <f t="shared" si="2"/>
        <v>0</v>
      </c>
      <c r="J50" s="315">
        <f t="shared" si="2"/>
        <v>0</v>
      </c>
      <c r="K50" s="315">
        <f t="shared" si="2"/>
        <v>0</v>
      </c>
      <c r="L50" s="315">
        <f t="shared" si="2"/>
        <v>0</v>
      </c>
      <c r="M50" s="315">
        <f t="shared" si="2"/>
        <v>3.3795627234350906E-4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9.4019678995348522E-5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5.8859161465056441E-3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3.3795627234350906E-4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26.116577498707926</v>
      </c>
      <c r="C54" s="21">
        <f t="shared" ref="C54:P54" si="3">(C50)*10^9/3600</f>
        <v>0</v>
      </c>
      <c r="D54" s="21">
        <f t="shared" si="3"/>
        <v>0</v>
      </c>
      <c r="E54" s="21">
        <f t="shared" si="3"/>
        <v>0</v>
      </c>
      <c r="F54" s="21">
        <f t="shared" si="3"/>
        <v>0</v>
      </c>
      <c r="G54" s="21">
        <f t="shared" si="3"/>
        <v>1634.976707362679</v>
      </c>
      <c r="H54" s="21">
        <f t="shared" si="3"/>
        <v>0</v>
      </c>
      <c r="I54" s="21">
        <f t="shared" si="3"/>
        <v>0</v>
      </c>
      <c r="J54" s="21">
        <f t="shared" si="3"/>
        <v>0</v>
      </c>
      <c r="K54" s="21">
        <f t="shared" si="3"/>
        <v>0</v>
      </c>
      <c r="L54" s="21">
        <f t="shared" si="3"/>
        <v>0</v>
      </c>
      <c r="M54" s="21">
        <f t="shared" si="3"/>
        <v>93.876742317641416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0.19921840769918928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5.2029029838450684</v>
      </c>
      <c r="C58" s="23">
        <f t="shared" ref="C58:P58" ca="1" si="4">C54*C56</f>
        <v>0</v>
      </c>
      <c r="D58" s="23">
        <f t="shared" si="4"/>
        <v>0</v>
      </c>
      <c r="E58" s="23">
        <f t="shared" si="4"/>
        <v>0</v>
      </c>
      <c r="F58" s="23">
        <f t="shared" si="4"/>
        <v>0</v>
      </c>
      <c r="G58" s="23">
        <f t="shared" si="4"/>
        <v>436.53878086583529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2845.6468353879704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2889.2968353879705</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23104</v>
      </c>
      <c r="C28" s="785">
        <v>1750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2021-11-11T12:15:14Z</dcterms:modified>
</cp:coreProperties>
</file>