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569EC93-B216-49AC-BE8B-9989A6BE37E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6" i="22" s="1"/>
  <c r="A7" i="23"/>
  <c r="D10"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<sst xmlns="http://schemas.openxmlformats.org/spreadsheetml/2006/main" count="2417" uniqueCount="868">
  <si>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</si>
  <si>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</si>
  <si>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</si>
  <si>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</si>
  <si>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</si>
  <si>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</si>
  <si>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</si>
  <si>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</si>
  <si>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</si>
  <si>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</si>
  <si>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</si>
  <si>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</si>
  <si>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</si>
  <si>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</si>
  <si>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</si>
  <si>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</si>
  <si>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</si>
  <si>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</si>
  <si>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</si>
  <si>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</si>
  <si>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</si>
  <si>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</si>
  <si>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</si>
  <si>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</si>
  <si>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</si>
  <si>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</si>
  <si>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</si>
  <si>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</si>
  <si>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</si>
  <si>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</si>
  <si>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</si>
  <si>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</si>
  <si>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</si>
  <si>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</si>
  <si>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</si>
  <si>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</si>
  <si>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</si>
  <si>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</si>
  <si>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</si>
  <si>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</si>
  <si>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</si>
  <si>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</si>
  <si>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</si>
  <si>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</si>
  <si>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</si>
  <si>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</si>
  <si>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</si>
  <si>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</si>
  <si>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</si>
  <si>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</si>
  <si>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</si>
  <si>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</si>
  <si>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</si>
  <si>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</si>
  <si>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</si>
  <si>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</si>
  <si>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</si>
  <si>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</si>
  <si>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</si>
  <si>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</si>
  <si>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</si>
  <si>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</si>
  <si>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</si>
  <si>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</si>
  <si>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</si>
  <si>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</si>
  <si>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</si>
  <si>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</si>
  <si>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</si>
  <si>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</si>
  <si>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</si>
  <si>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</si>
  <si>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</si>
  <si>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</si>
  <si>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</si>
  <si>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</si>
  <si>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</si>
  <si>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</si>
  <si>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</si>
  <si>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</si>
  <si>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</si>
  <si>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</si>
  <si>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</si>
  <si>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</si>
  <si>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</si>
  <si>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</si>
  <si>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</si>
  <si>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</si>
  <si>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</si>
  <si>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</si>
  <si>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</si>
  <si>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</si>
  <si>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</si>
  <si>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</si>
  <si>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</si>
  <si>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</si>
  <si>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</si>
  <si>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</si>
  <si>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</si>
  <si>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</si>
  <si>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</si>
  <si>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</si>
  <si>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</si>
  <si>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</si>
  <si>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</si>
  <si>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</si>
  <si>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</si>
  <si>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</si>
  <si>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</si>
  <si>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</si>
  <si>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</si>
  <si>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</si>
  <si>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</si>
  <si>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</si>
  <si>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</si>
  <si>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</si>
  <si>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</si>
  <si>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</si>
  <si>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</si>
  <si>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</si>
  <si>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</si>
  <si>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</si>
  <si>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</si>
  <si>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</si>
  <si>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</si>
  <si>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</si>
  <si>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</si>
  <si>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</si>
  <si>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</si>
  <si>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</si>
  <si>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</si>
  <si>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</si>
  <si>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</si>
  <si>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</si>
  <si>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</si>
  <si>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</si>
  <si>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</si>
  <si>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</si>
  <si>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</si>
  <si>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</si>
  <si>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</si>
  <si>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</si>
  <si>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</si>
  <si>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</si>
  <si>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</si>
  <si>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</si>
  <si>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</si>
  <si>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</si>
  <si>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</si>
  <si>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</si>
  <si>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</si>
  <si>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</si>
  <si>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</si>
  <si>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</si>
  <si>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</si>
  <si>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</si>
  <si>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</si>
  <si>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</si>
  <si>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</si>
  <si>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</si>
  <si>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</si>
  <si>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</si>
  <si>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</si>
  <si>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</si>
  <si>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</si>
  <si>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</si>
  <si>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</si>
  <si>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</si>
  <si>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</si>
  <si>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</si>
  <si>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</si>
  <si>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</si>
  <si>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</si>
  <si>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</si>
  <si>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</si>
  <si>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</si>
  <si>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</si>
  <si>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</si>
  <si>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</si>
  <si>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</si>
  <si>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</si>
  <si>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</si>
  <si>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</si>
  <si>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</si>
  <si>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</si>
  <si>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</si>
  <si>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</si>
  <si>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</si>
  <si>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</si>
  <si>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</si>
  <si>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</si>
  <si>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</si>
  <si>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</si>
  <si>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</si>
  <si>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</si>
  <si>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</si>
  <si>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</si>
  <si>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</si>
  <si>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</si>
  <si>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</si>
  <si>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</si>
  <si>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</si>
  <si>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</si>
  <si>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</si>
  <si>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</si>
  <si>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</si>
  <si>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</si>
  <si>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</si>
  <si>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</si>
  <si>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</si>
  <si>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</si>
  <si>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</si>
  <si>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</si>
  <si>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</si>
  <si>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</si>
  <si>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</si>
  <si>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</si>
  <si>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</si>
  <si>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</si>
  <si>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</si>
  <si>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</si>
  <si>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</si>
  <si>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</si>
  <si>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</si>
  <si>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</si>
  <si>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</si>
  <si>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</si>
  <si>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</si>
  <si>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</si>
  <si>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</si>
  <si>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</si>
  <si>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</si>
  <si>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</si>
  <si>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</si>
  <si>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</si>
  <si>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</si>
  <si>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</si>
  <si>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</si>
  <si>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</si>
  <si>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</si>
  <si>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</si>
  <si>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</si>
  <si>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</si>
  <si>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</si>
  <si>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</si>
  <si>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</si>
  <si>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</si>
  <si>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</si>
  <si>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</si>
  <si>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</si>
  <si>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</si>
  <si>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</si>
  <si>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</si>
  <si>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</si>
  <si>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</si>
  <si>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</si>
  <si>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</si>
  <si>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</si>
  <si>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</si>
  <si>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</si>
  <si>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</si>
  <si>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</si>
  <si>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</si>
  <si>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</si>
  <si>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</si>
  <si>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</si>
  <si>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</si>
  <si>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</si>
  <si>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</si>
  <si>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</si>
  <si>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</si>
  <si>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</si>
  <si>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</si>
  <si>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</si>
  <si>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</si>
  <si>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</si>
  <si>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</si>
  <si>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</si>
  <si>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</si>
  <si>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</si>
  <si>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</si>
  <si>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</si>
  <si>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</si>
  <si>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</si>
  <si>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</si>
  <si>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</si>
  <si>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</si>
  <si>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</si>
  <si>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</si>
  <si>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</si>
  <si>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</si>
  <si>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</si>
  <si>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</si>
  <si>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</si>
  <si>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</si>
  <si>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</si>
  <si>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</si>
  <si>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</si>
  <si>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</si>
  <si>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</si>
  <si>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</si>
  <si>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</si>
  <si>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</si>
  <si>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</si>
  <si>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</si>
  <si>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</si>
  <si>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</si>
  <si>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</si>
  <si>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</si>
  <si>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</si>
  <si>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</si>
  <si>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</si>
  <si>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</si>
  <si>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</si>
  <si>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</si>
  <si>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</si>
  <si>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</si>
  <si>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</si>
  <si>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</si>
  <si>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</si>
  <si>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</si>
  <si>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</si>
  <si>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</si>
  <si>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</si>
  <si>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</si>
  <si>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</si>
  <si>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</si>
  <si>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</si>
  <si>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</si>
  <si>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</si>
  <si>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</si>
  <si>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</si>
  <si>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</si>
  <si>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</si>
  <si>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</si>
  <si>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</si>
  <si>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</si>
  <si>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</si>
  <si>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</si>
  <si>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</si>
  <si>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</si>
  <si>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</si>
  <si>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</si>
  <si>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</si>
  <si>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</si>
  <si>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</si>
  <si>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</si>
  <si>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</si>
  <si>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</si>
  <si>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</si>
  <si>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</si>
  <si>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</si>
  <si>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</si>
  <si>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</si>
  <si>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</si>
  <si>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</si>
  <si>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</si>
  <si>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</si>
  <si>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</si>
  <si>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</si>
  <si>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</si>
  <si>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</si>
  <si>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</si>
  <si>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</si>
  <si>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</si>
  <si>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</si>
  <si>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</si>
  <si>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</si>
  <si>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</si>
  <si>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</si>
  <si>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</si>
  <si>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</si>
  <si>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</si>
  <si>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</si>
  <si>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</si>
  <si>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</si>
  <si>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</si>
  <si>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</si>
  <si>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</si>
  <si>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</si>
  <si>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</si>
  <si>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</si>
  <si>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</si>
  <si>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</si>
  <si>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</si>
  <si>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</si>
  <si>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</si>
  <si>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</si>
  <si>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</si>
  <si>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</si>
  <si>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</si>
  <si>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</si>
  <si>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</si>
  <si>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</si>
  <si>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</si>
  <si>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</si>
  <si>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</si>
  <si>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</si>
  <si>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</si>
  <si>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</si>
  <si>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</si>
  <si>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</si>
  <si>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</si>
  <si>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</si>
  <si>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</si>
  <si>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</si>
  <si>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</si>
  <si>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</si>
  <si>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</si>
  <si>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</si>
  <si>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</si>
  <si>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</si>
  <si>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</si>
  <si>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</si>
  <si>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</si>
  <si>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</si>
  <si>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</si>
  <si>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</si>
  <si>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</si>
  <si>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</si>
  <si>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</si>
  <si>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</si>
  <si>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</si>
  <si>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</si>
  <si>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</si>
  <si>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</si>
  <si>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</si>
  <si>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</si>
  <si>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</si>
  <si>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</si>
  <si>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</si>
  <si>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</si>
  <si>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</si>
  <si>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</si>
  <si>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</si>
  <si>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</si>
  <si>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</si>
  <si>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</si>
  <si>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</si>
  <si>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</si>
  <si>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</si>
  <si>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</si>
  <si>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</si>
  <si>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</si>
  <si>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</si>
  <si>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</si>
  <si>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</si>
  <si>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</si>
  <si>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</si>
  <si>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</si>
  <si>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</si>
  <si>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</si>
  <si>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</si>
  <si>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</si>
  <si>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</si>
  <si>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</si>
  <si>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</si>
  <si>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</si>
  <si>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</si>
  <si>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</si>
  <si>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</si>
  <si>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</si>
  <si>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</si>
  <si>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</si>
  <si>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</si>
  <si>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</si>
  <si>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</si>
  <si>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</si>
  <si>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</si>
  <si>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</si>
  <si>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</si>
  <si>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</si>
  <si>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</si>
  <si>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</si>
  <si>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</si>
  <si>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</si>
  <si>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</si>
  <si>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</si>
  <si>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</si>
  <si>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</si>
  <si>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</si>
  <si>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</si>
  <si>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</si>
  <si>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</si>
  <si>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</si>
  <si>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</si>
  <si>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</si>
  <si>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</si>
  <si>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</si>
  <si>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</si>
  <si>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</si>
  <si>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</si>
  <si>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</si>
  <si>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</si>
  <si>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</si>
  <si>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</si>
  <si>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</si>
  <si>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</si>
  <si>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</si>
  <si>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</si>
  <si>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</si>
  <si>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</si>
  <si>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</si>
  <si>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</si>
  <si>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</si>
  <si>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</si>
  <si>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</si>
  <si>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</si>
  <si>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</si>
  <si>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</si>
  <si>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</si>
  <si>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</si>
  <si>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</si>
  <si>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</si>
  <si>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</si>
  <si>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</si>
  <si>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</si>
  <si>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</si>
  <si>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</si>
  <si>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</si>
  <si>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</si>
  <si>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</si>
  <si>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</si>
  <si>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</si>
  <si>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</si>
  <si>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</si>
  <si>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</si>
  <si>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</si>
  <si>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</si>
  <si>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</si>
  <si>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</si>
  <si>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</si>
  <si>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</si>
  <si>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</si>
  <si>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</si>
  <si>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</si>
  <si>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</si>
  <si>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</si>
  <si>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</si>
  <si>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</si>
  <si>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</si>
  <si>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</si>
  <si>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</si>
  <si>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</si>
  <si>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</si>
  <si>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</si>
  <si>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</si>
  <si>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</si>
  <si>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</si>
  <si>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</si>
  <si>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</si>
  <si>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</si>
  <si>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</si>
  <si>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</si>
  <si>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</si>
  <si>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</si>
  <si>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</si>
  <si>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</si>
  <si>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</si>
  <si>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</si>
  <si>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</si>
  <si>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</si>
  <si>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</si>
  <si>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</si>
  <si>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</si>
  <si>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</si>
  <si>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</si>
  <si>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</si>
  <si>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</si>
  <si>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</si>
  <si>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</si>
  <si>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</si>
  <si>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</si>
  <si>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</si>
  <si>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</si>
  <si>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</si>
  <si>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</si>
  <si>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</si>
  <si>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</si>
  <si>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</si>
  <si>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</si>
  <si>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</si>
  <si>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</si>
  <si>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</si>
  <si>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</si>
  <si>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</si>
  <si>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</si>
  <si>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</si>
  <si>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</si>
  <si>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</si>
  <si>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</si>
  <si>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</si>
  <si>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</si>
  <si>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</si>
  <si>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</si>
  <si>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</si>
  <si>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</si>
  <si>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</si>
  <si>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</si>
  <si>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</si>
  <si>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</si>
  <si>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</si>
  <si>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</si>
  <si>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</si>
  <si>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</si>
  <si>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</si>
  <si>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</si>
  <si>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</si>
  <si>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</si>
  <si>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</si>
  <si>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</si>
  <si>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</si>
  <si>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</si>
  <si>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</si>
  <si>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</si>
  <si>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</si>
  <si>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</si>
  <si>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</si>
  <si>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</si>
  <si>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</si>
  <si>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</si>
  <si>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</si>
  <si>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</si>
  <si>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</si>
  <si>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</si>
  <si>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</si>
  <si>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</si>
  <si>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</si>
  <si>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</si>
  <si>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</si>
  <si>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</si>
  <si>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</si>
  <si>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</si>
  <si>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</si>
  <si>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</si>
  <si>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</si>
  <si>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</si>
  <si>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</si>
  <si>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</si>
  <si>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</si>
  <si>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</si>
  <si>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</si>
  <si>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</si>
  <si>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</si>
  <si>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</si>
  <si>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</si>
  <si>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</si>
  <si>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</si>
  <si>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</si>
  <si>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</si>
  <si>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</si>
  <si>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</si>
  <si>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</si>
  <si>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</si>
  <si>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</si>
  <si>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</si>
  <si>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</si>
  <si>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</si>
  <si>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</si>
  <si>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</si>
  <si>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</si>
  <si>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</si>
  <si>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</si>
  <si>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</si>
  <si>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</si>
  <si>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</si>
  <si>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</si>
  <si>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</si>
  <si>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</si>
  <si>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</si>
  <si>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</si>
  <si>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</si>
  <si>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</si>
  <si>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</si>
  <si>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</si>
  <si>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</si>
  <si>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</si>
  <si>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</si>
  <si>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</si>
  <si>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</si>
  <si>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</si>
  <si>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</si>
  <si>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</si>
  <si>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</si>
  <si>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</si>
  <si>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</si>
  <si>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</si>
  <si>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</si>
  <si>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</si>
  <si>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</si>
  <si>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</si>
  <si>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</si>
  <si>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</si>
  <si>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</si>
  <si>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</si>
  <si>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</si>
  <si>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</si>
  <si>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</si>
  <si>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</si>
  <si>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</si>
  <si>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</si>
  <si>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</si>
  <si>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</si>
  <si>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</si>
  <si>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</si>
  <si>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</si>
  <si>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</si>
  <si>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</si>
  <si>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</si>
  <si>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</si>
  <si>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</si>
  <si>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</si>
  <si>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</si>
  <si>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</si>
  <si>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</si>
  <si>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</si>
  <si>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</si>
  <si>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</si>
  <si>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</si>
  <si>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</si>
  <si>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</si>
  <si>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</si>
  <si>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</si>
  <si>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</si>
  <si>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</si>
  <si>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</si>
  <si>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</si>
  <si>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</si>
  <si>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</si>
  <si>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</si>
  <si>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</si>
  <si>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</si>
  <si>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</si>
  <si>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</si>
  <si>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</si>
  <si>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</si>
  <si>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</si>
  <si>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</si>
  <si>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</si>
  <si>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</si>
  <si>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</si>
  <si>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</si>
  <si>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</si>
  <si>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</si>
  <si>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</si>
  <si>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</si>
  <si>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</si>
  <si>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</si>
  <si>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</si>
  <si>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</si>
  <si>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</si>
  <si>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</si>
  <si>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</si>
  <si>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</si>
  <si>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</si>
  <si>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</si>
  <si>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</si>
  <si>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</si>
  <si>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</si>
  <si>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</si>
  <si>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</si>
  <si>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</si>
  <si>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</si>
  <si>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</si>
  <si>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</si>
  <si>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</si>
  <si>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</si>
  <si>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</si>
  <si>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</si>
  <si>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</si>
  <si>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</si>
  <si>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</si>
  <si>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</si>
  <si>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</si>
  <si>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</si>
  <si>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</si>
  <si>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</si>
  <si>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</si>
  <si>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</si>
  <si>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</si>
  <si>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</si>
  <si>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</si>
  <si>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</si>
  <si>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</si>
  <si>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</si>
  <si>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</si>
  <si>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</si>
  <si>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</si>
  <si>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</si>
  <si>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</si>
  <si>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</si>
  <si>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</si>
  <si>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</si>
  <si>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</si>
  <si>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</si>
  <si>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</si>
  <si>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</si>
  <si>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</si>
  <si>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</si>
  <si>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</si>
  <si>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</si>
  <si>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</si>
  <si>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</si>
  <si>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</si>
  <si>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</si>
  <si>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</si>
  <si>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</si>
  <si>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</si>
  <si>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</si>
  <si>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</si>
  <si>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</si>
  <si>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</si>
  <si>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</si>
  <si>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</si>
  <si>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</si>
  <si>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</si>
  <si>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</si>
  <si>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</si>
  <si>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</si>
  <si>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</si>
  <si>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</si>
  <si>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</si>
  <si>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</si>
  <si>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</si>
  <si>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</si>
  <si>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</si>
  <si>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</si>
  <si>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</si>
  <si>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</si>
  <si>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</si>
  <si>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</si>
  <si>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</si>
  <si>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</si>
  <si>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</si>
  <si>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</si>
  <si>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</si>
  <si>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</si>
  <si>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</si>
  <si>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</si>
  <si>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</si>
  <si>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</si>
  <si>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</si>
  <si>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</si>
  <si>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</si>
  <si>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</si>
  <si>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</si>
  <si>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</si>
  <si>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</si>
  <si>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</si>
  <si>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</si>
  <si>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</si>
  <si>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</si>
  <si>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</si>
  <si>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</si>
  <si>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</si>
  <si>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</si>
  <si>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</si>
  <si>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</si>
  <si>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</si>
  <si>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</si>
  <si>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</si>
  <si>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</si>
  <si>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</si>
  <si>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</si>
  <si>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23100</t>
  </si>
  <si>
    <t>LINKEBEEK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</si>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</sst>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F9DF3B3-3173-4561-827D-D4D826A5D34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45020.242837970851</c:v>
                </c:pt>
                <c:pt idx="1">
                  <c:v>13460.208531962553</c:v>
                </c:pt>
                <c:pt idx="2">
                  <c:v>296.90499999999997</c:v>
                </c:pt>
                <c:pt idx="3">
                  <c:v>392.76032985059908</c:v>
                </c:pt>
                <c:pt idx="4">
                  <c:v>1360.5526991304525</c:v>
                </c:pt>
                <c:pt idx="5">
                  <c:v>16306.602085582477</c:v>
                </c:pt>
                <c:pt idx="6">
                  <c:v>255.98841307562435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45020.242837970851</c:v>
                </c:pt>
                <c:pt idx="1">
                  <c:v>13460.208531962553</c:v>
                </c:pt>
                <c:pt idx="2">
                  <c:v>296.90499999999997</c:v>
                </c:pt>
                <c:pt idx="3">
                  <c:v>392.76032985059908</c:v>
                </c:pt>
                <c:pt idx="4">
                  <c:v>1360.5526991304525</c:v>
                </c:pt>
                <c:pt idx="5">
                  <c:v>16306.602085582477</c:v>
                </c:pt>
                <c:pt idx="6">
                  <c:v>255.98841307562435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9074.5445053699987</c:v>
                </c:pt>
                <c:pt idx="1">
                  <c:v>2837.1766277347215</c:v>
                </c:pt>
                <c:pt idx="2">
                  <c:v>63.71545715003753</c:v>
                </c:pt>
                <c:pt idx="3">
                  <c:v>100.6767201650445</c:v>
                </c:pt>
                <c:pt idx="4">
                  <c:v>284.453752537029</c:v>
                </c:pt>
                <c:pt idx="5">
                  <c:v>4016.9305050600665</c:v>
                </c:pt>
                <c:pt idx="6">
                  <c:v>64.493169194820268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9074.5445053699987</c:v>
                </c:pt>
                <c:pt idx="1">
                  <c:v>2837.1766277347215</c:v>
                </c:pt>
                <c:pt idx="2">
                  <c:v>63.71545715003753</c:v>
                </c:pt>
                <c:pt idx="3">
                  <c:v>100.6767201650445</c:v>
                </c:pt>
                <c:pt idx="4">
                  <c:v>284.453752537029</c:v>
                </c:pt>
                <c:pt idx="5">
                  <c:v>4016.9305050600665</c:v>
                </c:pt>
                <c:pt idx="6">
                  <c:v>64.493169194820268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23100</v>
      </c>
      <c r="B6" s="384"/>
      <c r="C6" s="385"/>
    </row>
    <row r="7" spans="1:7" s="382" customFormat="1" ht="15.75" customHeight="1">
      <c r="A7" s="386" t="str">
        <f>txtMunicipality</f>
        <v>LINKEBEEK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7483.9086322974663</v>
      </c>
      <c r="D10" s="681">
        <f ca="1">tertiair!C16</f>
        <v>0</v>
      </c>
      <c r="E10" s="681">
        <f ca="1">tertiair!D16</f>
        <v>5032.7875595048372</v>
      </c>
      <c r="F10" s="681">
        <f>tertiair!E16</f>
        <v>14.153462907594536</v>
      </c>
      <c r="G10" s="681">
        <f ca="1">tertiair!F16</f>
        <v>1030.0248409874621</v>
      </c>
      <c r="H10" s="681">
        <f>tertiair!G16</f>
        <v>0</v>
      </c>
      <c r="I10" s="681">
        <f>tertiair!H16</f>
        <v>0</v>
      </c>
      <c r="J10" s="681">
        <f>tertiair!I16</f>
        <v>0</v>
      </c>
      <c r="K10" s="681">
        <f>tertiair!J16</f>
        <v>4.8204787783587E-3</v>
      </c>
      <c r="L10" s="681">
        <f>tertiair!K16</f>
        <v>0</v>
      </c>
      <c r="M10" s="681">
        <f ca="1">tertiair!L16</f>
        <v>0</v>
      </c>
      <c r="N10" s="681">
        <f>tertiair!M16</f>
        <v>0</v>
      </c>
      <c r="O10" s="681">
        <f ca="1">tertiair!N16</f>
        <v>191.33695502057398</v>
      </c>
      <c r="P10" s="681">
        <f>tertiair!O16</f>
        <v>4.8972607658411542</v>
      </c>
      <c r="Q10" s="682">
        <f>tertiair!P16</f>
        <v>0</v>
      </c>
      <c r="R10" s="684">
        <f ca="1">SUM(C10:Q10)</f>
        <v>13757.113531962554</v>
      </c>
      <c r="S10" s="67"/>
    </row>
    <row r="11" spans="1:19" s="443" customFormat="1">
      <c r="A11" s="802" t="s">
        <v>214</v>
      </c>
      <c r="B11" s="807"/>
      <c r="C11" s="681">
        <f>huishoudens!B8</f>
        <v>6773.1779985574913</v>
      </c>
      <c r="D11" s="681">
        <f>huishoudens!C8</f>
        <v>0</v>
      </c>
      <c r="E11" s="681">
        <f>huishoudens!D8</f>
        <v>29200.18726976691</v>
      </c>
      <c r="F11" s="681">
        <f>huishoudens!E8</f>
        <v>281.45713392735439</v>
      </c>
      <c r="G11" s="681">
        <f>huishoudens!F8</f>
        <v>6165.7703349223257</v>
      </c>
      <c r="H11" s="681">
        <f>huishoudens!G8</f>
        <v>0</v>
      </c>
      <c r="I11" s="681">
        <f>huishoudens!H8</f>
        <v>0</v>
      </c>
      <c r="J11" s="681">
        <f>huishoudens!I8</f>
        <v>0</v>
      </c>
      <c r="K11" s="681">
        <f>huishoudens!J8</f>
        <v>35.139399512196348</v>
      </c>
      <c r="L11" s="681">
        <f>huishoudens!K8</f>
        <v>0</v>
      </c>
      <c r="M11" s="681">
        <f>huishoudens!L8</f>
        <v>0</v>
      </c>
      <c r="N11" s="681">
        <f>huishoudens!M8</f>
        <v>0</v>
      </c>
      <c r="O11" s="681">
        <f>huishoudens!N8</f>
        <v>2455.0617381818165</v>
      </c>
      <c r="P11" s="681">
        <f>huishoudens!O8</f>
        <v>35.711247948966573</v>
      </c>
      <c r="Q11" s="682">
        <f>huishoudens!P8</f>
        <v>73.737715153795165</v>
      </c>
      <c r="R11" s="684">
        <f>SUM(C11:Q11)</f>
        <v>45020.242837970851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366.76809506934069</v>
      </c>
      <c r="D13" s="681">
        <f>industrie!C18</f>
        <v>0</v>
      </c>
      <c r="E13" s="681">
        <f>industrie!D18</f>
        <v>857.16877131112483</v>
      </c>
      <c r="F13" s="681">
        <f>industrie!E18</f>
        <v>11.771545800897623</v>
      </c>
      <c r="G13" s="681">
        <f>industrie!F18</f>
        <v>110.70345699482186</v>
      </c>
      <c r="H13" s="681">
        <f>industrie!G18</f>
        <v>0</v>
      </c>
      <c r="I13" s="681">
        <f>industrie!H18</f>
        <v>0</v>
      </c>
      <c r="J13" s="681">
        <f>industrie!I18</f>
        <v>0</v>
      </c>
      <c r="K13" s="681">
        <f>industrie!J18</f>
        <v>1.038709601567724</v>
      </c>
      <c r="L13" s="681">
        <f>industrie!K18</f>
        <v>0</v>
      </c>
      <c r="M13" s="681">
        <f>industrie!L18</f>
        <v>0</v>
      </c>
      <c r="N13" s="681">
        <f>industrie!M18</f>
        <v>0</v>
      </c>
      <c r="O13" s="681">
        <f>industrie!N18</f>
        <v>13.10212035269976</v>
      </c>
      <c r="P13" s="681">
        <f>industrie!O18</f>
        <v>0</v>
      </c>
      <c r="Q13" s="682">
        <f>industrie!P18</f>
        <v>0</v>
      </c>
      <c r="R13" s="684">
        <f>SUM(C13:Q13)</f>
        <v>1360.5526991304525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14623.854725924299</v>
      </c>
      <c r="D16" s="717">
        <f t="shared" ref="D16:R16" ca="1" si="0">SUM(D9:D15)</f>
        <v>0</v>
      </c>
      <c r="E16" s="717">
        <f t="shared" ca="1" si="0"/>
        <v>35090.143600582873</v>
      </c>
      <c r="F16" s="717">
        <f t="shared" si="0"/>
        <v>307.38214263584655</v>
      </c>
      <c r="G16" s="717">
        <f t="shared" ca="1" si="0"/>
        <v>7306.4986329046096</v>
      </c>
      <c r="H16" s="717">
        <f t="shared" si="0"/>
        <v>0</v>
      </c>
      <c r="I16" s="717">
        <f t="shared" si="0"/>
        <v>0</v>
      </c>
      <c r="J16" s="717">
        <f t="shared" si="0"/>
        <v>0</v>
      </c>
      <c r="K16" s="717">
        <f t="shared" si="0"/>
        <v>36.182929592542429</v>
      </c>
      <c r="L16" s="717">
        <f t="shared" si="0"/>
        <v>0</v>
      </c>
      <c r="M16" s="717">
        <f t="shared" ca="1" si="0"/>
        <v>0</v>
      </c>
      <c r="N16" s="717">
        <f t="shared" si="0"/>
        <v>0</v>
      </c>
      <c r="O16" s="717">
        <f t="shared" ca="1" si="0"/>
        <v>2659.5008135550902</v>
      </c>
      <c r="P16" s="717">
        <f t="shared" si="0"/>
        <v>40.608508714807726</v>
      </c>
      <c r="Q16" s="717">
        <f t="shared" si="0"/>
        <v>73.737715153795165</v>
      </c>
      <c r="R16" s="717">
        <f t="shared" ca="1" si="0"/>
        <v>60137.909069063855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3.8094902621255957</v>
      </c>
      <c r="D19" s="681">
        <f>transport!C54</f>
        <v>0</v>
      </c>
      <c r="E19" s="681">
        <f>transport!D54</f>
        <v>0</v>
      </c>
      <c r="F19" s="681">
        <f>transport!E54</f>
        <v>0</v>
      </c>
      <c r="G19" s="681">
        <f>transport!F54</f>
        <v>0</v>
      </c>
      <c r="H19" s="681">
        <f>transport!G54</f>
        <v>238.48560730472576</v>
      </c>
      <c r="I19" s="681">
        <f>transport!H54</f>
        <v>0</v>
      </c>
      <c r="J19" s="681">
        <f>transport!I54</f>
        <v>0</v>
      </c>
      <c r="K19" s="681">
        <f>transport!J54</f>
        <v>0</v>
      </c>
      <c r="L19" s="681">
        <f>transport!K54</f>
        <v>0</v>
      </c>
      <c r="M19" s="681">
        <f>transport!L54</f>
        <v>0</v>
      </c>
      <c r="N19" s="681">
        <f>transport!M54</f>
        <v>13.693315508772983</v>
      </c>
      <c r="O19" s="681">
        <f>transport!N54</f>
        <v>0</v>
      </c>
      <c r="P19" s="681">
        <f>transport!O54</f>
        <v>0</v>
      </c>
      <c r="Q19" s="682">
        <f>transport!P54</f>
        <v>0</v>
      </c>
      <c r="R19" s="684">
        <f>SUM(C19:Q19)</f>
        <v>255.98841307562435</v>
      </c>
      <c r="S19" s="67"/>
    </row>
    <row r="20" spans="1:19" s="443" customFormat="1">
      <c r="A20" s="802" t="s">
        <v>296</v>
      </c>
      <c r="B20" s="807"/>
      <c r="C20" s="681">
        <f>transport!B14</f>
        <v>39.450743037435267</v>
      </c>
      <c r="D20" s="681">
        <f>transport!C14</f>
        <v>0</v>
      </c>
      <c r="E20" s="681">
        <f>transport!D14</f>
        <v>90.01994848065533</v>
      </c>
      <c r="F20" s="681">
        <f>transport!E14</f>
        <v>34.172035895442058</v>
      </c>
      <c r="G20" s="681">
        <f>transport!F14</f>
        <v>0</v>
      </c>
      <c r="H20" s="681">
        <f>transport!G14</f>
        <v>10837.13772739514</v>
      </c>
      <c r="I20" s="681">
        <f>transport!H14</f>
        <v>4373.524369202114</v>
      </c>
      <c r="J20" s="681">
        <f>transport!I14</f>
        <v>0</v>
      </c>
      <c r="K20" s="681">
        <f>transport!J14</f>
        <v>0</v>
      </c>
      <c r="L20" s="681">
        <f>transport!K14</f>
        <v>0</v>
      </c>
      <c r="M20" s="681">
        <f>transport!L14</f>
        <v>0</v>
      </c>
      <c r="N20" s="681">
        <f>transport!M14</f>
        <v>932.29726157168909</v>
      </c>
      <c r="O20" s="681">
        <f>transport!N14</f>
        <v>0</v>
      </c>
      <c r="P20" s="681">
        <f>transport!O14</f>
        <v>0</v>
      </c>
      <c r="Q20" s="682">
        <f>transport!P14</f>
        <v>0</v>
      </c>
      <c r="R20" s="684">
        <f>SUM(C20:Q20)</f>
        <v>16306.602085582477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43.260233299560859</v>
      </c>
      <c r="D22" s="805">
        <f t="shared" ref="D22:R22" si="1">SUM(D18:D21)</f>
        <v>0</v>
      </c>
      <c r="E22" s="805">
        <f t="shared" si="1"/>
        <v>90.01994848065533</v>
      </c>
      <c r="F22" s="805">
        <f t="shared" si="1"/>
        <v>34.172035895442058</v>
      </c>
      <c r="G22" s="805">
        <f t="shared" si="1"/>
        <v>0</v>
      </c>
      <c r="H22" s="805">
        <f t="shared" si="1"/>
        <v>11075.623334699865</v>
      </c>
      <c r="I22" s="805">
        <f t="shared" si="1"/>
        <v>4373.524369202114</v>
      </c>
      <c r="J22" s="805">
        <f t="shared" si="1"/>
        <v>0</v>
      </c>
      <c r="K22" s="805">
        <f t="shared" si="1"/>
        <v>0</v>
      </c>
      <c r="L22" s="805">
        <f t="shared" si="1"/>
        <v>0</v>
      </c>
      <c r="M22" s="805">
        <f t="shared" si="1"/>
        <v>0</v>
      </c>
      <c r="N22" s="805">
        <f t="shared" si="1"/>
        <v>945.99057708046212</v>
      </c>
      <c r="O22" s="805">
        <f t="shared" si="1"/>
        <v>0</v>
      </c>
      <c r="P22" s="805">
        <f t="shared" si="1"/>
        <v>0</v>
      </c>
      <c r="Q22" s="805">
        <f t="shared" si="1"/>
        <v>0</v>
      </c>
      <c r="R22" s="805">
        <f t="shared" si="1"/>
        <v>16562.590498658101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82.799649812168809</v>
      </c>
      <c r="D24" s="681">
        <f>+landbouw!C8</f>
        <v>0</v>
      </c>
      <c r="E24" s="681">
        <f>+landbouw!D8</f>
        <v>24.434887019880755</v>
      </c>
      <c r="F24" s="681">
        <f>+landbouw!E8</f>
        <v>2.3715220932815773</v>
      </c>
      <c r="G24" s="681">
        <f>+landbouw!F8</f>
        <v>262.10092008509395</v>
      </c>
      <c r="H24" s="681">
        <f>+landbouw!G8</f>
        <v>0</v>
      </c>
      <c r="I24" s="681">
        <f>+landbouw!H8</f>
        <v>0</v>
      </c>
      <c r="J24" s="681">
        <f>+landbouw!I8</f>
        <v>0</v>
      </c>
      <c r="K24" s="681">
        <f>+landbouw!J8</f>
        <v>21.05335084017392</v>
      </c>
      <c r="L24" s="681">
        <f>+landbouw!K8</f>
        <v>0</v>
      </c>
      <c r="M24" s="681">
        <f>+landbouw!L8</f>
        <v>0</v>
      </c>
      <c r="N24" s="681">
        <f>+landbouw!M8</f>
        <v>0</v>
      </c>
      <c r="O24" s="681">
        <f>+landbouw!N8</f>
        <v>0</v>
      </c>
      <c r="P24" s="681">
        <f>+landbouw!O8</f>
        <v>0</v>
      </c>
      <c r="Q24" s="682">
        <f>+landbouw!P8</f>
        <v>0</v>
      </c>
      <c r="R24" s="684">
        <f>SUM(C24:Q24)</f>
        <v>392.76032985059908</v>
      </c>
      <c r="S24" s="67"/>
    </row>
    <row r="25" spans="1:19" s="443" customFormat="1" ht="15" thickBot="1">
      <c r="A25" s="824" t="s">
        <v>690</v>
      </c>
      <c r="B25" s="937"/>
      <c r="C25" s="938">
        <f>IF(Onbekend_ele_kWh="---",0,Onbekend_ele_kWh)/1000+IF(REST_rest_ele_kWh="---",0,REST_rest_ele_kWh)/1000</f>
        <v>252.284425158582</v>
      </c>
      <c r="D25" s="938"/>
      <c r="E25" s="938">
        <f>IF(onbekend_gas_kWh="---",0,onbekend_gas_kWh)/1000+IF(REST_rest_gas_kWh="---",0,REST_rest_gas_kWh)/1000</f>
        <v>1730.5744778711201</v>
      </c>
      <c r="F25" s="938"/>
      <c r="G25" s="938"/>
      <c r="H25" s="938"/>
      <c r="I25" s="938"/>
      <c r="J25" s="938"/>
      <c r="K25" s="938"/>
      <c r="L25" s="938"/>
      <c r="M25" s="938"/>
      <c r="N25" s="938"/>
      <c r="O25" s="938"/>
      <c r="P25" s="938"/>
      <c r="Q25" s="939"/>
      <c r="R25" s="684">
        <f>SUM(C25:Q25)</f>
        <v>1982.8589030297021</v>
      </c>
      <c r="S25" s="67"/>
    </row>
    <row r="26" spans="1:19" s="443" customFormat="1" ht="15.75" thickBot="1">
      <c r="A26" s="689" t="s">
        <v>691</v>
      </c>
      <c r="B26" s="810"/>
      <c r="C26" s="805">
        <f>SUM(C24:C25)</f>
        <v>335.08407497075081</v>
      </c>
      <c r="D26" s="805">
        <f t="shared" ref="D26:R26" si="2">SUM(D24:D25)</f>
        <v>0</v>
      </c>
      <c r="E26" s="805">
        <f t="shared" si="2"/>
        <v>1755.0093648910008</v>
      </c>
      <c r="F26" s="805">
        <f t="shared" si="2"/>
        <v>2.3715220932815773</v>
      </c>
      <c r="G26" s="805">
        <f t="shared" si="2"/>
        <v>262.10092008509395</v>
      </c>
      <c r="H26" s="805">
        <f t="shared" si="2"/>
        <v>0</v>
      </c>
      <c r="I26" s="805">
        <f t="shared" si="2"/>
        <v>0</v>
      </c>
      <c r="J26" s="805">
        <f t="shared" si="2"/>
        <v>0</v>
      </c>
      <c r="K26" s="805">
        <f t="shared" si="2"/>
        <v>21.05335084017392</v>
      </c>
      <c r="L26" s="805">
        <f t="shared" si="2"/>
        <v>0</v>
      </c>
      <c r="M26" s="805">
        <f t="shared" si="2"/>
        <v>0</v>
      </c>
      <c r="N26" s="805">
        <f t="shared" si="2"/>
        <v>0</v>
      </c>
      <c r="O26" s="805">
        <f t="shared" si="2"/>
        <v>0</v>
      </c>
      <c r="P26" s="805">
        <f t="shared" si="2"/>
        <v>0</v>
      </c>
      <c r="Q26" s="805">
        <f t="shared" si="2"/>
        <v>0</v>
      </c>
      <c r="R26" s="805">
        <f t="shared" si="2"/>
        <v>2375.6192328803013</v>
      </c>
      <c r="S26" s="67"/>
    </row>
    <row r="27" spans="1:19" s="443" customFormat="1" ht="17.25" thickTop="1" thickBot="1">
      <c r="A27" s="690" t="s">
        <v>109</v>
      </c>
      <c r="B27" s="797"/>
      <c r="C27" s="691">
        <f ca="1">C22+C16+C26</f>
        <v>15002.199034194611</v>
      </c>
      <c r="D27" s="691">
        <f t="shared" ref="D27:R27" ca="1" si="3">D22+D16+D26</f>
        <v>0</v>
      </c>
      <c r="E27" s="691">
        <f t="shared" ca="1" si="3"/>
        <v>36935.172913954535</v>
      </c>
      <c r="F27" s="691">
        <f t="shared" si="3"/>
        <v>343.92570062457014</v>
      </c>
      <c r="G27" s="691">
        <f t="shared" ca="1" si="3"/>
        <v>7568.5995529897036</v>
      </c>
      <c r="H27" s="691">
        <f t="shared" si="3"/>
        <v>11075.623334699865</v>
      </c>
      <c r="I27" s="691">
        <f t="shared" si="3"/>
        <v>4373.524369202114</v>
      </c>
      <c r="J27" s="691">
        <f t="shared" si="3"/>
        <v>0</v>
      </c>
      <c r="K27" s="691">
        <f t="shared" si="3"/>
        <v>57.236280432716349</v>
      </c>
      <c r="L27" s="691">
        <f t="shared" si="3"/>
        <v>0</v>
      </c>
      <c r="M27" s="691">
        <f t="shared" ca="1" si="3"/>
        <v>0</v>
      </c>
      <c r="N27" s="691">
        <f t="shared" si="3"/>
        <v>945.99057708046212</v>
      </c>
      <c r="O27" s="691">
        <f t="shared" ca="1" si="3"/>
        <v>2659.5008135550902</v>
      </c>
      <c r="P27" s="691">
        <f t="shared" si="3"/>
        <v>40.608508714807726</v>
      </c>
      <c r="Q27" s="691">
        <f t="shared" si="3"/>
        <v>73.737715153795165</v>
      </c>
      <c r="R27" s="691">
        <f t="shared" ca="1" si="3"/>
        <v>79076.118800602257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1606.0378227916176</v>
      </c>
      <c r="D40" s="681">
        <f ca="1">tertiair!C20</f>
        <v>0</v>
      </c>
      <c r="E40" s="681">
        <f ca="1">tertiair!D20</f>
        <v>1016.6230870199772</v>
      </c>
      <c r="F40" s="681">
        <f>tertiair!E20</f>
        <v>3.2128360800239597</v>
      </c>
      <c r="G40" s="681">
        <f ca="1">tertiair!F20</f>
        <v>275.01663254365241</v>
      </c>
      <c r="H40" s="681">
        <f>tertiair!G20</f>
        <v>0</v>
      </c>
      <c r="I40" s="681">
        <f>tertiair!H20</f>
        <v>0</v>
      </c>
      <c r="J40" s="681">
        <f>tertiair!I20</f>
        <v>0</v>
      </c>
      <c r="K40" s="681">
        <f>tertiair!J20</f>
        <v>1.7064494875389797E-3</v>
      </c>
      <c r="L40" s="681">
        <f>tertiair!K20</f>
        <v>0</v>
      </c>
      <c r="M40" s="681">
        <f ca="1">tertiair!L20</f>
        <v>0</v>
      </c>
      <c r="N40" s="681">
        <f>tertiair!M20</f>
        <v>0</v>
      </c>
      <c r="O40" s="681">
        <f ca="1">tertiair!N20</f>
        <v>0</v>
      </c>
      <c r="P40" s="681">
        <f>tertiair!O20</f>
        <v>0</v>
      </c>
      <c r="Q40" s="764">
        <f>tertiair!P20</f>
        <v>0</v>
      </c>
      <c r="R40" s="843">
        <f t="shared" ca="1" si="4"/>
        <v>2900.8920848847592</v>
      </c>
    </row>
    <row r="41" spans="1:18">
      <c r="A41" s="815" t="s">
        <v>214</v>
      </c>
      <c r="B41" s="822"/>
      <c r="C41" s="681">
        <f ca="1">huishoudens!B12</f>
        <v>1453.5158806239936</v>
      </c>
      <c r="D41" s="681">
        <f ca="1">huishoudens!C12</f>
        <v>0</v>
      </c>
      <c r="E41" s="681">
        <f>huishoudens!D12</f>
        <v>5898.4378284929162</v>
      </c>
      <c r="F41" s="681">
        <f>huishoudens!E12</f>
        <v>63.890769401509452</v>
      </c>
      <c r="G41" s="681">
        <f>huishoudens!F12</f>
        <v>1646.2606794242611</v>
      </c>
      <c r="H41" s="681">
        <f>huishoudens!G12</f>
        <v>0</v>
      </c>
      <c r="I41" s="681">
        <f>huishoudens!H12</f>
        <v>0</v>
      </c>
      <c r="J41" s="681">
        <f>huishoudens!I12</f>
        <v>0</v>
      </c>
      <c r="K41" s="681">
        <f>huishoudens!J12</f>
        <v>12.439347427317507</v>
      </c>
      <c r="L41" s="681">
        <f>huishoudens!K12</f>
        <v>0</v>
      </c>
      <c r="M41" s="681">
        <f>huishoudens!L12</f>
        <v>0</v>
      </c>
      <c r="N41" s="681">
        <f>huishoudens!M12</f>
        <v>0</v>
      </c>
      <c r="O41" s="681">
        <f>huishoudens!N12</f>
        <v>0</v>
      </c>
      <c r="P41" s="681">
        <f>huishoudens!O12</f>
        <v>0</v>
      </c>
      <c r="Q41" s="764">
        <f>huishoudens!P12</f>
        <v>0</v>
      </c>
      <c r="R41" s="843">
        <f t="shared" ca="1" si="4"/>
        <v>9074.5445053699987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78.707993618805574</v>
      </c>
      <c r="D43" s="681">
        <f ca="1">industrie!C22</f>
        <v>0</v>
      </c>
      <c r="E43" s="681">
        <f>industrie!D22</f>
        <v>173.14809180484724</v>
      </c>
      <c r="F43" s="681">
        <f>industrie!E22</f>
        <v>2.6721408968037608</v>
      </c>
      <c r="G43" s="681">
        <f>industrie!F22</f>
        <v>29.557823017617441</v>
      </c>
      <c r="H43" s="681">
        <f>industrie!G22</f>
        <v>0</v>
      </c>
      <c r="I43" s="681">
        <f>industrie!H22</f>
        <v>0</v>
      </c>
      <c r="J43" s="681">
        <f>industrie!I22</f>
        <v>0</v>
      </c>
      <c r="K43" s="681">
        <f>industrie!J22</f>
        <v>0.36770319895497428</v>
      </c>
      <c r="L43" s="681">
        <f>industrie!K22</f>
        <v>0</v>
      </c>
      <c r="M43" s="681">
        <f>industrie!L22</f>
        <v>0</v>
      </c>
      <c r="N43" s="681">
        <f>industrie!M22</f>
        <v>0</v>
      </c>
      <c r="O43" s="681">
        <f>industrie!N22</f>
        <v>0</v>
      </c>
      <c r="P43" s="681">
        <f>industrie!O22</f>
        <v>0</v>
      </c>
      <c r="Q43" s="764">
        <f>industrie!P22</f>
        <v>0</v>
      </c>
      <c r="R43" s="842">
        <f t="shared" ca="1" si="4"/>
        <v>284.453752537029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3138.261697034417</v>
      </c>
      <c r="D46" s="717">
        <f t="shared" ref="D46:Q46" ca="1" si="5">SUM(D39:D45)</f>
        <v>0</v>
      </c>
      <c r="E46" s="717">
        <f t="shared" ca="1" si="5"/>
        <v>7088.2090073177405</v>
      </c>
      <c r="F46" s="717">
        <f t="shared" si="5"/>
        <v>69.775746378337175</v>
      </c>
      <c r="G46" s="717">
        <f t="shared" ca="1" si="5"/>
        <v>1950.8351349855309</v>
      </c>
      <c r="H46" s="717">
        <f t="shared" si="5"/>
        <v>0</v>
      </c>
      <c r="I46" s="717">
        <f t="shared" si="5"/>
        <v>0</v>
      </c>
      <c r="J46" s="717">
        <f t="shared" si="5"/>
        <v>0</v>
      </c>
      <c r="K46" s="717">
        <f t="shared" si="5"/>
        <v>12.80875707576002</v>
      </c>
      <c r="L46" s="717">
        <f t="shared" si="5"/>
        <v>0</v>
      </c>
      <c r="M46" s="717">
        <f t="shared" ca="1" si="5"/>
        <v>0</v>
      </c>
      <c r="N46" s="717">
        <f t="shared" si="5"/>
        <v>0</v>
      </c>
      <c r="O46" s="717">
        <f t="shared" ca="1" si="5"/>
        <v>0</v>
      </c>
      <c r="P46" s="717">
        <f t="shared" si="5"/>
        <v>0</v>
      </c>
      <c r="Q46" s="717">
        <f t="shared" si="5"/>
        <v>0</v>
      </c>
      <c r="R46" s="717">
        <f ca="1">SUM(R39:R45)</f>
        <v>12259.890342791787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0.81751204445849224</v>
      </c>
      <c r="D49" s="681">
        <f ca="1">transport!C58</f>
        <v>0</v>
      </c>
      <c r="E49" s="681">
        <f>transport!D58</f>
        <v>0</v>
      </c>
      <c r="F49" s="681">
        <f>transport!E58</f>
        <v>0</v>
      </c>
      <c r="G49" s="681">
        <f>transport!F58</f>
        <v>0</v>
      </c>
      <c r="H49" s="681">
        <f>transport!G58</f>
        <v>63.675657150361779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64.493169194820268</v>
      </c>
    </row>
    <row r="50" spans="1:18">
      <c r="A50" s="818" t="s">
        <v>296</v>
      </c>
      <c r="B50" s="828"/>
      <c r="C50" s="687">
        <f ca="1">transport!B18</f>
        <v>8.4660821728797035</v>
      </c>
      <c r="D50" s="687">
        <f>transport!C18</f>
        <v>0</v>
      </c>
      <c r="E50" s="687">
        <f>transport!D18</f>
        <v>18.184029593092379</v>
      </c>
      <c r="F50" s="687">
        <f>transport!E18</f>
        <v>7.7570521482653474</v>
      </c>
      <c r="G50" s="687">
        <f>transport!F18</f>
        <v>0</v>
      </c>
      <c r="H50" s="687">
        <f>transport!G18</f>
        <v>2893.5157732145026</v>
      </c>
      <c r="I50" s="687">
        <f>transport!H18</f>
        <v>1089.0075679313263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4016.9305050600665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9.2835942173381962</v>
      </c>
      <c r="D52" s="717">
        <f t="shared" ref="D52:Q52" ca="1" si="6">SUM(D48:D51)</f>
        <v>0</v>
      </c>
      <c r="E52" s="717">
        <f t="shared" si="6"/>
        <v>18.184029593092379</v>
      </c>
      <c r="F52" s="717">
        <f t="shared" si="6"/>
        <v>7.7570521482653474</v>
      </c>
      <c r="G52" s="717">
        <f t="shared" si="6"/>
        <v>0</v>
      </c>
      <c r="H52" s="717">
        <f t="shared" si="6"/>
        <v>2957.1914303648646</v>
      </c>
      <c r="I52" s="717">
        <f t="shared" si="6"/>
        <v>1089.0075679313263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4081.4236742548869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17.768705611712011</v>
      </c>
      <c r="D54" s="687">
        <f ca="1">+landbouw!C12</f>
        <v>0</v>
      </c>
      <c r="E54" s="687">
        <f>+landbouw!D12</f>
        <v>4.935847178015913</v>
      </c>
      <c r="F54" s="687">
        <f>+landbouw!E12</f>
        <v>0.53833551517491807</v>
      </c>
      <c r="G54" s="687">
        <f>+landbouw!F12</f>
        <v>69.980945662720089</v>
      </c>
      <c r="H54" s="687">
        <f>+landbouw!G12</f>
        <v>0</v>
      </c>
      <c r="I54" s="687">
        <f>+landbouw!H12</f>
        <v>0</v>
      </c>
      <c r="J54" s="687">
        <f>+landbouw!I12</f>
        <v>0</v>
      </c>
      <c r="K54" s="687">
        <f>+landbouw!J12</f>
        <v>7.4528861974215674</v>
      </c>
      <c r="L54" s="687">
        <f>+landbouw!K12</f>
        <v>0</v>
      </c>
      <c r="M54" s="687">
        <f>+landbouw!L12</f>
        <v>0</v>
      </c>
      <c r="N54" s="687">
        <f>+landbouw!M12</f>
        <v>0</v>
      </c>
      <c r="O54" s="687">
        <f>+landbouw!N12</f>
        <v>0</v>
      </c>
      <c r="P54" s="687">
        <f>+landbouw!O12</f>
        <v>0</v>
      </c>
      <c r="Q54" s="688">
        <f>+landbouw!P12</f>
        <v>0</v>
      </c>
      <c r="R54" s="716">
        <f ca="1">SUM(C54:Q54)</f>
        <v>100.6767201650445</v>
      </c>
    </row>
    <row r="55" spans="1:18" ht="15" thickBot="1">
      <c r="A55" s="818" t="s">
        <v>690</v>
      </c>
      <c r="B55" s="828"/>
      <c r="C55" s="687">
        <f ca="1">C25*'EF ele_warmte'!B12</f>
        <v>54.139935268228832</v>
      </c>
      <c r="D55" s="687"/>
      <c r="E55" s="687">
        <f>E25*EF_CO2_aardgas</f>
        <v>349.57604452996628</v>
      </c>
      <c r="F55" s="687"/>
      <c r="G55" s="687"/>
      <c r="H55" s="687"/>
      <c r="I55" s="687"/>
      <c r="J55" s="687"/>
      <c r="K55" s="687"/>
      <c r="L55" s="687"/>
      <c r="M55" s="687"/>
      <c r="N55" s="687"/>
      <c r="O55" s="687"/>
      <c r="P55" s="687"/>
      <c r="Q55" s="688"/>
      <c r="R55" s="716">
        <f ca="1">SUM(C55:Q55)</f>
        <v>403.71597979819512</v>
      </c>
    </row>
    <row r="56" spans="1:18" ht="15.75" thickBot="1">
      <c r="A56" s="816" t="s">
        <v>691</v>
      </c>
      <c r="B56" s="829"/>
      <c r="C56" s="717">
        <f ca="1">SUM(C54:C55)</f>
        <v>71.908640879940847</v>
      </c>
      <c r="D56" s="717">
        <f t="shared" ref="D56:Q56" ca="1" si="7">SUM(D54:D55)</f>
        <v>0</v>
      </c>
      <c r="E56" s="717">
        <f t="shared" si="7"/>
        <v>354.51189170798222</v>
      </c>
      <c r="F56" s="717">
        <f t="shared" si="7"/>
        <v>0.53833551517491807</v>
      </c>
      <c r="G56" s="717">
        <f t="shared" si="7"/>
        <v>69.980945662720089</v>
      </c>
      <c r="H56" s="717">
        <f t="shared" si="7"/>
        <v>0</v>
      </c>
      <c r="I56" s="717">
        <f t="shared" si="7"/>
        <v>0</v>
      </c>
      <c r="J56" s="717">
        <f t="shared" si="7"/>
        <v>0</v>
      </c>
      <c r="K56" s="717">
        <f t="shared" si="7"/>
        <v>7.4528861974215674</v>
      </c>
      <c r="L56" s="717">
        <f t="shared" si="7"/>
        <v>0</v>
      </c>
      <c r="M56" s="717">
        <f t="shared" si="7"/>
        <v>0</v>
      </c>
      <c r="N56" s="717">
        <f t="shared" si="7"/>
        <v>0</v>
      </c>
      <c r="O56" s="717">
        <f t="shared" si="7"/>
        <v>0</v>
      </c>
      <c r="P56" s="717">
        <f t="shared" si="7"/>
        <v>0</v>
      </c>
      <c r="Q56" s="718">
        <f t="shared" si="7"/>
        <v>0</v>
      </c>
      <c r="R56" s="719">
        <f ca="1">SUM(R54:R55)</f>
        <v>504.39269996323964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3219.4539321316961</v>
      </c>
      <c r="D61" s="725">
        <f t="shared" ref="D61:Q61" ca="1" si="8">D46+D52+D56</f>
        <v>0</v>
      </c>
      <c r="E61" s="725">
        <f t="shared" ca="1" si="8"/>
        <v>7460.9049286188156</v>
      </c>
      <c r="F61" s="725">
        <f t="shared" si="8"/>
        <v>78.071134041777441</v>
      </c>
      <c r="G61" s="725">
        <f t="shared" ca="1" si="8"/>
        <v>2020.816080648251</v>
      </c>
      <c r="H61" s="725">
        <f t="shared" si="8"/>
        <v>2957.1914303648646</v>
      </c>
      <c r="I61" s="725">
        <f t="shared" si="8"/>
        <v>1089.0075679313263</v>
      </c>
      <c r="J61" s="725">
        <f t="shared" si="8"/>
        <v>0</v>
      </c>
      <c r="K61" s="725">
        <f t="shared" si="8"/>
        <v>20.261643273181587</v>
      </c>
      <c r="L61" s="725">
        <f t="shared" si="8"/>
        <v>0</v>
      </c>
      <c r="M61" s="725">
        <f t="shared" ca="1" si="8"/>
        <v>0</v>
      </c>
      <c r="N61" s="725">
        <f t="shared" si="8"/>
        <v>0</v>
      </c>
      <c r="O61" s="725">
        <f t="shared" ca="1" si="8"/>
        <v>0</v>
      </c>
      <c r="P61" s="725">
        <f t="shared" si="8"/>
        <v>0</v>
      </c>
      <c r="Q61" s="725">
        <f t="shared" si="8"/>
        <v>0</v>
      </c>
      <c r="R61" s="725">
        <f ca="1">R46+R52+R56</f>
        <v>16845.706717009914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0.2145988014686096</v>
      </c>
      <c r="D63" s="771">
        <f t="shared" ca="1" si="9"/>
        <v>0</v>
      </c>
      <c r="E63" s="963">
        <f t="shared" ca="1" si="9"/>
        <v>0.20199999999999999</v>
      </c>
      <c r="F63" s="771">
        <f t="shared" si="9"/>
        <v>0.22700000000000006</v>
      </c>
      <c r="G63" s="771">
        <f t="shared" ca="1" si="9"/>
        <v>0.26700000000000002</v>
      </c>
      <c r="H63" s="771">
        <f t="shared" si="9"/>
        <v>0.26700000000000007</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434.53418291996815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434.53418291996815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6773.1779985574913</v>
      </c>
      <c r="C4" s="447">
        <f>huishoudens!C8</f>
        <v>0</v>
      </c>
      <c r="D4" s="447">
        <f>huishoudens!D8</f>
        <v>29200.18726976691</v>
      </c>
      <c r="E4" s="447">
        <f>huishoudens!E8</f>
        <v>281.45713392735439</v>
      </c>
      <c r="F4" s="447">
        <f>huishoudens!F8</f>
        <v>6165.7703349223257</v>
      </c>
      <c r="G4" s="447">
        <f>huishoudens!G8</f>
        <v>0</v>
      </c>
      <c r="H4" s="447">
        <f>huishoudens!H8</f>
        <v>0</v>
      </c>
      <c r="I4" s="447">
        <f>huishoudens!I8</f>
        <v>0</v>
      </c>
      <c r="J4" s="447">
        <f>huishoudens!J8</f>
        <v>35.139399512196348</v>
      </c>
      <c r="K4" s="447">
        <f>huishoudens!K8</f>
        <v>0</v>
      </c>
      <c r="L4" s="447">
        <f>huishoudens!L8</f>
        <v>0</v>
      </c>
      <c r="M4" s="447">
        <f>huishoudens!M8</f>
        <v>0</v>
      </c>
      <c r="N4" s="447">
        <f>huishoudens!N8</f>
        <v>2455.0617381818165</v>
      </c>
      <c r="O4" s="447">
        <f>huishoudens!O8</f>
        <v>35.711247948966573</v>
      </c>
      <c r="P4" s="448">
        <f>huishoudens!P8</f>
        <v>73.737715153795165</v>
      </c>
      <c r="Q4" s="449">
        <f>SUM(B4:P4)</f>
        <v>45020.242837970851</v>
      </c>
    </row>
    <row r="5" spans="1:17">
      <c r="A5" s="446" t="s">
        <v>149</v>
      </c>
      <c r="B5" s="447">
        <f ca="1">tertiair!B16</f>
        <v>7187.0036322974665</v>
      </c>
      <c r="C5" s="447">
        <f ca="1">tertiair!C16</f>
        <v>0</v>
      </c>
      <c r="D5" s="447">
        <f ca="1">tertiair!D16</f>
        <v>5032.7875595048372</v>
      </c>
      <c r="E5" s="447">
        <f>tertiair!E16</f>
        <v>14.153462907594536</v>
      </c>
      <c r="F5" s="447">
        <f ca="1">tertiair!F16</f>
        <v>1030.0248409874621</v>
      </c>
      <c r="G5" s="447">
        <f>tertiair!G16</f>
        <v>0</v>
      </c>
      <c r="H5" s="447">
        <f>tertiair!H16</f>
        <v>0</v>
      </c>
      <c r="I5" s="447">
        <f>tertiair!I16</f>
        <v>0</v>
      </c>
      <c r="J5" s="447">
        <f>tertiair!J16</f>
        <v>4.8204787783587E-3</v>
      </c>
      <c r="K5" s="447">
        <f>tertiair!K16</f>
        <v>0</v>
      </c>
      <c r="L5" s="447">
        <f ca="1">tertiair!L16</f>
        <v>0</v>
      </c>
      <c r="M5" s="447">
        <f>tertiair!M16</f>
        <v>0</v>
      </c>
      <c r="N5" s="447">
        <f ca="1">tertiair!N16</f>
        <v>191.33695502057398</v>
      </c>
      <c r="O5" s="447">
        <f>tertiair!O16</f>
        <v>4.8972607658411542</v>
      </c>
      <c r="P5" s="448">
        <f>tertiair!P16</f>
        <v>0</v>
      </c>
      <c r="Q5" s="446">
        <f t="shared" ref="Q5:Q14" ca="1" si="0">SUM(B5:P5)</f>
        <v>13460.208531962553</v>
      </c>
    </row>
    <row r="6" spans="1:17">
      <c r="A6" s="446" t="s">
        <v>187</v>
      </c>
      <c r="B6" s="447">
        <f>'openbare verlichting'!B8</f>
        <v>296.90499999999997</v>
      </c>
      <c r="C6" s="447"/>
      <c r="D6" s="447"/>
      <c r="E6" s="447"/>
      <c r="F6" s="447"/>
      <c r="G6" s="447"/>
      <c r="H6" s="447"/>
      <c r="I6" s="447"/>
      <c r="J6" s="447"/>
      <c r="K6" s="447"/>
      <c r="L6" s="447"/>
      <c r="M6" s="447"/>
      <c r="N6" s="447"/>
      <c r="O6" s="447"/>
      <c r="P6" s="448"/>
      <c r="Q6" s="446">
        <f t="shared" si="0"/>
        <v>296.90499999999997</v>
      </c>
    </row>
    <row r="7" spans="1:17">
      <c r="A7" s="446" t="s">
        <v>105</v>
      </c>
      <c r="B7" s="447">
        <f>landbouw!B8</f>
        <v>82.799649812168809</v>
      </c>
      <c r="C7" s="447">
        <f>landbouw!C8</f>
        <v>0</v>
      </c>
      <c r="D7" s="447">
        <f>landbouw!D8</f>
        <v>24.434887019880755</v>
      </c>
      <c r="E7" s="447">
        <f>landbouw!E8</f>
        <v>2.3715220932815773</v>
      </c>
      <c r="F7" s="447">
        <f>landbouw!F8</f>
        <v>262.10092008509395</v>
      </c>
      <c r="G7" s="447">
        <f>landbouw!G8</f>
        <v>0</v>
      </c>
      <c r="H7" s="447">
        <f>landbouw!H8</f>
        <v>0</v>
      </c>
      <c r="I7" s="447">
        <f>landbouw!I8</f>
        <v>0</v>
      </c>
      <c r="J7" s="447">
        <f>landbouw!J8</f>
        <v>21.05335084017392</v>
      </c>
      <c r="K7" s="447">
        <f>landbouw!K8</f>
        <v>0</v>
      </c>
      <c r="L7" s="447">
        <f>landbouw!L8</f>
        <v>0</v>
      </c>
      <c r="M7" s="447">
        <f>landbouw!M8</f>
        <v>0</v>
      </c>
      <c r="N7" s="447">
        <f>landbouw!N8</f>
        <v>0</v>
      </c>
      <c r="O7" s="447">
        <f>landbouw!O8</f>
        <v>0</v>
      </c>
      <c r="P7" s="448">
        <f>landbouw!P8</f>
        <v>0</v>
      </c>
      <c r="Q7" s="446">
        <f t="shared" si="0"/>
        <v>392.76032985059908</v>
      </c>
    </row>
    <row r="8" spans="1:17">
      <c r="A8" s="446" t="s">
        <v>611</v>
      </c>
      <c r="B8" s="447">
        <f>industrie!B18</f>
        <v>366.76809506934069</v>
      </c>
      <c r="C8" s="447">
        <f>industrie!C18</f>
        <v>0</v>
      </c>
      <c r="D8" s="447">
        <f>industrie!D18</f>
        <v>857.16877131112483</v>
      </c>
      <c r="E8" s="447">
        <f>industrie!E18</f>
        <v>11.771545800897623</v>
      </c>
      <c r="F8" s="447">
        <f>industrie!F18</f>
        <v>110.70345699482186</v>
      </c>
      <c r="G8" s="447">
        <f>industrie!G18</f>
        <v>0</v>
      </c>
      <c r="H8" s="447">
        <f>industrie!H18</f>
        <v>0</v>
      </c>
      <c r="I8" s="447">
        <f>industrie!I18</f>
        <v>0</v>
      </c>
      <c r="J8" s="447">
        <f>industrie!J18</f>
        <v>1.038709601567724</v>
      </c>
      <c r="K8" s="447">
        <f>industrie!K18</f>
        <v>0</v>
      </c>
      <c r="L8" s="447">
        <f>industrie!L18</f>
        <v>0</v>
      </c>
      <c r="M8" s="447">
        <f>industrie!M18</f>
        <v>0</v>
      </c>
      <c r="N8" s="447">
        <f>industrie!N18</f>
        <v>13.10212035269976</v>
      </c>
      <c r="O8" s="447">
        <f>industrie!O18</f>
        <v>0</v>
      </c>
      <c r="P8" s="448">
        <f>industrie!P18</f>
        <v>0</v>
      </c>
      <c r="Q8" s="446">
        <f t="shared" si="0"/>
        <v>1360.5526991304525</v>
      </c>
    </row>
    <row r="9" spans="1:17" s="452" customFormat="1">
      <c r="A9" s="450" t="s">
        <v>537</v>
      </c>
      <c r="B9" s="451">
        <f>transport!B14</f>
        <v>39.450743037435267</v>
      </c>
      <c r="C9" s="451">
        <f>transport!C14</f>
        <v>0</v>
      </c>
      <c r="D9" s="451">
        <f>transport!D14</f>
        <v>90.01994848065533</v>
      </c>
      <c r="E9" s="451">
        <f>transport!E14</f>
        <v>34.172035895442058</v>
      </c>
      <c r="F9" s="451">
        <f>transport!F14</f>
        <v>0</v>
      </c>
      <c r="G9" s="451">
        <f>transport!G14</f>
        <v>10837.13772739514</v>
      </c>
      <c r="H9" s="451">
        <f>transport!H14</f>
        <v>4373.524369202114</v>
      </c>
      <c r="I9" s="451">
        <f>transport!I14</f>
        <v>0</v>
      </c>
      <c r="J9" s="451">
        <f>transport!J14</f>
        <v>0</v>
      </c>
      <c r="K9" s="451">
        <f>transport!K14</f>
        <v>0</v>
      </c>
      <c r="L9" s="451">
        <f>transport!L14</f>
        <v>0</v>
      </c>
      <c r="M9" s="451">
        <f>transport!M14</f>
        <v>932.29726157168909</v>
      </c>
      <c r="N9" s="451">
        <f>transport!N14</f>
        <v>0</v>
      </c>
      <c r="O9" s="451">
        <f>transport!O14</f>
        <v>0</v>
      </c>
      <c r="P9" s="451">
        <f>transport!P14</f>
        <v>0</v>
      </c>
      <c r="Q9" s="450">
        <f>SUM(B9:P9)</f>
        <v>16306.602085582477</v>
      </c>
    </row>
    <row r="10" spans="1:17">
      <c r="A10" s="446" t="s">
        <v>527</v>
      </c>
      <c r="B10" s="447">
        <f>transport!B54</f>
        <v>3.8094902621255957</v>
      </c>
      <c r="C10" s="447">
        <f>transport!C54</f>
        <v>0</v>
      </c>
      <c r="D10" s="447">
        <f>transport!D54</f>
        <v>0</v>
      </c>
      <c r="E10" s="447">
        <f>transport!E54</f>
        <v>0</v>
      </c>
      <c r="F10" s="447">
        <f>transport!F54</f>
        <v>0</v>
      </c>
      <c r="G10" s="447">
        <f>transport!G54</f>
        <v>238.48560730472576</v>
      </c>
      <c r="H10" s="447">
        <f>transport!H54</f>
        <v>0</v>
      </c>
      <c r="I10" s="447">
        <f>transport!I54</f>
        <v>0</v>
      </c>
      <c r="J10" s="447">
        <f>transport!J54</f>
        <v>0</v>
      </c>
      <c r="K10" s="447">
        <f>transport!K54</f>
        <v>0</v>
      </c>
      <c r="L10" s="447">
        <f>transport!L54</f>
        <v>0</v>
      </c>
      <c r="M10" s="447">
        <f>transport!M54</f>
        <v>13.693315508772983</v>
      </c>
      <c r="N10" s="447">
        <f>transport!N54</f>
        <v>0</v>
      </c>
      <c r="O10" s="447">
        <f>transport!O54</f>
        <v>0</v>
      </c>
      <c r="P10" s="448">
        <f>transport!P54</f>
        <v>0</v>
      </c>
      <c r="Q10" s="446">
        <f t="shared" si="0"/>
        <v>255.98841307562435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252.284425158582</v>
      </c>
      <c r="C14" s="454"/>
      <c r="D14" s="454">
        <f>'SEAP template'!E25</f>
        <v>1730.5744778711201</v>
      </c>
      <c r="E14" s="454"/>
      <c r="F14" s="454"/>
      <c r="G14" s="454"/>
      <c r="H14" s="454"/>
      <c r="I14" s="454"/>
      <c r="J14" s="454"/>
      <c r="K14" s="454"/>
      <c r="L14" s="454"/>
      <c r="M14" s="454"/>
      <c r="N14" s="454"/>
      <c r="O14" s="454"/>
      <c r="P14" s="455"/>
      <c r="Q14" s="446">
        <f t="shared" si="0"/>
        <v>1982.8589030297021</v>
      </c>
    </row>
    <row r="15" spans="1:17" s="458" customFormat="1">
      <c r="A15" s="456" t="s">
        <v>531</v>
      </c>
      <c r="B15" s="457">
        <f ca="1">SUM(B4:B14)</f>
        <v>15002.199034194609</v>
      </c>
      <c r="C15" s="457">
        <f t="shared" ref="C15:Q15" ca="1" si="1">SUM(C4:C14)</f>
        <v>0</v>
      </c>
      <c r="D15" s="457">
        <f t="shared" ca="1" si="1"/>
        <v>36935.172913954535</v>
      </c>
      <c r="E15" s="457">
        <f t="shared" si="1"/>
        <v>343.92570062457014</v>
      </c>
      <c r="F15" s="457">
        <f t="shared" ca="1" si="1"/>
        <v>7568.5995529897036</v>
      </c>
      <c r="G15" s="457">
        <f t="shared" si="1"/>
        <v>11075.623334699865</v>
      </c>
      <c r="H15" s="457">
        <f t="shared" si="1"/>
        <v>4373.524369202114</v>
      </c>
      <c r="I15" s="457">
        <f t="shared" si="1"/>
        <v>0</v>
      </c>
      <c r="J15" s="457">
        <f t="shared" si="1"/>
        <v>57.236280432716349</v>
      </c>
      <c r="K15" s="457">
        <f t="shared" si="1"/>
        <v>0</v>
      </c>
      <c r="L15" s="457">
        <f t="shared" ca="1" si="1"/>
        <v>0</v>
      </c>
      <c r="M15" s="457">
        <f t="shared" si="1"/>
        <v>945.99057708046212</v>
      </c>
      <c r="N15" s="457">
        <f t="shared" ca="1" si="1"/>
        <v>2659.5008135550902</v>
      </c>
      <c r="O15" s="457">
        <f t="shared" si="1"/>
        <v>40.608508714807726</v>
      </c>
      <c r="P15" s="457">
        <f t="shared" si="1"/>
        <v>73.737715153795165</v>
      </c>
      <c r="Q15" s="457">
        <f t="shared" ca="1" si="1"/>
        <v>79076.118800602257</v>
      </c>
    </row>
    <row r="17" spans="1:17">
      <c r="A17" s="459" t="s">
        <v>532</v>
      </c>
      <c r="B17" s="776">
        <f ca="1">huishoudens!B10</f>
        <v>0.2145988014686096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1453.5158806239936</v>
      </c>
      <c r="C22" s="447">
        <f t="shared" ref="C22:C32" ca="1" si="3">C4*$C$17</f>
        <v>0</v>
      </c>
      <c r="D22" s="447">
        <f t="shared" ref="D22:D32" si="4">D4*$D$17</f>
        <v>5898.4378284929162</v>
      </c>
      <c r="E22" s="447">
        <f t="shared" ref="E22:E32" si="5">E4*$E$17</f>
        <v>63.890769401509452</v>
      </c>
      <c r="F22" s="447">
        <f t="shared" ref="F22:F32" si="6">F4*$F$17</f>
        <v>1646.2606794242611</v>
      </c>
      <c r="G22" s="447">
        <f t="shared" ref="G22:G32" si="7">G4*$G$17</f>
        <v>0</v>
      </c>
      <c r="H22" s="447">
        <f t="shared" ref="H22:H32" si="8">H4*$H$17</f>
        <v>0</v>
      </c>
      <c r="I22" s="447">
        <f t="shared" ref="I22:I32" si="9">I4*$I$17</f>
        <v>0</v>
      </c>
      <c r="J22" s="447">
        <f t="shared" ref="J22:J32" si="10">J4*$J$17</f>
        <v>12.439347427317507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9074.5445053699987</v>
      </c>
    </row>
    <row r="23" spans="1:17">
      <c r="A23" s="446" t="s">
        <v>149</v>
      </c>
      <c r="B23" s="447">
        <f t="shared" ca="1" si="2"/>
        <v>1542.3223656415801</v>
      </c>
      <c r="C23" s="447">
        <f t="shared" ca="1" si="3"/>
        <v>0</v>
      </c>
      <c r="D23" s="447">
        <f t="shared" ca="1" si="4"/>
        <v>1016.6230870199772</v>
      </c>
      <c r="E23" s="447">
        <f t="shared" si="5"/>
        <v>3.2128360800239597</v>
      </c>
      <c r="F23" s="447">
        <f t="shared" ca="1" si="6"/>
        <v>275.01663254365241</v>
      </c>
      <c r="G23" s="447">
        <f t="shared" si="7"/>
        <v>0</v>
      </c>
      <c r="H23" s="447">
        <f t="shared" si="8"/>
        <v>0</v>
      </c>
      <c r="I23" s="447">
        <f t="shared" si="9"/>
        <v>0</v>
      </c>
      <c r="J23" s="447">
        <f t="shared" si="10"/>
        <v>1.7064494875389797E-3</v>
      </c>
      <c r="K23" s="447">
        <f t="shared" si="11"/>
        <v>0</v>
      </c>
      <c r="L23" s="447">
        <f t="shared" ca="1" si="12"/>
        <v>0</v>
      </c>
      <c r="M23" s="447">
        <f t="shared" si="13"/>
        <v>0</v>
      </c>
      <c r="N23" s="447">
        <f t="shared" ca="1" si="14"/>
        <v>0</v>
      </c>
      <c r="O23" s="447">
        <f t="shared" si="15"/>
        <v>0</v>
      </c>
      <c r="P23" s="448">
        <f t="shared" si="16"/>
        <v>0</v>
      </c>
      <c r="Q23" s="446">
        <f t="shared" ref="Q23:Q31" ca="1" si="17">SUM(B23:P23)</f>
        <v>2837.1766277347215</v>
      </c>
    </row>
    <row r="24" spans="1:17">
      <c r="A24" s="446" t="s">
        <v>187</v>
      </c>
      <c r="B24" s="447">
        <f t="shared" ca="1" si="2"/>
        <v>63.71545715003753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63.71545715003753</v>
      </c>
    </row>
    <row r="25" spans="1:17">
      <c r="A25" s="446" t="s">
        <v>105</v>
      </c>
      <c r="B25" s="447">
        <f t="shared" ca="1" si="2"/>
        <v>17.768705611712011</v>
      </c>
      <c r="C25" s="447">
        <f t="shared" ca="1" si="3"/>
        <v>0</v>
      </c>
      <c r="D25" s="447">
        <f t="shared" si="4"/>
        <v>4.935847178015913</v>
      </c>
      <c r="E25" s="447">
        <f t="shared" si="5"/>
        <v>0.53833551517491807</v>
      </c>
      <c r="F25" s="447">
        <f t="shared" si="6"/>
        <v>69.980945662720089</v>
      </c>
      <c r="G25" s="447">
        <f t="shared" si="7"/>
        <v>0</v>
      </c>
      <c r="H25" s="447">
        <f t="shared" si="8"/>
        <v>0</v>
      </c>
      <c r="I25" s="447">
        <f t="shared" si="9"/>
        <v>0</v>
      </c>
      <c r="J25" s="447">
        <f t="shared" si="10"/>
        <v>7.4528861974215674</v>
      </c>
      <c r="K25" s="447">
        <f t="shared" si="11"/>
        <v>0</v>
      </c>
      <c r="L25" s="447">
        <f t="shared" si="12"/>
        <v>0</v>
      </c>
      <c r="M25" s="447">
        <f t="shared" si="13"/>
        <v>0</v>
      </c>
      <c r="N25" s="447">
        <f t="shared" si="14"/>
        <v>0</v>
      </c>
      <c r="O25" s="447">
        <f t="shared" si="15"/>
        <v>0</v>
      </c>
      <c r="P25" s="448">
        <f t="shared" si="16"/>
        <v>0</v>
      </c>
      <c r="Q25" s="446">
        <f t="shared" ca="1" si="17"/>
        <v>100.6767201650445</v>
      </c>
    </row>
    <row r="26" spans="1:17">
      <c r="A26" s="446" t="s">
        <v>611</v>
      </c>
      <c r="B26" s="447">
        <f t="shared" ca="1" si="2"/>
        <v>78.707993618805574</v>
      </c>
      <c r="C26" s="447">
        <f t="shared" ca="1" si="3"/>
        <v>0</v>
      </c>
      <c r="D26" s="447">
        <f t="shared" si="4"/>
        <v>173.14809180484724</v>
      </c>
      <c r="E26" s="447">
        <f t="shared" si="5"/>
        <v>2.6721408968037608</v>
      </c>
      <c r="F26" s="447">
        <f t="shared" si="6"/>
        <v>29.557823017617441</v>
      </c>
      <c r="G26" s="447">
        <f t="shared" si="7"/>
        <v>0</v>
      </c>
      <c r="H26" s="447">
        <f t="shared" si="8"/>
        <v>0</v>
      </c>
      <c r="I26" s="447">
        <f t="shared" si="9"/>
        <v>0</v>
      </c>
      <c r="J26" s="447">
        <f t="shared" si="10"/>
        <v>0.36770319895497428</v>
      </c>
      <c r="K26" s="447">
        <f t="shared" si="11"/>
        <v>0</v>
      </c>
      <c r="L26" s="447">
        <f t="shared" si="12"/>
        <v>0</v>
      </c>
      <c r="M26" s="447">
        <f t="shared" si="13"/>
        <v>0</v>
      </c>
      <c r="N26" s="447">
        <f t="shared" si="14"/>
        <v>0</v>
      </c>
      <c r="O26" s="447">
        <f t="shared" si="15"/>
        <v>0</v>
      </c>
      <c r="P26" s="448">
        <f t="shared" si="16"/>
        <v>0</v>
      </c>
      <c r="Q26" s="446">
        <f t="shared" ca="1" si="17"/>
        <v>284.453752537029</v>
      </c>
    </row>
    <row r="27" spans="1:17" s="452" customFormat="1">
      <c r="A27" s="450" t="s">
        <v>537</v>
      </c>
      <c r="B27" s="770">
        <f t="shared" ca="1" si="2"/>
        <v>8.4660821728797035</v>
      </c>
      <c r="C27" s="451">
        <f t="shared" ca="1" si="3"/>
        <v>0</v>
      </c>
      <c r="D27" s="451">
        <f t="shared" si="4"/>
        <v>18.184029593092379</v>
      </c>
      <c r="E27" s="451">
        <f t="shared" si="5"/>
        <v>7.7570521482653474</v>
      </c>
      <c r="F27" s="451">
        <f t="shared" si="6"/>
        <v>0</v>
      </c>
      <c r="G27" s="451">
        <f t="shared" si="7"/>
        <v>2893.5157732145026</v>
      </c>
      <c r="H27" s="451">
        <f t="shared" si="8"/>
        <v>1089.0075679313263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4016.9305050600665</v>
      </c>
    </row>
    <row r="28" spans="1:17" ht="16.5" customHeight="1">
      <c r="A28" s="446" t="s">
        <v>527</v>
      </c>
      <c r="B28" s="447">
        <f t="shared" ca="1" si="2"/>
        <v>0.81751204445849224</v>
      </c>
      <c r="C28" s="447">
        <f t="shared" ca="1" si="3"/>
        <v>0</v>
      </c>
      <c r="D28" s="447">
        <f t="shared" si="4"/>
        <v>0</v>
      </c>
      <c r="E28" s="447">
        <f t="shared" si="5"/>
        <v>0</v>
      </c>
      <c r="F28" s="447">
        <f t="shared" si="6"/>
        <v>0</v>
      </c>
      <c r="G28" s="447">
        <f t="shared" si="7"/>
        <v>63.675657150361779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64.493169194820268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54.139935268228832</v>
      </c>
      <c r="C32" s="447">
        <f t="shared" ca="1" si="3"/>
        <v>0</v>
      </c>
      <c r="D32" s="447">
        <f t="shared" si="4"/>
        <v>349.57604452996628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403.71597979819512</v>
      </c>
    </row>
    <row r="33" spans="1:17" s="458" customFormat="1">
      <c r="A33" s="456" t="s">
        <v>531</v>
      </c>
      <c r="B33" s="457">
        <f ca="1">SUM(B22:B32)</f>
        <v>3219.4539321316956</v>
      </c>
      <c r="C33" s="457">
        <f t="shared" ref="C33:Q33" ca="1" si="19">SUM(C22:C32)</f>
        <v>0</v>
      </c>
      <c r="D33" s="457">
        <f t="shared" ca="1" si="19"/>
        <v>7460.9049286188156</v>
      </c>
      <c r="E33" s="457">
        <f t="shared" si="19"/>
        <v>78.071134041777427</v>
      </c>
      <c r="F33" s="457">
        <f t="shared" ca="1" si="19"/>
        <v>2020.816080648251</v>
      </c>
      <c r="G33" s="457">
        <f t="shared" si="19"/>
        <v>2957.1914303648646</v>
      </c>
      <c r="H33" s="457">
        <f t="shared" si="19"/>
        <v>1089.0075679313263</v>
      </c>
      <c r="I33" s="457">
        <f t="shared" si="19"/>
        <v>0</v>
      </c>
      <c r="J33" s="457">
        <f t="shared" si="19"/>
        <v>20.261643273181587</v>
      </c>
      <c r="K33" s="457">
        <f t="shared" si="19"/>
        <v>0</v>
      </c>
      <c r="L33" s="457">
        <f t="shared" ca="1" si="19"/>
        <v>0</v>
      </c>
      <c r="M33" s="457">
        <f t="shared" si="19"/>
        <v>0</v>
      </c>
      <c r="N33" s="457">
        <f t="shared" ca="1" si="19"/>
        <v>0</v>
      </c>
      <c r="O33" s="457">
        <f t="shared" si="19"/>
        <v>0</v>
      </c>
      <c r="P33" s="457">
        <f t="shared" si="19"/>
        <v>0</v>
      </c>
      <c r="Q33" s="457">
        <f t="shared" ca="1" si="19"/>
        <v>16845.706717009911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434.53418291996815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434.53418291996815</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0.2145988014686096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0.2145988014686096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0.2145988014686096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0.2145988014686096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1959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147.85</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16</v>
      </c>
      <c r="C17" s="326"/>
      <c r="D17" s="326"/>
      <c r="E17" s="326"/>
      <c r="F17" s="326"/>
    </row>
    <row r="18" spans="1:6">
      <c r="A18" s="1310" t="s">
        <v>8</v>
      </c>
      <c r="B18" s="1311">
        <v>19</v>
      </c>
      <c r="C18" s="326"/>
      <c r="D18" s="326"/>
      <c r="E18" s="326"/>
      <c r="F18" s="326"/>
    </row>
    <row r="19" spans="1:6">
      <c r="A19" s="1310" t="s">
        <v>9</v>
      </c>
      <c r="B19" s="1311">
        <v>6</v>
      </c>
      <c r="C19" s="326"/>
      <c r="D19" s="326"/>
      <c r="E19" s="326"/>
      <c r="F19" s="326"/>
    </row>
    <row r="20" spans="1:6">
      <c r="A20" s="1310" t="s">
        <v>10</v>
      </c>
      <c r="B20" s="1311">
        <v>14</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0</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1588</v>
      </c>
      <c r="D39" s="1311">
        <v>32336862.978700899</v>
      </c>
      <c r="E39" s="1311">
        <v>1918</v>
      </c>
      <c r="F39" s="1311">
        <v>6554146.5067032799</v>
      </c>
    </row>
    <row r="40" spans="1:6">
      <c r="A40" s="1310" t="s">
        <v>29</v>
      </c>
      <c r="B40" s="1310" t="s">
        <v>28</v>
      </c>
      <c r="C40" s="1311">
        <v>0</v>
      </c>
      <c r="D40" s="1311">
        <v>0</v>
      </c>
      <c r="E40" s="1311">
        <v>0</v>
      </c>
      <c r="F40" s="1311">
        <v>0</v>
      </c>
    </row>
    <row r="41" spans="1:6">
      <c r="A41" s="1310" t="s">
        <v>31</v>
      </c>
      <c r="B41" s="1310" t="s">
        <v>32</v>
      </c>
      <c r="C41" s="1311">
        <v>8</v>
      </c>
      <c r="D41" s="1311">
        <v>306355.25117151398</v>
      </c>
      <c r="E41" s="1311">
        <v>20</v>
      </c>
      <c r="F41" s="1311">
        <v>124537.001661178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510007.91639027529</v>
      </c>
      <c r="E48" s="1311">
        <v>5</v>
      </c>
      <c r="F48" s="1311">
        <v>191307.89111924579</v>
      </c>
    </row>
    <row r="49" spans="1:6">
      <c r="A49" s="1310" t="s">
        <v>31</v>
      </c>
      <c r="B49" s="1310" t="s">
        <v>39</v>
      </c>
      <c r="C49" s="1311">
        <v>0</v>
      </c>
      <c r="D49" s="1311">
        <v>0</v>
      </c>
      <c r="E49" s="1311">
        <v>0</v>
      </c>
      <c r="F49" s="1311">
        <v>0</v>
      </c>
    </row>
    <row r="50" spans="1:6">
      <c r="A50" s="1310" t="s">
        <v>31</v>
      </c>
      <c r="B50" s="1310" t="s">
        <v>40</v>
      </c>
      <c r="C50" s="1311">
        <v>3</v>
      </c>
      <c r="D50" s="1311">
        <v>132882.42635972201</v>
      </c>
      <c r="E50" s="1311">
        <v>3</v>
      </c>
      <c r="F50" s="1311">
        <v>50923.202288916902</v>
      </c>
    </row>
    <row r="51" spans="1:6">
      <c r="A51" s="1310" t="s">
        <v>41</v>
      </c>
      <c r="B51" s="1310" t="s">
        <v>42</v>
      </c>
      <c r="C51" s="1311">
        <v>0</v>
      </c>
      <c r="D51" s="1311">
        <v>0</v>
      </c>
      <c r="E51" s="1311">
        <v>4</v>
      </c>
      <c r="F51" s="1311">
        <v>82799.649812168806</v>
      </c>
    </row>
    <row r="52" spans="1:6">
      <c r="A52" s="1310" t="s">
        <v>41</v>
      </c>
      <c r="B52" s="1310" t="s">
        <v>28</v>
      </c>
      <c r="C52" s="1311">
        <v>1</v>
      </c>
      <c r="D52" s="1311">
        <v>27059.675548040701</v>
      </c>
      <c r="E52" s="1311">
        <v>0</v>
      </c>
      <c r="F52" s="1311">
        <v>0</v>
      </c>
    </row>
    <row r="53" spans="1:6">
      <c r="A53" s="1310" t="s">
        <v>43</v>
      </c>
      <c r="B53" s="1310" t="s">
        <v>44</v>
      </c>
      <c r="C53" s="1311">
        <v>40</v>
      </c>
      <c r="D53" s="1311">
        <v>1730574.47787112</v>
      </c>
      <c r="E53" s="1311">
        <v>64</v>
      </c>
      <c r="F53" s="1311">
        <v>252284.42515858199</v>
      </c>
    </row>
    <row r="54" spans="1:6">
      <c r="A54" s="1310" t="s">
        <v>45</v>
      </c>
      <c r="B54" s="1310" t="s">
        <v>46</v>
      </c>
      <c r="C54" s="1311">
        <v>0</v>
      </c>
      <c r="D54" s="1311">
        <v>0</v>
      </c>
      <c r="E54" s="1311">
        <v>1</v>
      </c>
      <c r="F54" s="1311">
        <v>296905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1378710.6592415399</v>
      </c>
      <c r="E57" s="1311">
        <v>37</v>
      </c>
      <c r="F57" s="1311">
        <v>476168.62433356798</v>
      </c>
    </row>
    <row r="58" spans="1:6">
      <c r="A58" s="1310" t="s">
        <v>48</v>
      </c>
      <c r="B58" s="1310" t="s">
        <v>50</v>
      </c>
      <c r="C58" s="1311">
        <v>14</v>
      </c>
      <c r="D58" s="1311">
        <v>760698.03520529298</v>
      </c>
      <c r="E58" s="1311">
        <v>16</v>
      </c>
      <c r="F58" s="1311">
        <v>188918.39192799601</v>
      </c>
    </row>
    <row r="59" spans="1:6">
      <c r="A59" s="1310" t="s">
        <v>48</v>
      </c>
      <c r="B59" s="1310" t="s">
        <v>51</v>
      </c>
      <c r="C59" s="1311">
        <v>28</v>
      </c>
      <c r="D59" s="1311">
        <v>789050.23348101799</v>
      </c>
      <c r="E59" s="1311">
        <v>43</v>
      </c>
      <c r="F59" s="1311">
        <v>834089.70591344405</v>
      </c>
    </row>
    <row r="60" spans="1:6">
      <c r="A60" s="1310" t="s">
        <v>48</v>
      </c>
      <c r="B60" s="1310" t="s">
        <v>52</v>
      </c>
      <c r="C60" s="1311">
        <v>15</v>
      </c>
      <c r="D60" s="1311">
        <v>582730.51944395702</v>
      </c>
      <c r="E60" s="1311">
        <v>17</v>
      </c>
      <c r="F60" s="1311">
        <v>220191.96902279899</v>
      </c>
    </row>
    <row r="61" spans="1:6">
      <c r="A61" s="1310" t="s">
        <v>48</v>
      </c>
      <c r="B61" s="1310" t="s">
        <v>53</v>
      </c>
      <c r="C61" s="1311">
        <v>72</v>
      </c>
      <c r="D61" s="1311">
        <v>2051061.1375829901</v>
      </c>
      <c r="E61" s="1311">
        <v>108</v>
      </c>
      <c r="F61" s="1311">
        <v>5465486.8560331501</v>
      </c>
    </row>
    <row r="62" spans="1:6">
      <c r="A62" s="1310" t="s">
        <v>48</v>
      </c>
      <c r="B62" s="1310" t="s">
        <v>54</v>
      </c>
      <c r="C62" s="1311">
        <v>0</v>
      </c>
      <c r="D62" s="1311">
        <v>0</v>
      </c>
      <c r="E62" s="1311">
        <v>0</v>
      </c>
      <c r="F62" s="1311">
        <v>0</v>
      </c>
    </row>
    <row r="63" spans="1:6">
      <c r="A63" s="1310" t="s">
        <v>48</v>
      </c>
      <c r="B63" s="1310" t="s">
        <v>28</v>
      </c>
      <c r="C63" s="1311">
        <v>1</v>
      </c>
      <c r="D63" s="1311">
        <v>11157.5651059301</v>
      </c>
      <c r="E63" s="1311">
        <v>1</v>
      </c>
      <c r="F63" s="1311">
        <v>2148.0850665101998</v>
      </c>
    </row>
    <row r="64" spans="1:6">
      <c r="A64" s="1310" t="s">
        <v>55</v>
      </c>
      <c r="B64" s="1310" t="s">
        <v>56</v>
      </c>
      <c r="C64" s="1311">
        <v>0</v>
      </c>
      <c r="D64" s="1311">
        <v>0</v>
      </c>
      <c r="E64" s="1311">
        <v>0</v>
      </c>
      <c r="F64" s="1311">
        <v>0</v>
      </c>
    </row>
    <row r="65" spans="1:6">
      <c r="A65" s="1310" t="s">
        <v>55</v>
      </c>
      <c r="B65" s="1310" t="s">
        <v>28</v>
      </c>
      <c r="C65" s="1311">
        <v>2</v>
      </c>
      <c r="D65" s="1311">
        <v>102161.37152130739</v>
      </c>
      <c r="E65" s="1311">
        <v>1</v>
      </c>
      <c r="F65" s="1311">
        <v>3670.5061064269998</v>
      </c>
    </row>
    <row r="66" spans="1:6">
      <c r="A66" s="1310" t="s">
        <v>55</v>
      </c>
      <c r="B66" s="1310" t="s">
        <v>57</v>
      </c>
      <c r="C66" s="1311">
        <v>0</v>
      </c>
      <c r="D66" s="1311">
        <v>0</v>
      </c>
      <c r="E66" s="1311">
        <v>3</v>
      </c>
      <c r="F66" s="1311">
        <v>87070.662107350407</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0</v>
      </c>
      <c r="E73" s="445"/>
      <c r="F73" s="326"/>
    </row>
    <row r="74" spans="1:6">
      <c r="A74" s="1310" t="s">
        <v>63</v>
      </c>
      <c r="B74" s="1310" t="s">
        <v>632</v>
      </c>
      <c r="C74" s="1323" t="s">
        <v>634</v>
      </c>
      <c r="D74" s="1311">
        <v>0</v>
      </c>
      <c r="E74" s="445"/>
      <c r="F74" s="326"/>
    </row>
    <row r="75" spans="1:6">
      <c r="A75" s="1310" t="s">
        <v>64</v>
      </c>
      <c r="B75" s="1310" t="s">
        <v>631</v>
      </c>
      <c r="C75" s="1323" t="s">
        <v>635</v>
      </c>
      <c r="D75" s="1311">
        <v>16219757</v>
      </c>
      <c r="E75" s="445"/>
      <c r="F75" s="326"/>
    </row>
    <row r="76" spans="1:6">
      <c r="A76" s="1310" t="s">
        <v>64</v>
      </c>
      <c r="B76" s="1310" t="s">
        <v>632</v>
      </c>
      <c r="C76" s="1323" t="s">
        <v>636</v>
      </c>
      <c r="D76" s="1311">
        <v>414572.35463508812</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71055.290729823697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219.03149185421179</v>
      </c>
      <c r="C91" s="326"/>
      <c r="D91" s="326"/>
      <c r="E91" s="326"/>
      <c r="F91" s="326"/>
    </row>
    <row r="92" spans="1:6">
      <c r="A92" s="1305" t="s">
        <v>68</v>
      </c>
      <c r="B92" s="1306">
        <v>215.50269106575635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1194</v>
      </c>
      <c r="C97" s="326"/>
      <c r="D97" s="326"/>
      <c r="E97" s="326"/>
      <c r="F97" s="326"/>
    </row>
    <row r="98" spans="1:6">
      <c r="A98" s="1310" t="s">
        <v>71</v>
      </c>
      <c r="B98" s="1311">
        <v>0</v>
      </c>
      <c r="C98" s="326"/>
      <c r="D98" s="326"/>
      <c r="E98" s="326"/>
      <c r="F98" s="326"/>
    </row>
    <row r="99" spans="1:6">
      <c r="A99" s="1310" t="s">
        <v>72</v>
      </c>
      <c r="B99" s="1311">
        <v>9</v>
      </c>
      <c r="C99" s="326"/>
      <c r="D99" s="326"/>
      <c r="E99" s="326"/>
      <c r="F99" s="326"/>
    </row>
    <row r="100" spans="1:6">
      <c r="A100" s="1310" t="s">
        <v>73</v>
      </c>
      <c r="B100" s="1311">
        <v>91</v>
      </c>
      <c r="C100" s="326"/>
      <c r="D100" s="326"/>
      <c r="E100" s="326"/>
      <c r="F100" s="326"/>
    </row>
    <row r="101" spans="1:6">
      <c r="A101" s="1310" t="s">
        <v>74</v>
      </c>
      <c r="B101" s="1311">
        <v>14</v>
      </c>
      <c r="C101" s="326"/>
      <c r="D101" s="326"/>
      <c r="E101" s="326"/>
      <c r="F101" s="326"/>
    </row>
    <row r="102" spans="1:6">
      <c r="A102" s="1310" t="s">
        <v>75</v>
      </c>
      <c r="B102" s="1311">
        <v>42</v>
      </c>
      <c r="C102" s="326"/>
      <c r="D102" s="326"/>
      <c r="E102" s="326"/>
      <c r="F102" s="326"/>
    </row>
    <row r="103" spans="1:6">
      <c r="A103" s="1310" t="s">
        <v>76</v>
      </c>
      <c r="B103" s="1311">
        <v>15</v>
      </c>
      <c r="C103" s="326"/>
      <c r="D103" s="326"/>
      <c r="E103" s="326"/>
      <c r="F103" s="326"/>
    </row>
    <row r="104" spans="1:6">
      <c r="A104" s="1310" t="s">
        <v>77</v>
      </c>
      <c r="B104" s="1311">
        <v>480</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v>
      </c>
      <c r="C123" s="1311">
        <v>1</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15002.199034194611</v>
      </c>
      <c r="C3" s="43" t="s">
        <v>163</v>
      </c>
      <c r="D3" s="43"/>
      <c r="E3" s="154"/>
      <c r="F3" s="43"/>
      <c r="G3" s="43"/>
      <c r="H3" s="43"/>
      <c r="I3" s="43"/>
      <c r="J3" s="43"/>
      <c r="K3" s="96"/>
    </row>
    <row r="4" spans="1:11">
      <c r="A4" s="352" t="s">
        <v>164</v>
      </c>
      <c r="B4" s="49">
        <f>IF(ISERROR('SEAP template'!B78+'SEAP template'!C78),0,'SEAP template'!B78+'SEAP template'!C78)</f>
        <v>434.53418291996815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0.2145988014686096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296.90499999999997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296.90499999999997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0.2145988014686096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63.71545715003753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6554.1465067032796</v>
      </c>
      <c r="C5" s="17">
        <f>IF(ISERROR('Eigen informatie GS &amp; warmtenet'!B59),0,'Eigen informatie GS &amp; warmtenet'!B59)</f>
        <v>0</v>
      </c>
      <c r="D5" s="30">
        <f>(SUM(HH_hh_gas_kWh,HH_rest_gas_kWh)/1000)*0.903</f>
        <v>29200.18726976691</v>
      </c>
      <c r="E5" s="17">
        <f>B32*B41</f>
        <v>281.45713392735439</v>
      </c>
      <c r="F5" s="17">
        <f>B36*B45</f>
        <v>6165.7703349223257</v>
      </c>
      <c r="G5" s="18"/>
      <c r="H5" s="17"/>
      <c r="I5" s="17"/>
      <c r="J5" s="17">
        <f>B35*B44+C35*C44</f>
        <v>35.139399512196348</v>
      </c>
      <c r="K5" s="17"/>
      <c r="L5" s="17"/>
      <c r="M5" s="17"/>
      <c r="N5" s="17">
        <f>B34*B43+C34*C43</f>
        <v>2455.0617381818165</v>
      </c>
      <c r="O5" s="17">
        <f>B52*B53*B54</f>
        <v>35.711247948966573</v>
      </c>
      <c r="P5" s="17">
        <f>B60*B61*B62/1000-B60*B61*B62/1000/B63</f>
        <v>73.737715153795165</v>
      </c>
    </row>
    <row r="6" spans="1:16">
      <c r="A6" s="16" t="s">
        <v>597</v>
      </c>
      <c r="B6" s="778">
        <f>kWh_PV_kleiner_dan_10kW</f>
        <v>219.03149185421179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6773.1779985574913</v>
      </c>
      <c r="C8" s="21">
        <f>C5</f>
        <v>0</v>
      </c>
      <c r="D8" s="21">
        <f>D5</f>
        <v>29200.18726976691</v>
      </c>
      <c r="E8" s="21">
        <f>E5</f>
        <v>281.45713392735439</v>
      </c>
      <c r="F8" s="21">
        <f>F5</f>
        <v>6165.7703349223257</v>
      </c>
      <c r="G8" s="21"/>
      <c r="H8" s="21"/>
      <c r="I8" s="21"/>
      <c r="J8" s="21">
        <f>J5</f>
        <v>35.139399512196348</v>
      </c>
      <c r="K8" s="21"/>
      <c r="L8" s="21">
        <f>L5</f>
        <v>0</v>
      </c>
      <c r="M8" s="21">
        <f>M5</f>
        <v>0</v>
      </c>
      <c r="N8" s="21">
        <f>N5</f>
        <v>2455.0617381818165</v>
      </c>
      <c r="O8" s="21">
        <f>O5</f>
        <v>35.711247948966573</v>
      </c>
      <c r="P8" s="21">
        <f>P5</f>
        <v>73.737715153795165</v>
      </c>
    </row>
    <row r="9" spans="1:16">
      <c r="B9" s="19"/>
      <c r="C9" s="19"/>
      <c r="D9" s="254"/>
      <c r="E9" s="19"/>
      <c r="F9" s="19"/>
      <c r="G9" s="19"/>
      <c r="H9" s="19"/>
      <c r="I9" s="19"/>
      <c r="J9" s="19"/>
      <c r="K9" s="19"/>
      <c r="L9" s="19"/>
      <c r="M9" s="19"/>
      <c r="N9" s="19"/>
      <c r="O9" s="19"/>
      <c r="P9" s="19"/>
    </row>
    <row r="10" spans="1:16">
      <c r="A10" s="24" t="s">
        <v>207</v>
      </c>
      <c r="B10" s="25">
        <f ca="1">'EF ele_warmte'!B12</f>
        <v>0.2145988014686096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1453.5158806239936</v>
      </c>
      <c r="C12" s="23">
        <f ca="1">C10*C8</f>
        <v>0</v>
      </c>
      <c r="D12" s="23">
        <f>D8*D10</f>
        <v>5898.4378284929162</v>
      </c>
      <c r="E12" s="23">
        <f>E10*E8</f>
        <v>63.890769401509452</v>
      </c>
      <c r="F12" s="23">
        <f>F10*F8</f>
        <v>1646.2606794242611</v>
      </c>
      <c r="G12" s="23"/>
      <c r="H12" s="23"/>
      <c r="I12" s="23"/>
      <c r="J12" s="23">
        <f>J10*J8</f>
        <v>12.439347427317507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1959</v>
      </c>
      <c r="C26" s="36"/>
      <c r="D26" s="225"/>
    </row>
    <row r="27" spans="1:5" s="15" customFormat="1">
      <c r="A27" s="227" t="s">
        <v>860</v>
      </c>
      <c r="B27" s="37">
        <f>SUM(HH_hh_gas_aantal,HH_rest_gas_aantal)</f>
        <v>1588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1508.6</v>
      </c>
      <c r="C31" s="34" t="s">
        <v>104</v>
      </c>
      <c r="D31" s="171"/>
    </row>
    <row r="32" spans="1:5">
      <c r="A32" s="168" t="s">
        <v>72</v>
      </c>
      <c r="B32" s="33">
        <f>IF((B21*($B$26-($B$27-0.05*$B$27)-$B$60))&lt;0,0,(B21*($B$26-($B$27-0.05*$B$27)-$B$60)))</f>
        <v>7.0390631008906466</v>
      </c>
      <c r="C32" s="34" t="s">
        <v>104</v>
      </c>
      <c r="D32" s="171"/>
    </row>
    <row r="33" spans="1:6">
      <c r="A33" s="168" t="s">
        <v>73</v>
      </c>
      <c r="B33" s="33">
        <f>IF((B22*($B$26-($B$27-0.05*$B$27)-$B$60))&lt;0,0,B22*($B$26-($B$27-0.05*$B$27)-$B$60))</f>
        <v>114.30044374097774</v>
      </c>
      <c r="C33" s="34" t="s">
        <v>104</v>
      </c>
      <c r="D33" s="171"/>
    </row>
    <row r="34" spans="1:6">
      <c r="A34" s="168" t="s">
        <v>74</v>
      </c>
      <c r="B34" s="33">
        <f>IF((B24*($B$26-($B$27-0.05*$B$27)-$B$60))&lt;0,0,B24*($B$26-($B$27-0.05*$B$27)-$B$60))</f>
        <v>21.912924686729941</v>
      </c>
      <c r="C34" s="33">
        <f>B26*C24</f>
        <v>401.41073608102005</v>
      </c>
      <c r="D34" s="230"/>
    </row>
    <row r="35" spans="1:6">
      <c r="A35" s="168" t="s">
        <v>76</v>
      </c>
      <c r="B35" s="33">
        <f>IF((B19*($B$26-($B$27-0.05*$B$27)-$B$60))&lt;0,0,B19*($B$26-($B$27-0.05*$B$27)-$B$60))</f>
        <v>3.0598639483713961</v>
      </c>
      <c r="C35" s="33">
        <f>B35/2</f>
        <v>1.529931974185698</v>
      </c>
      <c r="D35" s="230"/>
    </row>
    <row r="36" spans="1:6">
      <c r="A36" s="168" t="s">
        <v>77</v>
      </c>
      <c r="B36" s="33">
        <f>IF((B18*($B$26-($B$27-0.05*$B$27)-$B$60))&lt;0,0,B18*($B$26-($B$27-0.05*$B$27)-$B$60))</f>
        <v>297.08770452303031</v>
      </c>
      <c r="C36" s="34" t="s">
        <v>104</v>
      </c>
      <c r="D36" s="171"/>
    </row>
    <row r="37" spans="1:6">
      <c r="A37" s="168" t="s">
        <v>78</v>
      </c>
      <c r="B37" s="33">
        <f>B60</f>
        <v>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7187.0036322974665</v>
      </c>
      <c r="C5" s="17">
        <f>IF(ISERROR('Eigen informatie GS &amp; warmtenet'!B60),0,'Eigen informatie GS &amp; warmtenet'!B60)</f>
        <v>0</v>
      </c>
      <c r="D5" s="30">
        <f>SUM(D6:D12)</f>
        <v>5032.7875595048372</v>
      </c>
      <c r="E5" s="17">
        <f>SUM(E6:E12)</f>
        <v>14.153462907594536</v>
      </c>
      <c r="F5" s="17">
        <f>SUM(F6:F12)</f>
        <v>1030.0248409874621</v>
      </c>
      <c r="G5" s="18"/>
      <c r="H5" s="17"/>
      <c r="I5" s="17"/>
      <c r="J5" s="17">
        <f>SUM(J6:J12)</f>
        <v>4.8204787783587E-3</v>
      </c>
      <c r="K5" s="17"/>
      <c r="L5" s="17"/>
      <c r="M5" s="17"/>
      <c r="N5" s="17">
        <f>SUM(N6:N12)</f>
        <v>191.33695502057398</v>
      </c>
      <c r="O5" s="17">
        <f>B38*B39*B40</f>
        <v>4.8972607658411542</v>
      </c>
      <c r="P5" s="17">
        <f>B46*B47*B48/1000-B46*B47*B48/1000/B49</f>
        <v>0</v>
      </c>
      <c r="R5" s="32"/>
    </row>
    <row r="6" spans="1:18">
      <c r="A6" s="32" t="s">
        <v>53</v>
      </c>
      <c r="B6" s="37">
        <f>B26</f>
        <v>5465.4868560331497</v>
      </c>
      <c r="C6" s="33"/>
      <c r="D6" s="37">
        <f>IF(ISERROR(TER_kantoor_gas_kWh/1000),0,TER_kantoor_gas_kWh/1000)*0.903</f>
        <v>1852.10820723744</v>
      </c>
      <c r="E6" s="33">
        <f>$C$26*'E Balans VL '!I12/100/3.6*1000000</f>
        <v>1.3022644243290573</v>
      </c>
      <c r="F6" s="33">
        <f>$C$26*('E Balans VL '!L12+'E Balans VL '!N12)/100/3.6*1000000</f>
        <v>474.73107416980264</v>
      </c>
      <c r="G6" s="34"/>
      <c r="H6" s="33"/>
      <c r="I6" s="33"/>
      <c r="J6" s="33">
        <f>$C$26*('E Balans VL '!D12+'E Balans VL '!E12)/100/3.6*1000000</f>
        <v>0</v>
      </c>
      <c r="K6" s="33"/>
      <c r="L6" s="33"/>
      <c r="M6" s="33"/>
      <c r="N6" s="33">
        <f>$C$26*'E Balans VL '!Y12/100/3.6*1000000</f>
        <v>7.3053878057873742</v>
      </c>
      <c r="O6" s="33"/>
      <c r="P6" s="33"/>
      <c r="R6" s="32"/>
    </row>
    <row r="7" spans="1:18">
      <c r="A7" s="32" t="s">
        <v>52</v>
      </c>
      <c r="B7" s="37">
        <f t="shared" ref="B7:B12" si="0">B27</f>
        <v>220.19196902279899</v>
      </c>
      <c r="C7" s="33"/>
      <c r="D7" s="37">
        <f>IF(ISERROR(TER_horeca_gas_kWh/1000),0,TER_horeca_gas_kWh/1000)*0.903</f>
        <v>526.20565905789329</v>
      </c>
      <c r="E7" s="33">
        <f>$C$27*'E Balans VL '!I9/100/3.6*1000000</f>
        <v>0</v>
      </c>
      <c r="F7" s="33">
        <f>$C$27*('E Balans VL '!L9+'E Balans VL '!N9)/100/3.6*1000000</f>
        <v>17.941660569949619</v>
      </c>
      <c r="G7" s="34"/>
      <c r="H7" s="33"/>
      <c r="I7" s="33"/>
      <c r="J7" s="33">
        <f>$C$27*('E Balans VL '!D9+'E Balans VL '!E9)/100/3.6*1000000</f>
        <v>0</v>
      </c>
      <c r="K7" s="33"/>
      <c r="L7" s="33"/>
      <c r="M7" s="33"/>
      <c r="N7" s="33">
        <f>$C$27*'E Balans VL '!Y9/100/3.6*1000000</f>
        <v>6.0989076028190703E-2</v>
      </c>
      <c r="O7" s="33"/>
      <c r="P7" s="33"/>
      <c r="R7" s="32"/>
    </row>
    <row r="8" spans="1:18">
      <c r="A8" s="6" t="s">
        <v>51</v>
      </c>
      <c r="B8" s="37">
        <f t="shared" si="0"/>
        <v>834.08970591344405</v>
      </c>
      <c r="C8" s="33"/>
      <c r="D8" s="37">
        <f>IF(ISERROR(TER_handel_gas_kWh/1000),0,TER_handel_gas_kWh/1000)*0.903</f>
        <v>712.51236083335937</v>
      </c>
      <c r="E8" s="33">
        <f>$C$28*'E Balans VL '!I13/100/3.6*1000000</f>
        <v>6.6673916497479642</v>
      </c>
      <c r="F8" s="33">
        <f>$C$28*('E Balans VL '!L13+'E Balans VL '!N13)/100/3.6*1000000</f>
        <v>82.861627278370591</v>
      </c>
      <c r="G8" s="34"/>
      <c r="H8" s="33"/>
      <c r="I8" s="33"/>
      <c r="J8" s="33">
        <f>$C$28*('E Balans VL '!D13+'E Balans VL '!E13)/100/3.6*1000000</f>
        <v>0</v>
      </c>
      <c r="K8" s="33"/>
      <c r="L8" s="33"/>
      <c r="M8" s="33"/>
      <c r="N8" s="33">
        <f>$C$28*'E Balans VL '!Y13/100/3.6*1000000</f>
        <v>0.31158215348273338</v>
      </c>
      <c r="O8" s="33"/>
      <c r="P8" s="33"/>
      <c r="R8" s="32"/>
    </row>
    <row r="9" spans="1:18">
      <c r="A9" s="32" t="s">
        <v>50</v>
      </c>
      <c r="B9" s="37">
        <f t="shared" si="0"/>
        <v>188.918391927996</v>
      </c>
      <c r="C9" s="33"/>
      <c r="D9" s="37">
        <f>IF(ISERROR(TER_gezond_gas_kWh/1000),0,TER_gezond_gas_kWh/1000)*0.903</f>
        <v>686.9103257903796</v>
      </c>
      <c r="E9" s="33">
        <f>$C$29*'E Balans VL '!I10/100/3.6*1000000</f>
        <v>0</v>
      </c>
      <c r="F9" s="33">
        <f>$C$29*('E Balans VL '!L10+'E Balans VL '!N10)/100/3.6*1000000</f>
        <v>17.222989981043984</v>
      </c>
      <c r="G9" s="34"/>
      <c r="H9" s="33"/>
      <c r="I9" s="33"/>
      <c r="J9" s="33">
        <f>$C$29*('E Balans VL '!D10+'E Balans VL '!E10)/100/3.6*1000000</f>
        <v>0</v>
      </c>
      <c r="K9" s="33"/>
      <c r="L9" s="33"/>
      <c r="M9" s="33"/>
      <c r="N9" s="33">
        <f>$C$29*'E Balans VL '!Y10/100/3.6*1000000</f>
        <v>1.380824143879277</v>
      </c>
      <c r="O9" s="33"/>
      <c r="P9" s="33"/>
      <c r="R9" s="32"/>
    </row>
    <row r="10" spans="1:18">
      <c r="A10" s="32" t="s">
        <v>49</v>
      </c>
      <c r="B10" s="37">
        <f t="shared" si="0"/>
        <v>476.16862433356795</v>
      </c>
      <c r="C10" s="33"/>
      <c r="D10" s="37">
        <f>IF(ISERROR(TER_ander_gas_kWh/1000),0,TER_ander_gas_kWh/1000)*0.903</f>
        <v>1244.9757252951106</v>
      </c>
      <c r="E10" s="33">
        <f>$C$30*'E Balans VL '!I14/100/3.6*1000000</f>
        <v>6.1732905630965975</v>
      </c>
      <c r="F10" s="33">
        <f>$C$30*('E Balans VL '!L14+'E Balans VL '!N14)/100/3.6*1000000</f>
        <v>436.71348385813445</v>
      </c>
      <c r="G10" s="34"/>
      <c r="H10" s="33"/>
      <c r="I10" s="33"/>
      <c r="J10" s="33">
        <f>$C$30*('E Balans VL '!D14+'E Balans VL '!E14)/100/3.6*1000000</f>
        <v>4.8160514235279714E-3</v>
      </c>
      <c r="K10" s="33"/>
      <c r="L10" s="33"/>
      <c r="M10" s="33"/>
      <c r="N10" s="33">
        <f>$C$30*'E Balans VL '!Y14/100/3.6*1000000</f>
        <v>182.1080907660639</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2.1480850665101996</v>
      </c>
      <c r="C12" s="33"/>
      <c r="D12" s="37">
        <f>IF(ISERROR(TER_rest_gas_kWh/1000),0,TER_rest_gas_kWh/1000)*0.903</f>
        <v>10.07528129065488</v>
      </c>
      <c r="E12" s="33">
        <f>$C$32*'E Balans VL '!I8/100/3.6*1000000</f>
        <v>1.05162704209172E-2</v>
      </c>
      <c r="F12" s="33">
        <f>$C$32*('E Balans VL '!L8+'E Balans VL '!N8)/100/3.6*1000000</f>
        <v>0.55400513016073294</v>
      </c>
      <c r="G12" s="34"/>
      <c r="H12" s="33"/>
      <c r="I12" s="33"/>
      <c r="J12" s="33">
        <f>$C$32*('E Balans VL '!D8+'E Balans VL '!E8)/100/3.6*1000000</f>
        <v>4.4273548307283399E-6</v>
      </c>
      <c r="K12" s="33"/>
      <c r="L12" s="33"/>
      <c r="M12" s="33"/>
      <c r="N12" s="33">
        <f>$C$32*'E Balans VL '!Y8/100/3.6*1000000</f>
        <v>0.17008107533250799</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7187.0036322974665</v>
      </c>
      <c r="C16" s="21">
        <f t="shared" ca="1" si="1"/>
        <v>0</v>
      </c>
      <c r="D16" s="21">
        <f t="shared" ca="1" si="1"/>
        <v>5032.7875595048372</v>
      </c>
      <c r="E16" s="21">
        <f t="shared" si="1"/>
        <v>14.153462907594536</v>
      </c>
      <c r="F16" s="21">
        <f t="shared" ca="1" si="1"/>
        <v>1030.0248409874621</v>
      </c>
      <c r="G16" s="21">
        <f t="shared" si="1"/>
        <v>0</v>
      </c>
      <c r="H16" s="21">
        <f t="shared" si="1"/>
        <v>0</v>
      </c>
      <c r="I16" s="21">
        <f t="shared" si="1"/>
        <v>0</v>
      </c>
      <c r="J16" s="21">
        <f t="shared" si="1"/>
        <v>4.8204787783587E-3</v>
      </c>
      <c r="K16" s="21">
        <f t="shared" si="1"/>
        <v>0</v>
      </c>
      <c r="L16" s="21">
        <f t="shared" ca="1" si="1"/>
        <v>0</v>
      </c>
      <c r="M16" s="21">
        <f t="shared" si="1"/>
        <v>0</v>
      </c>
      <c r="N16" s="21">
        <f t="shared" ca="1" si="1"/>
        <v>191.33695502057398</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0.2145988014686096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1542.3223656415801</v>
      </c>
      <c r="C20" s="23">
        <f t="shared" ref="C20:P20" ca="1" si="2">C16*C18</f>
        <v>0</v>
      </c>
      <c r="D20" s="23">
        <f t="shared" ca="1" si="2"/>
        <v>1016.6230870199772</v>
      </c>
      <c r="E20" s="23">
        <f t="shared" si="2"/>
        <v>3.2128360800239597</v>
      </c>
      <c r="F20" s="23">
        <f t="shared" ca="1" si="2"/>
        <v>275.01663254365241</v>
      </c>
      <c r="G20" s="23">
        <f t="shared" si="2"/>
        <v>0</v>
      </c>
      <c r="H20" s="23">
        <f t="shared" si="2"/>
        <v>0</v>
      </c>
      <c r="I20" s="23">
        <f t="shared" si="2"/>
        <v>0</v>
      </c>
      <c r="J20" s="23">
        <f t="shared" si="2"/>
        <v>1.7064494875389797E-3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5465.4868560331497</v>
      </c>
      <c r="C26" s="39">
        <f>IF(ISERROR(B26*3.6/1000000/'E Balans VL '!Z12*100),0,B26*3.6/1000000/'E Balans VL '!Z12*100)</f>
        <v>0.15680430356936925</v>
      </c>
      <c r="D26" s="233" t="s">
        <v>835</v>
      </c>
      <c r="F26" s="6"/>
    </row>
    <row r="27" spans="1:18" ht="30">
      <c r="A27" s="228" t="s">
        <v>52</v>
      </c>
      <c r="B27" s="33">
        <f>IF(ISERROR(TER_horeca_ele_kWh/1000),0,TER_horeca_ele_kWh/1000)</f>
        <v>220.19196902279899</v>
      </c>
      <c r="C27" s="39">
        <f>IF(ISERROR(B27*3.6/1000000/'E Balans VL '!Z9*100),0,B27*3.6/1000000/'E Balans VL '!Z9*100)</f>
        <v>1.6131341606397325E-2</v>
      </c>
      <c r="D27" s="233" t="s">
        <v>835</v>
      </c>
      <c r="F27" s="6"/>
    </row>
    <row r="28" spans="1:18" ht="30">
      <c r="A28" s="168" t="s">
        <v>51</v>
      </c>
      <c r="B28" s="33">
        <f>IF(ISERROR(TER_handel_ele_kWh/1000),0,TER_handel_ele_kWh/1000)</f>
        <v>834.08970591344405</v>
      </c>
      <c r="C28" s="39">
        <f>IF(ISERROR(B28*3.6/1000000/'E Balans VL '!Z13*100),0,B28*3.6/1000000/'E Balans VL '!Z13*100)</f>
        <v>2.5774075426802798E-2</v>
      </c>
      <c r="D28" s="233" t="s">
        <v>835</v>
      </c>
      <c r="F28" s="6"/>
    </row>
    <row r="29" spans="1:18" ht="30">
      <c r="A29" s="228" t="s">
        <v>50</v>
      </c>
      <c r="B29" s="33">
        <f>IF(ISERROR(TER_gezond_ele_kWh/1000),0,TER_gezond_ele_kWh/1000)</f>
        <v>188.918391927996</v>
      </c>
      <c r="C29" s="39">
        <f>IF(ISERROR(B29*3.6/1000000/'E Balans VL '!Z10*100),0,B29*3.6/1000000/'E Balans VL '!Z10*100)</f>
        <v>1.8515164059634007E-2</v>
      </c>
      <c r="D29" s="233" t="s">
        <v>835</v>
      </c>
      <c r="F29" s="6"/>
    </row>
    <row r="30" spans="1:18" ht="30">
      <c r="A30" s="228" t="s">
        <v>49</v>
      </c>
      <c r="B30" s="33">
        <f>IF(ISERROR(TER_ander_ele_kWh/1000),0,TER_ander_ele_kWh/1000)</f>
        <v>476.16862433356795</v>
      </c>
      <c r="C30" s="39">
        <f>IF(ISERROR(B30*3.6/1000000/'E Balans VL '!Z14*100),0,B30*3.6/1000000/'E Balans VL '!Z14*100)</f>
        <v>1.9724442690216948E-2</v>
      </c>
      <c r="D30" s="233" t="s">
        <v>835</v>
      </c>
      <c r="F30" s="6"/>
    </row>
    <row r="31" spans="1:18" ht="30">
      <c r="A31" s="228" t="s">
        <v>54</v>
      </c>
      <c r="B31" s="33">
        <f>IF(ISERROR(TER_onderwijs_ele_kWh/1000),0,TER_onderwijs_ele_kWh/1000)</f>
        <v>0</v>
      </c>
      <c r="C31" s="39">
        <f>IF(ISERROR(B31*3.6/1000000/'E Balans VL '!Z11*100),0,B31*3.6/1000000/'E Balans VL '!Z11*100)</f>
        <v>0</v>
      </c>
      <c r="D31" s="233" t="s">
        <v>835</v>
      </c>
    </row>
    <row r="32" spans="1:18" ht="30">
      <c r="A32" s="228" t="s">
        <v>249</v>
      </c>
      <c r="B32" s="33">
        <f>IF(ISERROR(TER_rest_ele_kWh/1000),0,TER_rest_ele_kWh/1000)</f>
        <v>2.1480850665101996</v>
      </c>
      <c r="C32" s="39">
        <f>IF(ISERROR(B32*3.6/1000000/'E Balans VL '!Z8*100),0,B32*3.6/1000000/'E Balans VL '!Z8*100)</f>
        <v>1.8132511252129717E-5</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366.76809506934069</v>
      </c>
      <c r="C5" s="17">
        <f>IF(ISERROR('Eigen informatie GS &amp; warmtenet'!B61),0,'Eigen informatie GS &amp; warmtenet'!B61)</f>
        <v>0</v>
      </c>
      <c r="D5" s="30">
        <f>SUM(D6:D15)</f>
        <v>857.16877131112483</v>
      </c>
      <c r="E5" s="17">
        <f>SUM(E6:E15)</f>
        <v>11.771545800897623</v>
      </c>
      <c r="F5" s="17">
        <f>SUM(F6:F15)</f>
        <v>110.70345699482186</v>
      </c>
      <c r="G5" s="18"/>
      <c r="H5" s="17"/>
      <c r="I5" s="17"/>
      <c r="J5" s="17">
        <f>SUM(J6:J15)</f>
        <v>1.038709601567724</v>
      </c>
      <c r="K5" s="17"/>
      <c r="L5" s="17"/>
      <c r="M5" s="17"/>
      <c r="N5" s="17">
        <f>SUM(N6:N15)</f>
        <v>13.10212035269976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124.537001661178</v>
      </c>
      <c r="C9" s="33"/>
      <c r="D9" s="37">
        <f>IF( ISERROR(IND_andere_gas_kWh/1000),0,IND_andere_gas_kWh/1000)*0.903</f>
        <v>276.63879180787717</v>
      </c>
      <c r="E9" s="33">
        <f>C31*'E Balans VL '!I19/100/3.6*1000000</f>
        <v>0.40202665008286298</v>
      </c>
      <c r="F9" s="33">
        <f>C31*'E Balans VL '!L19/100/3.6*1000000+C31*'E Balans VL '!N19/100/3.6*1000000</f>
        <v>80.526602897229651</v>
      </c>
      <c r="G9" s="34"/>
      <c r="H9" s="33"/>
      <c r="I9" s="33"/>
      <c r="J9" s="40">
        <f>C31*'E Balans VL '!D19/100/3.6*1000000+C31*'E Balans VL '!E19/100/3.6*1000000</f>
        <v>0</v>
      </c>
      <c r="K9" s="33"/>
      <c r="L9" s="33"/>
      <c r="M9" s="33"/>
      <c r="N9" s="33">
        <f>C31*'E Balans VL '!Y19/100/3.6*1000000</f>
        <v>5.0323963842754029</v>
      </c>
      <c r="O9" s="33"/>
      <c r="P9" s="33"/>
      <c r="R9" s="32"/>
    </row>
    <row r="10" spans="1:18">
      <c r="A10" s="6" t="s">
        <v>40</v>
      </c>
      <c r="B10" s="37">
        <f t="shared" si="0"/>
        <v>50.923202288916904</v>
      </c>
      <c r="C10" s="33"/>
      <c r="D10" s="37">
        <f>IF( ISERROR(IND_voed_gas_kWh/1000),0,IND_voed_gas_kWh/1000)*0.903</f>
        <v>119.99283100282898</v>
      </c>
      <c r="E10" s="33">
        <f>C32*'E Balans VL '!I20/100/3.6*1000000</f>
        <v>0.10674751192800809</v>
      </c>
      <c r="F10" s="33">
        <f>C32*'E Balans VL '!L20/100/3.6*1000000+C32*'E Balans VL '!N20/100/3.6*1000000</f>
        <v>0.992159964919617</v>
      </c>
      <c r="G10" s="34"/>
      <c r="H10" s="33"/>
      <c r="I10" s="33"/>
      <c r="J10" s="40">
        <f>C32*'E Balans VL '!D20/100/3.6*1000000+C32*'E Balans VL '!E20/100/3.6*1000000</f>
        <v>0</v>
      </c>
      <c r="K10" s="33"/>
      <c r="L10" s="33"/>
      <c r="M10" s="33"/>
      <c r="N10" s="33">
        <f>C32*'E Balans VL '!Y20/100/3.6*1000000</f>
        <v>2.0255838072453471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191.3078911192458</v>
      </c>
      <c r="C15" s="33"/>
      <c r="D15" s="37">
        <f>IF( ISERROR(IND_rest_gas_kWh/1000),0,IND_rest_gas_kWh/1000)*0.903</f>
        <v>460.5371485004186</v>
      </c>
      <c r="E15" s="33">
        <f>C37*'E Balans VL '!I15/100/3.6*1000000</f>
        <v>11.262771638886752</v>
      </c>
      <c r="F15" s="33">
        <f>C37*'E Balans VL '!L15/100/3.6*1000000+C37*'E Balans VL '!N15/100/3.6*1000000</f>
        <v>29.184694132672583</v>
      </c>
      <c r="G15" s="34"/>
      <c r="H15" s="33"/>
      <c r="I15" s="33"/>
      <c r="J15" s="40">
        <f>C37*'E Balans VL '!D15/100/3.6*1000000+C37*'E Balans VL '!E15/100/3.6*1000000</f>
        <v>1.038709601567724</v>
      </c>
      <c r="K15" s="33"/>
      <c r="L15" s="33"/>
      <c r="M15" s="33"/>
      <c r="N15" s="33">
        <f>C37*'E Balans VL '!Y15/100/3.6*1000000</f>
        <v>6.0441401611790102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366.76809506934069</v>
      </c>
      <c r="C18" s="21">
        <f>C5+C16</f>
        <v>0</v>
      </c>
      <c r="D18" s="21">
        <f>MAX((D5+D16),0)</f>
        <v>857.16877131112483</v>
      </c>
      <c r="E18" s="21">
        <f>MAX((E5+E16),0)</f>
        <v>11.771545800897623</v>
      </c>
      <c r="F18" s="21">
        <f>MAX((F5+F16),0)</f>
        <v>110.70345699482186</v>
      </c>
      <c r="G18" s="21"/>
      <c r="H18" s="21"/>
      <c r="I18" s="21"/>
      <c r="J18" s="21">
        <f>MAX((J5+J16),0)</f>
        <v>1.038709601567724</v>
      </c>
      <c r="K18" s="21"/>
      <c r="L18" s="21">
        <f>MAX((L5+L16),0)</f>
        <v>0</v>
      </c>
      <c r="M18" s="21"/>
      <c r="N18" s="21">
        <f>MAX((N5+N16),0)</f>
        <v>13.10212035269976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0.2145988014686096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78.707993618805574</v>
      </c>
      <c r="C22" s="23">
        <f ca="1">C18*C20</f>
        <v>0</v>
      </c>
      <c r="D22" s="23">
        <f>D18*D20</f>
        <v>173.14809180484724</v>
      </c>
      <c r="E22" s="23">
        <f>E18*E20</f>
        <v>2.6721408968037608</v>
      </c>
      <c r="F22" s="23">
        <f>F18*F20</f>
        <v>29.557823017617441</v>
      </c>
      <c r="G22" s="23"/>
      <c r="H22" s="23"/>
      <c r="I22" s="23"/>
      <c r="J22" s="23">
        <f>J18*J20</f>
        <v>0.36770319895497428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124.537001661178</v>
      </c>
      <c r="C31" s="39">
        <f>IF(ISERROR(B31*3.6/1000000/'E Balans VL '!Z19*100),0,B31*3.6/1000000/'E Balans VL '!Z19*100)</f>
        <v>5.0738952689402313E-3</v>
      </c>
      <c r="D31" s="233" t="s">
        <v>835</v>
      </c>
    </row>
    <row r="32" spans="1:18" ht="30">
      <c r="A32" s="168" t="s">
        <v>40</v>
      </c>
      <c r="B32" s="37">
        <f>IF( ISERROR(IND_voed_ele_kWh/1000),0,IND_voed_ele_kWh/1000)</f>
        <v>50.923202288916904</v>
      </c>
      <c r="C32" s="39">
        <f>IF(ISERROR(B32*3.6/1000000/'E Balans VL '!Z20*100),0,B32*3.6/1000000/'E Balans VL '!Z20*100)</f>
        <v>1.4723947084515573E-3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191.3078911192458</v>
      </c>
      <c r="C37" s="39">
        <f>IF(ISERROR(B37*3.6/1000000/'E Balans VL '!Z15*100),0,B37*3.6/1000000/'E Balans VL '!Z15*100)</f>
        <v>1.5707826868124857E-3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82.799649812168809</v>
      </c>
      <c r="C5" s="17">
        <f>'Eigen informatie GS &amp; warmtenet'!B62</f>
        <v>0</v>
      </c>
      <c r="D5" s="30">
        <f>IF(ISERROR(SUM(LB_lb_gas_kWh,LB_rest_gas_kWh)/1000),0,SUM(LB_lb_gas_kWh,LB_rest_gas_kWh)/1000)*0.903</f>
        <v>24.434887019880755</v>
      </c>
      <c r="E5" s="17">
        <f>B17*'E Balans VL '!I25/3.6*1000000/100</f>
        <v>2.3715220932815773</v>
      </c>
      <c r="F5" s="17">
        <f>B17*('E Balans VL '!L25/3.6*1000000+'E Balans VL '!N25/3.6*1000000)/100</f>
        <v>262.10092008509395</v>
      </c>
      <c r="G5" s="18"/>
      <c r="H5" s="17"/>
      <c r="I5" s="17"/>
      <c r="J5" s="17">
        <f>('E Balans VL '!D25+'E Balans VL '!E25)/3.6*1000000*landbouw!B17/100</f>
        <v>21.05335084017392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82.799649812168809</v>
      </c>
      <c r="C8" s="21">
        <f>C5+C6</f>
        <v>0</v>
      </c>
      <c r="D8" s="21">
        <f>MAX((D5+D6),0)</f>
        <v>24.434887019880755</v>
      </c>
      <c r="E8" s="21">
        <f>MAX((E5+E6),0)</f>
        <v>2.3715220932815773</v>
      </c>
      <c r="F8" s="21">
        <f>MAX((F5+F6),0)</f>
        <v>262.10092008509395</v>
      </c>
      <c r="G8" s="21"/>
      <c r="H8" s="21"/>
      <c r="I8" s="21"/>
      <c r="J8" s="21">
        <f>MAX((J5+J6),0)</f>
        <v>21.05335084017392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0.2145988014686096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17.768705611712011</v>
      </c>
      <c r="C12" s="23">
        <f ca="1">C8*C10</f>
        <v>0</v>
      </c>
      <c r="D12" s="23">
        <f>D8*D10</f>
        <v>4.935847178015913</v>
      </c>
      <c r="E12" s="23">
        <f>E8*E10</f>
        <v>0.53833551517491807</v>
      </c>
      <c r="F12" s="23">
        <f>F8*F10</f>
        <v>69.980945662720089</v>
      </c>
      <c r="G12" s="23"/>
      <c r="H12" s="23"/>
      <c r="I12" s="23"/>
      <c r="J12" s="23">
        <f>J8*J10</f>
        <v>7.4528861974215674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1.146587314754985E-2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2.5817917578834222</v>
      </c>
      <c r="C26" s="243">
        <f>B26*'GWP N2O_CH4'!B5</f>
        <v>54.217626915551868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0.13093767078534266</v>
      </c>
      <c r="C27" s="243">
        <f>B27*'GWP N2O_CH4'!B5</f>
        <v>2.749691086492196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4.77895100315259E-2</v>
      </c>
      <c r="C28" s="243">
        <f>B28*'GWP N2O_CH4'!B4</f>
        <v>14.81474810977303</v>
      </c>
      <c r="D28" s="50"/>
    </row>
    <row r="29" spans="1:4">
      <c r="A29" s="41" t="s">
        <v>266</v>
      </c>
      <c r="B29" s="243">
        <f>B34*'ha_N2O bodem landbouw'!B4</f>
        <v>0.96423371018322224</v>
      </c>
      <c r="C29" s="243">
        <f>B29*'GWP N2O_CH4'!B4</f>
        <v>298.91245015679891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2.1905664179515679E-4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1.4202267493476696E-4</v>
      </c>
      <c r="C5" s="432" t="s">
        <v>204</v>
      </c>
      <c r="D5" s="417">
        <f>SUM(D6:D11)</f>
        <v>3.2407181453035917E-4</v>
      </c>
      <c r="E5" s="417">
        <f>SUM(E6:E11)</f>
        <v>1.230193292235914E-4</v>
      </c>
      <c r="F5" s="430" t="s">
        <v>204</v>
      </c>
      <c r="G5" s="417">
        <f>SUM(G6:G11)</f>
        <v>3.9013695818622504E-2</v>
      </c>
      <c r="H5" s="417">
        <f>SUM(H6:H11)</f>
        <v>1.5744687729127613E-2</v>
      </c>
      <c r="I5" s="432" t="s">
        <v>204</v>
      </c>
      <c r="J5" s="432" t="s">
        <v>204</v>
      </c>
      <c r="K5" s="432" t="s">
        <v>204</v>
      </c>
      <c r="L5" s="432" t="s">
        <v>204</v>
      </c>
      <c r="M5" s="417">
        <f>SUM(M6:M11)</f>
        <v>3.3562701416580808E-3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84">
        <f>vkm_GW_PW*SUMIFS(TableVerdeelsleutelVkm[LPG],TableVerdeelsleutelVkm[Voertuigtype],"Lichte voertuigen")*SUMIFS(TableECFTransport[EnergieConsumptieFactor (PJ per km)],TableECFTransport[Index],CONCATENATE($A6,"_LPG_LPG"))</f>
        <v>0</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1.4192181019300127E-4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3.2407181453035917E-4</v>
      </c>
      <c r="E8" s="420">
        <f>vkm_NGW_PW*SUMIFS(TableVerdeelsleutelVkm[LPG],TableVerdeelsleutelVkm[Voertuigtype],"Lichte voertuigen")*SUMIFS(TableECFTransport[EnergieConsumptieFactor (PJ per km)],TableECFTransport[Index],CONCATENATE($A8,"_LPG_LPG"))</f>
        <v>1.230193292235914E-4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3.3864770977299244E-2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1.5744652119490065E-2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3.06062775370931E-3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1.0086474176568731E-7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5.1489248413232568E-3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3.5609637547966213E-8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2.956423879487707E-4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39.450743037435267</v>
      </c>
      <c r="C14" s="21"/>
      <c r="D14" s="21">
        <f t="shared" ref="D14:M14" si="0">((D5)*10^9/3600)+D12</f>
        <v>90.01994848065533</v>
      </c>
      <c r="E14" s="21">
        <f t="shared" si="0"/>
        <v>34.172035895442058</v>
      </c>
      <c r="F14" s="21"/>
      <c r="G14" s="21">
        <f t="shared" si="0"/>
        <v>10837.13772739514</v>
      </c>
      <c r="H14" s="21">
        <f t="shared" si="0"/>
        <v>4373.524369202114</v>
      </c>
      <c r="I14" s="21"/>
      <c r="J14" s="21"/>
      <c r="K14" s="21"/>
      <c r="L14" s="21"/>
      <c r="M14" s="21">
        <f t="shared" si="0"/>
        <v>932.29726157168909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0.2145988014686096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8.4660821728797035</v>
      </c>
      <c r="C18" s="23"/>
      <c r="D18" s="23">
        <f t="shared" ref="D18:M18" si="1">D14*D16</f>
        <v>18.184029593092379</v>
      </c>
      <c r="E18" s="23">
        <f t="shared" si="1"/>
        <v>7.7570521482653474</v>
      </c>
      <c r="F18" s="23"/>
      <c r="G18" s="23">
        <f t="shared" si="1"/>
        <v>2893.5157732145026</v>
      </c>
      <c r="H18" s="23">
        <f t="shared" si="1"/>
        <v>1089.0075679313263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1.3714164943652144E-5</v>
      </c>
      <c r="C50" s="315">
        <f t="shared" ref="C50:P50" si="2">SUM(C51:C52)</f>
        <v>0</v>
      </c>
      <c r="D50" s="315">
        <f t="shared" si="2"/>
        <v>0</v>
      </c>
      <c r="E50" s="315">
        <f t="shared" si="2"/>
        <v>0</v>
      </c>
      <c r="F50" s="315">
        <f t="shared" si="2"/>
        <v>0</v>
      </c>
      <c r="G50" s="315">
        <f t="shared" si="2"/>
        <v>8.5854818629701275E-4</v>
      </c>
      <c r="H50" s="315">
        <f t="shared" si="2"/>
        <v>0</v>
      </c>
      <c r="I50" s="315">
        <f t="shared" si="2"/>
        <v>0</v>
      </c>
      <c r="J50" s="315">
        <f t="shared" si="2"/>
        <v>0</v>
      </c>
      <c r="K50" s="315">
        <f t="shared" si="2"/>
        <v>0</v>
      </c>
      <c r="L50" s="315">
        <f t="shared" si="2"/>
        <v>0</v>
      </c>
      <c r="M50" s="315">
        <f t="shared" si="2"/>
        <v>4.929593583158274E-5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1.3714164943652144E-5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8.5854818629701275E-4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4.929593583158274E-5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3.8094902621255957</v>
      </c>
      <c r="C54" s="21">
        <f t="shared" ref="C54:P54" si="3">(C50)*10^9/3600</f>
        <v>0</v>
      </c>
      <c r="D54" s="21">
        <f t="shared" si="3"/>
        <v>0</v>
      </c>
      <c r="E54" s="21">
        <f t="shared" si="3"/>
        <v>0</v>
      </c>
      <c r="F54" s="21">
        <f t="shared" si="3"/>
        <v>0</v>
      </c>
      <c r="G54" s="21">
        <f t="shared" si="3"/>
        <v>238.48560730472576</v>
      </c>
      <c r="H54" s="21">
        <f t="shared" si="3"/>
        <v>0</v>
      </c>
      <c r="I54" s="21">
        <f t="shared" si="3"/>
        <v>0</v>
      </c>
      <c r="J54" s="21">
        <f t="shared" si="3"/>
        <v>0</v>
      </c>
      <c r="K54" s="21">
        <f t="shared" si="3"/>
        <v>0</v>
      </c>
      <c r="L54" s="21">
        <f t="shared" si="3"/>
        <v>0</v>
      </c>
      <c r="M54" s="21">
        <f t="shared" si="3"/>
        <v>13.693315508772983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0.2145988014686096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0.81751204445849224</v>
      </c>
      <c r="C58" s="23">
        <f t="shared" ref="C58:P58" ca="1" si="4">C54*C56</f>
        <v>0</v>
      </c>
      <c r="D58" s="23">
        <f t="shared" si="4"/>
        <v>0</v>
      </c>
      <c r="E58" s="23">
        <f t="shared" si="4"/>
        <v>0</v>
      </c>
      <c r="F58" s="23">
        <f t="shared" si="4"/>
        <v>0</v>
      </c>
      <c r="G58" s="23">
        <f t="shared" si="4"/>
        <v>63.675657150361779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434.53418291996815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434.53418291996815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2021-11-11T12:15:05Z</dcterms:modified>
</cp:coreProperties>
</file>