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A0F70327-569D-41D7-9A0D-73C72892A30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10" i="22" l="1"/>
  <c r="A3" i="23"/>
  <c r="B51" i="22" s="1"/>
  <c r="A4" i="23"/>
  <c r="D6"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<sst xmlns="http://schemas.openxmlformats.org/spreadsheetml/2006/main" count="2417" uniqueCount="868">
  <si>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</si>
  <si>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</si>
  <si>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</si>
  <si>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</si>
  <si>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</si>
  <si>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</si>
  <si>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</si>
  <si>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</si>
  <si>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</si>
  <si>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</si>
  <si>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</si>
  <si>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</si>
  <si>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</si>
  <si>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</si>
  <si>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</si>
  <si>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</si>
  <si>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</si>
  <si>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</si>
  <si>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</si>
  <si>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</si>
  <si>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</si>
  <si>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</si>
  <si>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</si>
  <si>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</si>
  <si>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</si>
  <si>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</si>
  <si>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</si>
  <si>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</si>
  <si>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</si>
  <si>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</si>
  <si>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</si>
  <si>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</si>
  <si>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</si>
  <si>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</si>
  <si>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</si>
  <si>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</si>
  <si>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</si>
  <si>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</si>
  <si>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</si>
  <si>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</si>
  <si>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</si>
  <si>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</si>
  <si>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</si>
  <si>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</si>
  <si>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</si>
  <si>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</si>
  <si>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</si>
  <si>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</si>
  <si>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</si>
  <si>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</si>
  <si>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</si>
  <si>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</si>
  <si>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</si>
  <si>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</si>
  <si>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</si>
  <si>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</si>
  <si>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</si>
  <si>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</si>
  <si>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</si>
  <si>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</si>
  <si>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</si>
  <si>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</si>
  <si>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</si>
  <si>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</si>
  <si>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</si>
  <si>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</si>
  <si>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</si>
  <si>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</si>
  <si>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</si>
  <si>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</si>
  <si>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</si>
  <si>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</si>
  <si>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</si>
  <si>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</si>
  <si>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</si>
  <si>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</si>
  <si>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</si>
  <si>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</si>
  <si>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</si>
  <si>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</si>
  <si>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</si>
  <si>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</si>
  <si>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</si>
  <si>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</si>
  <si>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</si>
  <si>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</si>
  <si>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</si>
  <si>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</si>
  <si>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</si>
  <si>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</si>
  <si>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</si>
  <si>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</si>
  <si>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</si>
  <si>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</si>
  <si>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</si>
  <si>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</si>
  <si>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</si>
  <si>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</si>
  <si>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</si>
  <si>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</si>
  <si>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</si>
  <si>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</si>
  <si>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</si>
  <si>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</si>
  <si>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</si>
  <si>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</si>
  <si>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</si>
  <si>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</si>
  <si>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</si>
  <si>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</si>
  <si>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</si>
  <si>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</si>
  <si>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</si>
  <si>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</si>
  <si>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</si>
  <si>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</si>
  <si>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</si>
  <si>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</si>
  <si>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</si>
  <si>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</si>
  <si>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</si>
  <si>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</si>
  <si>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</si>
  <si>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</si>
  <si>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</si>
  <si>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</si>
  <si>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</si>
  <si>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</si>
  <si>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</si>
  <si>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</si>
  <si>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</si>
  <si>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</si>
  <si>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</si>
  <si>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</si>
  <si>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</si>
  <si>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</si>
  <si>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</si>
  <si>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</si>
  <si>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</si>
  <si>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</si>
  <si>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</si>
  <si>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</si>
  <si>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</si>
  <si>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</si>
  <si>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</si>
  <si>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</si>
  <si>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</si>
  <si>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</si>
  <si>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</si>
  <si>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</si>
  <si>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</si>
  <si>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</si>
  <si>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</si>
  <si>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</si>
  <si>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</si>
  <si>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</si>
  <si>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</si>
  <si>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</si>
  <si>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</si>
  <si>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</si>
  <si>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</si>
  <si>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</si>
  <si>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</si>
  <si>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</si>
  <si>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</si>
  <si>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</si>
  <si>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</si>
  <si>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</si>
  <si>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</si>
  <si>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</si>
  <si>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</si>
  <si>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</si>
  <si>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</si>
  <si>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</si>
  <si>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</si>
  <si>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</si>
  <si>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</si>
  <si>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</si>
  <si>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</si>
  <si>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</si>
  <si>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</si>
  <si>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</si>
  <si>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</si>
  <si>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</si>
  <si>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</si>
  <si>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</si>
  <si>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</si>
  <si>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</si>
  <si>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</si>
  <si>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</si>
  <si>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</si>
  <si>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</si>
  <si>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</si>
  <si>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</si>
  <si>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</si>
  <si>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</si>
  <si>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</si>
  <si>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</si>
  <si>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</si>
  <si>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</si>
  <si>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</si>
  <si>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</si>
  <si>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</si>
  <si>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</si>
  <si>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</si>
  <si>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</si>
  <si>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</si>
  <si>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</si>
  <si>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</si>
  <si>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</si>
  <si>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</si>
  <si>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</si>
  <si>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</si>
  <si>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</si>
  <si>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</si>
  <si>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</si>
  <si>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</si>
  <si>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</si>
  <si>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</si>
  <si>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</si>
  <si>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</si>
  <si>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</si>
  <si>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</si>
  <si>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</si>
  <si>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</si>
  <si>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</si>
  <si>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</si>
  <si>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</si>
  <si>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</si>
  <si>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</si>
  <si>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</si>
  <si>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</si>
  <si>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</si>
  <si>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</si>
  <si>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</si>
  <si>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</si>
  <si>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</si>
  <si>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</si>
  <si>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</si>
  <si>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</si>
  <si>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</si>
  <si>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</si>
  <si>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</si>
  <si>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</si>
  <si>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</si>
  <si>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</si>
  <si>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</si>
  <si>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</si>
  <si>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</si>
  <si>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</si>
  <si>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</si>
  <si>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</si>
  <si>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</si>
  <si>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</si>
  <si>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</si>
  <si>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</si>
  <si>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</si>
  <si>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</si>
  <si>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</si>
  <si>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</si>
  <si>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</si>
  <si>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</si>
  <si>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</si>
  <si>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</si>
  <si>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</si>
  <si>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</si>
  <si>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</si>
  <si>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</si>
  <si>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</si>
  <si>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</si>
  <si>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</si>
  <si>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</si>
  <si>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</si>
  <si>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</si>
  <si>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</si>
  <si>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</si>
  <si>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</si>
  <si>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</si>
  <si>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</si>
  <si>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</si>
  <si>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</si>
  <si>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</si>
  <si>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</si>
  <si>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</si>
  <si>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</si>
  <si>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</si>
  <si>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</si>
  <si>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</si>
  <si>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</si>
  <si>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</si>
  <si>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</si>
  <si>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</si>
  <si>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</si>
  <si>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</si>
  <si>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</si>
  <si>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</si>
  <si>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</si>
  <si>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</si>
  <si>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</si>
  <si>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</si>
  <si>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</si>
  <si>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</si>
  <si>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</si>
  <si>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</si>
  <si>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</si>
  <si>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</si>
  <si>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</si>
  <si>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</si>
  <si>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</si>
  <si>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</si>
  <si>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</si>
  <si>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</si>
  <si>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</si>
  <si>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</si>
  <si>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</si>
  <si>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</si>
  <si>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</si>
  <si>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</si>
  <si>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</si>
  <si>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</si>
  <si>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</si>
  <si>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</si>
  <si>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</si>
  <si>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</si>
  <si>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</si>
  <si>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</si>
  <si>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</si>
  <si>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</si>
  <si>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</si>
  <si>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</si>
  <si>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</si>
  <si>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</si>
  <si>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</si>
  <si>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</si>
  <si>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</si>
  <si>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</si>
  <si>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</si>
  <si>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</si>
  <si>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</si>
  <si>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</si>
  <si>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</si>
  <si>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</si>
  <si>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</si>
  <si>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</si>
  <si>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</si>
  <si>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</si>
  <si>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</si>
  <si>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</si>
  <si>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</si>
  <si>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</si>
  <si>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</si>
  <si>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</si>
  <si>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</si>
  <si>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</si>
  <si>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</si>
  <si>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</si>
  <si>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</si>
  <si>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</si>
  <si>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</si>
  <si>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</si>
  <si>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</si>
  <si>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</si>
  <si>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</si>
  <si>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</si>
  <si>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</si>
  <si>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</si>
  <si>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</si>
  <si>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</si>
  <si>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</si>
  <si>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</si>
  <si>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</si>
  <si>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</si>
  <si>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</si>
  <si>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</si>
  <si>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</si>
  <si>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</si>
  <si>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</si>
  <si>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</si>
  <si>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</si>
  <si>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</si>
  <si>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</si>
  <si>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</si>
  <si>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</si>
  <si>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</si>
  <si>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</si>
  <si>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</si>
  <si>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</si>
  <si>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</si>
  <si>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</si>
  <si>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</si>
  <si>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</si>
  <si>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</si>
  <si>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</si>
  <si>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</si>
  <si>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</si>
  <si>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</si>
  <si>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</si>
  <si>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</si>
  <si>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</si>
  <si>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</si>
  <si>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</si>
  <si>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</si>
  <si>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</si>
  <si>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</si>
  <si>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</si>
  <si>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</si>
  <si>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</si>
  <si>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</si>
  <si>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</si>
  <si>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</si>
  <si>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</si>
  <si>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</si>
  <si>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</si>
  <si>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</si>
  <si>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</si>
  <si>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</si>
  <si>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</si>
  <si>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</si>
  <si>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</si>
  <si>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</si>
  <si>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</si>
  <si>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</si>
  <si>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</si>
  <si>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</si>
  <si>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</si>
  <si>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</si>
  <si>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</si>
  <si>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</si>
  <si>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</si>
  <si>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</si>
  <si>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</si>
  <si>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</si>
  <si>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</si>
  <si>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</si>
  <si>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</si>
  <si>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</si>
  <si>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</si>
  <si>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</si>
  <si>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</si>
  <si>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</si>
  <si>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</si>
  <si>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</si>
  <si>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</si>
  <si>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</si>
  <si>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</si>
  <si>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</si>
  <si>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</si>
  <si>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</si>
  <si>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</si>
  <si>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</si>
  <si>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</si>
  <si>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</si>
  <si>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</si>
  <si>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</si>
  <si>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</si>
  <si>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</si>
  <si>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</si>
  <si>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</si>
  <si>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</si>
  <si>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</si>
  <si>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</si>
  <si>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</si>
  <si>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</si>
  <si>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</si>
  <si>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</si>
  <si>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</si>
  <si>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</si>
  <si>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</si>
  <si>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</si>
  <si>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</si>
  <si>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</si>
  <si>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</si>
  <si>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</si>
  <si>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</si>
  <si>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</si>
  <si>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</si>
  <si>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</si>
  <si>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</si>
  <si>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</si>
  <si>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</si>
  <si>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</si>
  <si>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</si>
  <si>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</si>
  <si>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</si>
  <si>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</si>
  <si>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</si>
  <si>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</si>
  <si>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</si>
  <si>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</si>
  <si>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</si>
  <si>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</si>
  <si>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</si>
  <si>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</si>
  <si>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</si>
  <si>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</si>
  <si>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</si>
  <si>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</si>
  <si>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</si>
  <si>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</si>
  <si>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</si>
  <si>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</si>
  <si>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</si>
  <si>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</si>
  <si>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</si>
  <si>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</si>
  <si>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</si>
  <si>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</si>
  <si>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</si>
  <si>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</si>
  <si>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</si>
  <si>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</si>
  <si>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</si>
  <si>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</si>
  <si>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</si>
  <si>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</si>
  <si>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</si>
  <si>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</si>
  <si>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</si>
  <si>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</si>
  <si>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</si>
  <si>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</si>
  <si>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</si>
  <si>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</si>
  <si>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</si>
  <si>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</si>
  <si>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</si>
  <si>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</si>
  <si>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</si>
  <si>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</si>
  <si>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</si>
  <si>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</si>
  <si>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</si>
  <si>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</si>
  <si>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</si>
  <si>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</si>
  <si>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</si>
  <si>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</si>
  <si>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</si>
  <si>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</si>
  <si>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</si>
  <si>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</si>
  <si>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</si>
  <si>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</si>
  <si>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</si>
  <si>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</si>
  <si>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</si>
  <si>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</si>
  <si>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</si>
  <si>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</si>
  <si>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</si>
  <si>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</si>
  <si>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</si>
  <si>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</si>
  <si>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</si>
  <si>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</si>
  <si>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</si>
  <si>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</si>
  <si>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</si>
  <si>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</si>
  <si>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</si>
  <si>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</si>
  <si>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</si>
  <si>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</si>
  <si>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</si>
  <si>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</si>
  <si>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</si>
  <si>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</si>
  <si>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</si>
  <si>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</si>
  <si>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</si>
  <si>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</si>
  <si>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</si>
  <si>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</si>
  <si>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</si>
  <si>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</si>
  <si>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</si>
  <si>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</si>
  <si>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</si>
  <si>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</si>
  <si>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</si>
  <si>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</si>
  <si>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</si>
  <si>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</si>
  <si>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</si>
  <si>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</si>
  <si>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</si>
  <si>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</si>
  <si>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</si>
  <si>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</si>
  <si>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</si>
  <si>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</si>
  <si>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</si>
  <si>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</si>
  <si>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</si>
  <si>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</si>
  <si>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</si>
  <si>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</si>
  <si>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</si>
  <si>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</si>
  <si>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</si>
  <si>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</si>
  <si>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</si>
  <si>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</si>
  <si>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</si>
  <si>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</si>
  <si>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</si>
  <si>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</si>
  <si>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</si>
  <si>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</si>
  <si>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</si>
  <si>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</si>
  <si>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</si>
  <si>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</si>
  <si>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</si>
  <si>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</si>
  <si>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</si>
  <si>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</si>
  <si>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</si>
  <si>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</si>
  <si>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</si>
  <si>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</si>
  <si>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</si>
  <si>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</si>
  <si>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</si>
  <si>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</si>
  <si>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</si>
  <si>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</si>
  <si>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</si>
  <si>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</si>
  <si>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</si>
  <si>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</si>
  <si>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</si>
  <si>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</si>
  <si>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</si>
  <si>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</si>
  <si>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</si>
  <si>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</si>
  <si>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</si>
  <si>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</si>
  <si>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</si>
  <si>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</si>
  <si>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</si>
  <si>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</si>
  <si>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</si>
  <si>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</si>
  <si>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</si>
  <si>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</si>
  <si>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</si>
  <si>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</si>
  <si>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</si>
  <si>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</si>
  <si>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</si>
  <si>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</si>
  <si>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</si>
  <si>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</si>
  <si>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</si>
  <si>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</si>
  <si>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</si>
  <si>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</si>
  <si>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</si>
  <si>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</si>
  <si>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</si>
  <si>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</si>
  <si>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</si>
  <si>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</si>
  <si>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</si>
  <si>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</si>
  <si>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</si>
  <si>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</si>
  <si>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</si>
  <si>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</si>
  <si>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</si>
  <si>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</si>
  <si>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</si>
  <si>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</si>
  <si>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</si>
  <si>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</si>
  <si>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</si>
  <si>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</si>
  <si>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</si>
  <si>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</si>
  <si>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</si>
  <si>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</si>
  <si>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</si>
  <si>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</si>
  <si>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</si>
  <si>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</si>
  <si>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</si>
  <si>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</si>
  <si>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</si>
  <si>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</si>
  <si>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</si>
  <si>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</si>
  <si>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</si>
  <si>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</si>
  <si>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</si>
  <si>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</si>
  <si>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</si>
  <si>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</si>
  <si>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</si>
  <si>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</si>
  <si>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</si>
  <si>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</si>
  <si>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</si>
  <si>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</si>
  <si>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</si>
  <si>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</si>
  <si>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</si>
  <si>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</si>
  <si>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</si>
  <si>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</si>
  <si>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</si>
  <si>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</si>
  <si>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</si>
  <si>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</si>
  <si>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</si>
  <si>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</si>
  <si>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</si>
  <si>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</si>
  <si>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</si>
  <si>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</si>
  <si>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</si>
  <si>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</si>
  <si>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</si>
  <si>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</si>
  <si>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</si>
  <si>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</si>
  <si>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</si>
  <si>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</si>
  <si>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</si>
  <si>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</si>
  <si>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</si>
  <si>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</si>
  <si>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</si>
  <si>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</si>
  <si>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</si>
  <si>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</si>
  <si>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</si>
  <si>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</si>
  <si>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</si>
  <si>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</si>
  <si>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</si>
  <si>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</si>
  <si>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</si>
  <si>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</si>
  <si>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</si>
  <si>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</si>
  <si>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</si>
  <si>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</si>
  <si>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</si>
  <si>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</si>
  <si>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</si>
  <si>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</si>
  <si>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</si>
  <si>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</si>
  <si>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</si>
  <si>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</si>
  <si>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</si>
  <si>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</si>
  <si>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</si>
  <si>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</si>
  <si>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</si>
  <si>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</si>
  <si>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</si>
  <si>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</si>
  <si>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</si>
  <si>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</si>
  <si>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</si>
  <si>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</si>
  <si>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</si>
  <si>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</si>
  <si>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</si>
  <si>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</si>
  <si>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</si>
  <si>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</si>
  <si>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</si>
  <si>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</si>
  <si>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</si>
  <si>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</si>
  <si>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</si>
  <si>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</si>
  <si>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</si>
  <si>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</si>
  <si>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</si>
  <si>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</si>
  <si>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</si>
  <si>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</si>
  <si>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</si>
  <si>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</si>
  <si>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</si>
  <si>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</si>
  <si>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</si>
  <si>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</si>
  <si>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</si>
  <si>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</si>
  <si>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</si>
  <si>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</si>
  <si>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</si>
  <si>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</si>
  <si>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</si>
  <si>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</si>
  <si>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</si>
  <si>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</si>
  <si>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</si>
  <si>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</si>
  <si>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</si>
  <si>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</si>
  <si>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</si>
  <si>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</si>
  <si>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</si>
  <si>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</si>
  <si>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</si>
  <si>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</si>
  <si>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</si>
  <si>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</si>
  <si>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</si>
  <si>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</si>
  <si>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</si>
  <si>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</si>
  <si>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</si>
  <si>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</si>
  <si>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</si>
  <si>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</si>
  <si>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</si>
  <si>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</si>
  <si>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</si>
  <si>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</si>
  <si>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</si>
  <si>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</si>
  <si>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</si>
  <si>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</si>
  <si>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</si>
  <si>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</si>
  <si>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</si>
  <si>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</si>
  <si>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</si>
  <si>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</si>
  <si>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</si>
  <si>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</si>
  <si>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</si>
  <si>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</si>
  <si>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</si>
  <si>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</si>
  <si>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</si>
  <si>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</si>
  <si>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</si>
  <si>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</si>
  <si>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</si>
  <si>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</si>
  <si>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</si>
  <si>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</si>
  <si>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</si>
  <si>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</si>
  <si>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</si>
  <si>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</si>
  <si>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</si>
  <si>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</si>
  <si>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</si>
  <si>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</si>
  <si>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</si>
  <si>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</si>
  <si>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</si>
  <si>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</si>
  <si>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</si>
  <si>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23062</t>
  </si>
  <si>
    <t>OVERIJSE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</si>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</sst>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656A4038-E413-4798-9F2B-A10D13AFB29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242086.87723076463</c:v>
                </c:pt>
                <c:pt idx="1">
                  <c:v>75998.274073373905</c:v>
                </c:pt>
                <c:pt idx="2">
                  <c:v>1204.9069999999999</c:v>
                </c:pt>
                <c:pt idx="3">
                  <c:v>3125.1366993624492</c:v>
                </c:pt>
                <c:pt idx="4">
                  <c:v>5620.9328673703913</c:v>
                </c:pt>
                <c:pt idx="5">
                  <c:v>293996.54387694894</c:v>
                </c:pt>
                <c:pt idx="6">
                  <c:v>3959.5080148141492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242086.87723076463</c:v>
                </c:pt>
                <c:pt idx="1">
                  <c:v>75998.274073373905</c:v>
                </c:pt>
                <c:pt idx="2">
                  <c:v>1204.9069999999999</c:v>
                </c:pt>
                <c:pt idx="3">
                  <c:v>3125.1366993624492</c:v>
                </c:pt>
                <c:pt idx="4">
                  <c:v>5620.9328673703913</c:v>
                </c:pt>
                <c:pt idx="5">
                  <c:v>293996.54387694894</c:v>
                </c:pt>
                <c:pt idx="6">
                  <c:v>3959.5080148141492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49556.365701639894</c:v>
                </c:pt>
                <c:pt idx="1">
                  <c:v>15466.521822012473</c:v>
                </c:pt>
                <c:pt idx="2">
                  <c:v>247.75562051519191</c:v>
                </c:pt>
                <c:pt idx="3">
                  <c:v>744.12447736582999</c:v>
                </c:pt>
                <c:pt idx="4">
                  <c:v>1179.0774960999643</c:v>
                </c:pt>
                <c:pt idx="5">
                  <c:v>72739.21255035013</c:v>
                </c:pt>
                <c:pt idx="6">
                  <c:v>997.02098519760955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49556.365701639894</c:v>
                </c:pt>
                <c:pt idx="1">
                  <c:v>15466.521822012473</c:v>
                </c:pt>
                <c:pt idx="2">
                  <c:v>247.75562051519191</c:v>
                </c:pt>
                <c:pt idx="3">
                  <c:v>744.12447736582999</c:v>
                </c:pt>
                <c:pt idx="4">
                  <c:v>1179.0774960999643</c:v>
                </c:pt>
                <c:pt idx="5">
                  <c:v>72739.21255035013</c:v>
                </c:pt>
                <c:pt idx="6">
                  <c:v>997.02098519760955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23062</v>
      </c>
      <c r="B6" s="384"/>
      <c r="C6" s="385"/>
    </row>
    <row r="7" spans="1:7" s="382" customFormat="1" ht="15.75" customHeight="1">
      <c r="A7" s="386" t="str">
        <f>txtMunicipality</f>
        <v>OVERIJSE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27781.063789174201</v>
      </c>
      <c r="D10" s="681">
        <f ca="1">tertiair!C16</f>
        <v>0</v>
      </c>
      <c r="E10" s="681">
        <f ca="1">tertiair!D16</f>
        <v>40384.012415430807</v>
      </c>
      <c r="F10" s="681">
        <f>tertiair!E16</f>
        <v>143.30515701219522</v>
      </c>
      <c r="G10" s="681">
        <f ca="1">tertiair!F16</f>
        <v>6785.5971891628005</v>
      </c>
      <c r="H10" s="681">
        <f>tertiair!G16</f>
        <v>0</v>
      </c>
      <c r="I10" s="681">
        <f>tertiair!H16</f>
        <v>0</v>
      </c>
      <c r="J10" s="681">
        <f>tertiair!I16</f>
        <v>0</v>
      </c>
      <c r="K10" s="681">
        <f>tertiair!J16</f>
        <v>5.3490079634701961E-2</v>
      </c>
      <c r="L10" s="681">
        <f>tertiair!K16</f>
        <v>0</v>
      </c>
      <c r="M10" s="681">
        <f ca="1">tertiair!L16</f>
        <v>0</v>
      </c>
      <c r="N10" s="681">
        <f>tertiair!M16</f>
        <v>0</v>
      </c>
      <c r="O10" s="681">
        <f ca="1">tertiair!N16</f>
        <v>2051.7126334419358</v>
      </c>
      <c r="P10" s="681">
        <f>tertiair!O16</f>
        <v>4.8972607658411542</v>
      </c>
      <c r="Q10" s="682">
        <f>tertiair!P16</f>
        <v>52.539138306495019</v>
      </c>
      <c r="R10" s="684">
        <f ca="1">SUM(C10:Q10)</f>
        <v>77203.181073373897</v>
      </c>
      <c r="S10" s="67"/>
    </row>
    <row r="11" spans="1:19" s="443" customFormat="1">
      <c r="A11" s="802" t="s">
        <v>214</v>
      </c>
      <c r="B11" s="807"/>
      <c r="C11" s="681">
        <f>huishoudens!B8</f>
        <v>42806.966443622434</v>
      </c>
      <c r="D11" s="681">
        <f>huishoudens!C8</f>
        <v>0</v>
      </c>
      <c r="E11" s="681">
        <f>huishoudens!D8</f>
        <v>130432.285172908</v>
      </c>
      <c r="F11" s="681">
        <f>huishoudens!E8</f>
        <v>2353.9820375647287</v>
      </c>
      <c r="G11" s="681">
        <f>huishoudens!F8</f>
        <v>51567.755322566401</v>
      </c>
      <c r="H11" s="681">
        <f>huishoudens!G8</f>
        <v>0</v>
      </c>
      <c r="I11" s="681">
        <f>huishoudens!H8</f>
        <v>0</v>
      </c>
      <c r="J11" s="681">
        <f>huishoudens!I8</f>
        <v>0</v>
      </c>
      <c r="K11" s="681">
        <f>huishoudens!J8</f>
        <v>293.89027774250991</v>
      </c>
      <c r="L11" s="681">
        <f>huishoudens!K8</f>
        <v>0</v>
      </c>
      <c r="M11" s="681">
        <f>huishoudens!L8</f>
        <v>0</v>
      </c>
      <c r="N11" s="681">
        <f>huishoudens!M8</f>
        <v>0</v>
      </c>
      <c r="O11" s="681">
        <f>huishoudens!N8</f>
        <v>13214.547516334256</v>
      </c>
      <c r="P11" s="681">
        <f>huishoudens!O8</f>
        <v>585.26767471917435</v>
      </c>
      <c r="Q11" s="682">
        <f>huishoudens!P8</f>
        <v>832.18278530711677</v>
      </c>
      <c r="R11" s="684">
        <f>SUM(C11:Q11)</f>
        <v>242086.87723076463</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2137.4003181823114</v>
      </c>
      <c r="D13" s="681">
        <f>industrie!C18</f>
        <v>0</v>
      </c>
      <c r="E13" s="681">
        <f>industrie!D18</f>
        <v>2629.2670852185915</v>
      </c>
      <c r="F13" s="681">
        <f>industrie!E18</f>
        <v>16.824108998323624</v>
      </c>
      <c r="G13" s="681">
        <f>industrie!F18</f>
        <v>764.89665086675484</v>
      </c>
      <c r="H13" s="681">
        <f>industrie!G18</f>
        <v>0</v>
      </c>
      <c r="I13" s="681">
        <f>industrie!H18</f>
        <v>0</v>
      </c>
      <c r="J13" s="681">
        <f>industrie!I18</f>
        <v>0</v>
      </c>
      <c r="K13" s="681">
        <f>industrie!J18</f>
        <v>1.1924411695082422</v>
      </c>
      <c r="L13" s="681">
        <f>industrie!K18</f>
        <v>0</v>
      </c>
      <c r="M13" s="681">
        <f>industrie!L18</f>
        <v>0</v>
      </c>
      <c r="N13" s="681">
        <f>industrie!M18</f>
        <v>0</v>
      </c>
      <c r="O13" s="681">
        <f>industrie!N18</f>
        <v>71.352262934901859</v>
      </c>
      <c r="P13" s="681">
        <f>industrie!O18</f>
        <v>0</v>
      </c>
      <c r="Q13" s="682">
        <f>industrie!P18</f>
        <v>0</v>
      </c>
      <c r="R13" s="684">
        <f>SUM(C13:Q13)</f>
        <v>5620.9328673703913</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72725.430550978941</v>
      </c>
      <c r="D16" s="717">
        <f t="shared" ref="D16:R16" ca="1" si="0">SUM(D9:D15)</f>
        <v>0</v>
      </c>
      <c r="E16" s="717">
        <f t="shared" ca="1" si="0"/>
        <v>173445.56467355741</v>
      </c>
      <c r="F16" s="717">
        <f t="shared" si="0"/>
        <v>2514.1113035752473</v>
      </c>
      <c r="G16" s="717">
        <f t="shared" ca="1" si="0"/>
        <v>59118.249162595959</v>
      </c>
      <c r="H16" s="717">
        <f t="shared" si="0"/>
        <v>0</v>
      </c>
      <c r="I16" s="717">
        <f t="shared" si="0"/>
        <v>0</v>
      </c>
      <c r="J16" s="717">
        <f t="shared" si="0"/>
        <v>0</v>
      </c>
      <c r="K16" s="717">
        <f t="shared" si="0"/>
        <v>295.13620899165284</v>
      </c>
      <c r="L16" s="717">
        <f t="shared" si="0"/>
        <v>0</v>
      </c>
      <c r="M16" s="717">
        <f t="shared" ca="1" si="0"/>
        <v>0</v>
      </c>
      <c r="N16" s="717">
        <f t="shared" si="0"/>
        <v>0</v>
      </c>
      <c r="O16" s="717">
        <f t="shared" ca="1" si="0"/>
        <v>15337.612412711094</v>
      </c>
      <c r="P16" s="717">
        <f t="shared" si="0"/>
        <v>590.16493548501546</v>
      </c>
      <c r="Q16" s="717">
        <f t="shared" si="0"/>
        <v>884.72192361361181</v>
      </c>
      <c r="R16" s="717">
        <f t="shared" ca="1" si="0"/>
        <v>324910.99117150891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58.923398305479971</v>
      </c>
      <c r="D19" s="681">
        <f>transport!C54</f>
        <v>0</v>
      </c>
      <c r="E19" s="681">
        <f>transport!D54</f>
        <v>0</v>
      </c>
      <c r="F19" s="681">
        <f>transport!E54</f>
        <v>0</v>
      </c>
      <c r="G19" s="681">
        <f>transport!F54</f>
        <v>0</v>
      </c>
      <c r="H19" s="681">
        <f>transport!G54</f>
        <v>3688.7828718322485</v>
      </c>
      <c r="I19" s="681">
        <f>transport!H54</f>
        <v>0</v>
      </c>
      <c r="J19" s="681">
        <f>transport!I54</f>
        <v>0</v>
      </c>
      <c r="K19" s="681">
        <f>transport!J54</f>
        <v>0</v>
      </c>
      <c r="L19" s="681">
        <f>transport!K54</f>
        <v>0</v>
      </c>
      <c r="M19" s="681">
        <f>transport!L54</f>
        <v>0</v>
      </c>
      <c r="N19" s="681">
        <f>transport!M54</f>
        <v>211.80174467642072</v>
      </c>
      <c r="O19" s="681">
        <f>transport!N54</f>
        <v>0</v>
      </c>
      <c r="P19" s="681">
        <f>transport!O54</f>
        <v>0</v>
      </c>
      <c r="Q19" s="682">
        <f>transport!P54</f>
        <v>0</v>
      </c>
      <c r="R19" s="684">
        <f>SUM(C19:Q19)</f>
        <v>3959.5080148141492</v>
      </c>
      <c r="S19" s="67"/>
    </row>
    <row r="20" spans="1:19" s="443" customFormat="1">
      <c r="A20" s="802" t="s">
        <v>296</v>
      </c>
      <c r="B20" s="807"/>
      <c r="C20" s="681">
        <f>transport!B14</f>
        <v>800.62633395249441</v>
      </c>
      <c r="D20" s="681">
        <f>transport!C14</f>
        <v>0</v>
      </c>
      <c r="E20" s="681">
        <f>transport!D14</f>
        <v>1280.4506690086548</v>
      </c>
      <c r="F20" s="681">
        <f>transport!E14</f>
        <v>565.44518358784035</v>
      </c>
      <c r="G20" s="681">
        <f>transport!F14</f>
        <v>0</v>
      </c>
      <c r="H20" s="681">
        <f>transport!G14</f>
        <v>210283.90010120327</v>
      </c>
      <c r="I20" s="681">
        <f>transport!H14</f>
        <v>64424.809592019395</v>
      </c>
      <c r="J20" s="681">
        <f>transport!I14</f>
        <v>0</v>
      </c>
      <c r="K20" s="681">
        <f>transport!J14</f>
        <v>0</v>
      </c>
      <c r="L20" s="681">
        <f>transport!K14</f>
        <v>0</v>
      </c>
      <c r="M20" s="681">
        <f>transport!L14</f>
        <v>0</v>
      </c>
      <c r="N20" s="681">
        <f>transport!M14</f>
        <v>16641.311997177268</v>
      </c>
      <c r="O20" s="681">
        <f>transport!N14</f>
        <v>0</v>
      </c>
      <c r="P20" s="681">
        <f>transport!O14</f>
        <v>0</v>
      </c>
      <c r="Q20" s="682">
        <f>transport!P14</f>
        <v>0</v>
      </c>
      <c r="R20" s="684">
        <f>SUM(C20:Q20)</f>
        <v>293996.54387694894</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859.54973225797437</v>
      </c>
      <c r="D22" s="805">
        <f t="shared" ref="D22:R22" si="1">SUM(D18:D21)</f>
        <v>0</v>
      </c>
      <c r="E22" s="805">
        <f t="shared" si="1"/>
        <v>1280.4506690086548</v>
      </c>
      <c r="F22" s="805">
        <f t="shared" si="1"/>
        <v>565.44518358784035</v>
      </c>
      <c r="G22" s="805">
        <f t="shared" si="1"/>
        <v>0</v>
      </c>
      <c r="H22" s="805">
        <f t="shared" si="1"/>
        <v>213972.68297303552</v>
      </c>
      <c r="I22" s="805">
        <f t="shared" si="1"/>
        <v>64424.809592019395</v>
      </c>
      <c r="J22" s="805">
        <f t="shared" si="1"/>
        <v>0</v>
      </c>
      <c r="K22" s="805">
        <f t="shared" si="1"/>
        <v>0</v>
      </c>
      <c r="L22" s="805">
        <f t="shared" si="1"/>
        <v>0</v>
      </c>
      <c r="M22" s="805">
        <f t="shared" si="1"/>
        <v>0</v>
      </c>
      <c r="N22" s="805">
        <f t="shared" si="1"/>
        <v>16853.113741853689</v>
      </c>
      <c r="O22" s="805">
        <f t="shared" si="1"/>
        <v>0</v>
      </c>
      <c r="P22" s="805">
        <f t="shared" si="1"/>
        <v>0</v>
      </c>
      <c r="Q22" s="805">
        <f t="shared" si="1"/>
        <v>0</v>
      </c>
      <c r="R22" s="805">
        <f t="shared" si="1"/>
        <v>297956.05189176311</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453.66761478597505</v>
      </c>
      <c r="D24" s="681">
        <f>+landbouw!C8</f>
        <v>0</v>
      </c>
      <c r="E24" s="681">
        <f>+landbouw!D8</f>
        <v>1107.0445275590585</v>
      </c>
      <c r="F24" s="681">
        <f>+landbouw!E8</f>
        <v>12.993808233633093</v>
      </c>
      <c r="G24" s="681">
        <f>+landbouw!F8</f>
        <v>1436.077320591985</v>
      </c>
      <c r="H24" s="681">
        <f>+landbouw!G8</f>
        <v>0</v>
      </c>
      <c r="I24" s="681">
        <f>+landbouw!H8</f>
        <v>0</v>
      </c>
      <c r="J24" s="681">
        <f>+landbouw!I8</f>
        <v>0</v>
      </c>
      <c r="K24" s="681">
        <f>+landbouw!J8</f>
        <v>115.35342819179765</v>
      </c>
      <c r="L24" s="681">
        <f>+landbouw!K8</f>
        <v>0</v>
      </c>
      <c r="M24" s="681">
        <f>+landbouw!L8</f>
        <v>0</v>
      </c>
      <c r="N24" s="681">
        <f>+landbouw!M8</f>
        <v>0</v>
      </c>
      <c r="O24" s="681">
        <f>+landbouw!N8</f>
        <v>0</v>
      </c>
      <c r="P24" s="681">
        <f>+landbouw!O8</f>
        <v>0</v>
      </c>
      <c r="Q24" s="682">
        <f>+landbouw!P8</f>
        <v>0</v>
      </c>
      <c r="R24" s="684">
        <f>SUM(C24:Q24)</f>
        <v>3125.1366993624492</v>
      </c>
      <c r="S24" s="67"/>
    </row>
    <row r="25" spans="1:19" s="443" customFormat="1" ht="15" thickBot="1">
      <c r="A25" s="824" t="s">
        <v>690</v>
      </c>
      <c r="B25" s="937"/>
      <c r="C25" s="938">
        <f>IF(Onbekend_ele_kWh="---",0,Onbekend_ele_kWh)/1000+IF(REST_rest_ele_kWh="---",0,REST_rest_ele_kWh)/1000</f>
        <v>1334.32934560437</v>
      </c>
      <c r="D25" s="938"/>
      <c r="E25" s="938">
        <f>IF(onbekend_gas_kWh="---",0,onbekend_gas_kWh)/1000+IF(REST_rest_gas_kWh="---",0,REST_rest_gas_kWh)/1000</f>
        <v>4293.6300963980902</v>
      </c>
      <c r="F25" s="938"/>
      <c r="G25" s="938"/>
      <c r="H25" s="938"/>
      <c r="I25" s="938"/>
      <c r="J25" s="938"/>
      <c r="K25" s="938"/>
      <c r="L25" s="938"/>
      <c r="M25" s="938"/>
      <c r="N25" s="938"/>
      <c r="O25" s="938"/>
      <c r="P25" s="938"/>
      <c r="Q25" s="939"/>
      <c r="R25" s="684">
        <f>SUM(C25:Q25)</f>
        <v>5627.9594420024605</v>
      </c>
      <c r="S25" s="67"/>
    </row>
    <row r="26" spans="1:19" s="443" customFormat="1" ht="15.75" thickBot="1">
      <c r="A26" s="689" t="s">
        <v>691</v>
      </c>
      <c r="B26" s="810"/>
      <c r="C26" s="805">
        <f>SUM(C24:C25)</f>
        <v>1787.9969603903451</v>
      </c>
      <c r="D26" s="805">
        <f t="shared" ref="D26:R26" si="2">SUM(D24:D25)</f>
        <v>0</v>
      </c>
      <c r="E26" s="805">
        <f t="shared" si="2"/>
        <v>5400.6746239571485</v>
      </c>
      <c r="F26" s="805">
        <f t="shared" si="2"/>
        <v>12.993808233633093</v>
      </c>
      <c r="G26" s="805">
        <f t="shared" si="2"/>
        <v>1436.077320591985</v>
      </c>
      <c r="H26" s="805">
        <f t="shared" si="2"/>
        <v>0</v>
      </c>
      <c r="I26" s="805">
        <f t="shared" si="2"/>
        <v>0</v>
      </c>
      <c r="J26" s="805">
        <f t="shared" si="2"/>
        <v>0</v>
      </c>
      <c r="K26" s="805">
        <f t="shared" si="2"/>
        <v>115.35342819179765</v>
      </c>
      <c r="L26" s="805">
        <f t="shared" si="2"/>
        <v>0</v>
      </c>
      <c r="M26" s="805">
        <f t="shared" si="2"/>
        <v>0</v>
      </c>
      <c r="N26" s="805">
        <f t="shared" si="2"/>
        <v>0</v>
      </c>
      <c r="O26" s="805">
        <f t="shared" si="2"/>
        <v>0</v>
      </c>
      <c r="P26" s="805">
        <f t="shared" si="2"/>
        <v>0</v>
      </c>
      <c r="Q26" s="805">
        <f t="shared" si="2"/>
        <v>0</v>
      </c>
      <c r="R26" s="805">
        <f t="shared" si="2"/>
        <v>8753.0961413649093</v>
      </c>
      <c r="S26" s="67"/>
    </row>
    <row r="27" spans="1:19" s="443" customFormat="1" ht="17.25" thickTop="1" thickBot="1">
      <c r="A27" s="690" t="s">
        <v>109</v>
      </c>
      <c r="B27" s="797"/>
      <c r="C27" s="691">
        <f ca="1">C22+C16+C26</f>
        <v>75372.977243627261</v>
      </c>
      <c r="D27" s="691">
        <f t="shared" ref="D27:R27" ca="1" si="3">D22+D16+D26</f>
        <v>0</v>
      </c>
      <c r="E27" s="691">
        <f t="shared" ca="1" si="3"/>
        <v>180126.6899665232</v>
      </c>
      <c r="F27" s="691">
        <f t="shared" si="3"/>
        <v>3092.5502953967207</v>
      </c>
      <c r="G27" s="691">
        <f t="shared" ca="1" si="3"/>
        <v>60554.326483187942</v>
      </c>
      <c r="H27" s="691">
        <f t="shared" si="3"/>
        <v>213972.68297303552</v>
      </c>
      <c r="I27" s="691">
        <f t="shared" si="3"/>
        <v>64424.809592019395</v>
      </c>
      <c r="J27" s="691">
        <f t="shared" si="3"/>
        <v>0</v>
      </c>
      <c r="K27" s="691">
        <f t="shared" si="3"/>
        <v>410.4896371834505</v>
      </c>
      <c r="L27" s="691">
        <f t="shared" si="3"/>
        <v>0</v>
      </c>
      <c r="M27" s="691">
        <f t="shared" ca="1" si="3"/>
        <v>0</v>
      </c>
      <c r="N27" s="691">
        <f t="shared" si="3"/>
        <v>16853.113741853689</v>
      </c>
      <c r="O27" s="691">
        <f t="shared" ca="1" si="3"/>
        <v>15337.612412711094</v>
      </c>
      <c r="P27" s="691">
        <f t="shared" si="3"/>
        <v>590.16493548501546</v>
      </c>
      <c r="Q27" s="691">
        <f t="shared" si="3"/>
        <v>884.72192361361181</v>
      </c>
      <c r="R27" s="691">
        <f t="shared" ca="1" si="3"/>
        <v>631620.13920463691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5712.4032789742141</v>
      </c>
      <c r="D40" s="681">
        <f ca="1">tertiair!C20</f>
        <v>0</v>
      </c>
      <c r="E40" s="681">
        <f ca="1">tertiair!D20</f>
        <v>8157.5705079170239</v>
      </c>
      <c r="F40" s="681">
        <f>tertiair!E20</f>
        <v>32.530270641768318</v>
      </c>
      <c r="G40" s="681">
        <f ca="1">tertiair!F20</f>
        <v>1811.7544495064678</v>
      </c>
      <c r="H40" s="681">
        <f>tertiair!G20</f>
        <v>0</v>
      </c>
      <c r="I40" s="681">
        <f>tertiair!H20</f>
        <v>0</v>
      </c>
      <c r="J40" s="681">
        <f>tertiair!I20</f>
        <v>0</v>
      </c>
      <c r="K40" s="681">
        <f>tertiair!J20</f>
        <v>1.8935488190684493E-2</v>
      </c>
      <c r="L40" s="681">
        <f>tertiair!K20</f>
        <v>0</v>
      </c>
      <c r="M40" s="681">
        <f ca="1">tertiair!L20</f>
        <v>0</v>
      </c>
      <c r="N40" s="681">
        <f>tertiair!M20</f>
        <v>0</v>
      </c>
      <c r="O40" s="681">
        <f ca="1">tertiair!N20</f>
        <v>0</v>
      </c>
      <c r="P40" s="681">
        <f>tertiair!O20</f>
        <v>0</v>
      </c>
      <c r="Q40" s="764">
        <f>tertiair!P20</f>
        <v>0</v>
      </c>
      <c r="R40" s="843">
        <f t="shared" ca="1" si="4"/>
        <v>15714.277442527666</v>
      </c>
    </row>
    <row r="41" spans="1:18">
      <c r="A41" s="815" t="s">
        <v>214</v>
      </c>
      <c r="B41" s="822"/>
      <c r="C41" s="681">
        <f ca="1">huishoudens!B12</f>
        <v>8802.062344739199</v>
      </c>
      <c r="D41" s="681">
        <f ca="1">huishoudens!C12</f>
        <v>0</v>
      </c>
      <c r="E41" s="681">
        <f>huishoudens!D12</f>
        <v>26347.321604927416</v>
      </c>
      <c r="F41" s="681">
        <f>huishoudens!E12</f>
        <v>534.35392252719339</v>
      </c>
      <c r="G41" s="681">
        <f>huishoudens!F12</f>
        <v>13768.59067112523</v>
      </c>
      <c r="H41" s="681">
        <f>huishoudens!G12</f>
        <v>0</v>
      </c>
      <c r="I41" s="681">
        <f>huishoudens!H12</f>
        <v>0</v>
      </c>
      <c r="J41" s="681">
        <f>huishoudens!I12</f>
        <v>0</v>
      </c>
      <c r="K41" s="681">
        <f>huishoudens!J12</f>
        <v>104.0371583208485</v>
      </c>
      <c r="L41" s="681">
        <f>huishoudens!K12</f>
        <v>0</v>
      </c>
      <c r="M41" s="681">
        <f>huishoudens!L12</f>
        <v>0</v>
      </c>
      <c r="N41" s="681">
        <f>huishoudens!M12</f>
        <v>0</v>
      </c>
      <c r="O41" s="681">
        <f>huishoudens!N12</f>
        <v>0</v>
      </c>
      <c r="P41" s="681">
        <f>huishoudens!O12</f>
        <v>0</v>
      </c>
      <c r="Q41" s="764">
        <f>huishoudens!P12</f>
        <v>0</v>
      </c>
      <c r="R41" s="843">
        <f t="shared" ca="1" si="4"/>
        <v>49556.365701639894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439.49694218775988</v>
      </c>
      <c r="D43" s="681">
        <f ca="1">industrie!C22</f>
        <v>0</v>
      </c>
      <c r="E43" s="681">
        <f>industrie!D22</f>
        <v>531.11195121415551</v>
      </c>
      <c r="F43" s="681">
        <f>industrie!E22</f>
        <v>3.8190727426194626</v>
      </c>
      <c r="G43" s="681">
        <f>industrie!F22</f>
        <v>204.22740578142356</v>
      </c>
      <c r="H43" s="681">
        <f>industrie!G22</f>
        <v>0</v>
      </c>
      <c r="I43" s="681">
        <f>industrie!H22</f>
        <v>0</v>
      </c>
      <c r="J43" s="681">
        <f>industrie!I22</f>
        <v>0</v>
      </c>
      <c r="K43" s="681">
        <f>industrie!J22</f>
        <v>0.42212417400591773</v>
      </c>
      <c r="L43" s="681">
        <f>industrie!K22</f>
        <v>0</v>
      </c>
      <c r="M43" s="681">
        <f>industrie!L22</f>
        <v>0</v>
      </c>
      <c r="N43" s="681">
        <f>industrie!M22</f>
        <v>0</v>
      </c>
      <c r="O43" s="681">
        <f>industrie!N22</f>
        <v>0</v>
      </c>
      <c r="P43" s="681">
        <f>industrie!O22</f>
        <v>0</v>
      </c>
      <c r="Q43" s="764">
        <f>industrie!P22</f>
        <v>0</v>
      </c>
      <c r="R43" s="842">
        <f t="shared" ca="1" si="4"/>
        <v>1179.0774960999643</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14953.962565901173</v>
      </c>
      <c r="D46" s="717">
        <f t="shared" ref="D46:Q46" ca="1" si="5">SUM(D39:D45)</f>
        <v>0</v>
      </c>
      <c r="E46" s="717">
        <f t="shared" ca="1" si="5"/>
        <v>35036.004064058594</v>
      </c>
      <c r="F46" s="717">
        <f t="shared" si="5"/>
        <v>570.70326591158118</v>
      </c>
      <c r="G46" s="717">
        <f t="shared" ca="1" si="5"/>
        <v>15784.572526413122</v>
      </c>
      <c r="H46" s="717">
        <f t="shared" si="5"/>
        <v>0</v>
      </c>
      <c r="I46" s="717">
        <f t="shared" si="5"/>
        <v>0</v>
      </c>
      <c r="J46" s="717">
        <f t="shared" si="5"/>
        <v>0</v>
      </c>
      <c r="K46" s="717">
        <f t="shared" si="5"/>
        <v>104.4782179830451</v>
      </c>
      <c r="L46" s="717">
        <f t="shared" si="5"/>
        <v>0</v>
      </c>
      <c r="M46" s="717">
        <f t="shared" ca="1" si="5"/>
        <v>0</v>
      </c>
      <c r="N46" s="717">
        <f t="shared" si="5"/>
        <v>0</v>
      </c>
      <c r="O46" s="717">
        <f t="shared" ca="1" si="5"/>
        <v>0</v>
      </c>
      <c r="P46" s="717">
        <f t="shared" si="5"/>
        <v>0</v>
      </c>
      <c r="Q46" s="717">
        <f t="shared" si="5"/>
        <v>0</v>
      </c>
      <c r="R46" s="717">
        <f ca="1">SUM(R39:R45)</f>
        <v>66449.720640267522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12.115958418399094</v>
      </c>
      <c r="D49" s="681">
        <f ca="1">transport!C58</f>
        <v>0</v>
      </c>
      <c r="E49" s="681">
        <f>transport!D58</f>
        <v>0</v>
      </c>
      <c r="F49" s="681">
        <f>transport!E58</f>
        <v>0</v>
      </c>
      <c r="G49" s="681">
        <f>transport!F58</f>
        <v>0</v>
      </c>
      <c r="H49" s="681">
        <f>transport!G58</f>
        <v>984.9050267792104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997.02098519760955</v>
      </c>
    </row>
    <row r="50" spans="1:18">
      <c r="A50" s="818" t="s">
        <v>296</v>
      </c>
      <c r="B50" s="828"/>
      <c r="C50" s="687">
        <f ca="1">transport!B18</f>
        <v>164.62654310183567</v>
      </c>
      <c r="D50" s="687">
        <f>transport!C18</f>
        <v>0</v>
      </c>
      <c r="E50" s="687">
        <f>transport!D18</f>
        <v>258.65103513974827</v>
      </c>
      <c r="F50" s="687">
        <f>transport!E18</f>
        <v>128.35605667443977</v>
      </c>
      <c r="G50" s="687">
        <f>transport!F18</f>
        <v>0</v>
      </c>
      <c r="H50" s="687">
        <f>transport!G18</f>
        <v>56145.801327021276</v>
      </c>
      <c r="I50" s="687">
        <f>transport!H18</f>
        <v>16041.77758841283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72739.21255035013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176.74250152023475</v>
      </c>
      <c r="D52" s="717">
        <f t="shared" ref="D52:Q52" ca="1" si="6">SUM(D48:D51)</f>
        <v>0</v>
      </c>
      <c r="E52" s="717">
        <f t="shared" si="6"/>
        <v>258.65103513974827</v>
      </c>
      <c r="F52" s="717">
        <f t="shared" si="6"/>
        <v>128.35605667443977</v>
      </c>
      <c r="G52" s="717">
        <f t="shared" si="6"/>
        <v>0</v>
      </c>
      <c r="H52" s="717">
        <f t="shared" si="6"/>
        <v>57130.706353800488</v>
      </c>
      <c r="I52" s="717">
        <f t="shared" si="6"/>
        <v>16041.77758841283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73736.233535547741</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93.284130151909068</v>
      </c>
      <c r="D54" s="687">
        <f ca="1">+landbouw!C12</f>
        <v>0</v>
      </c>
      <c r="E54" s="687">
        <f>+landbouw!D12</f>
        <v>223.62299456692983</v>
      </c>
      <c r="F54" s="687">
        <f>+landbouw!E12</f>
        <v>2.9495944690347122</v>
      </c>
      <c r="G54" s="687">
        <f>+landbouw!F12</f>
        <v>383.43264459805999</v>
      </c>
      <c r="H54" s="687">
        <f>+landbouw!G12</f>
        <v>0</v>
      </c>
      <c r="I54" s="687">
        <f>+landbouw!H12</f>
        <v>0</v>
      </c>
      <c r="J54" s="687">
        <f>+landbouw!I12</f>
        <v>0</v>
      </c>
      <c r="K54" s="687">
        <f>+landbouw!J12</f>
        <v>40.835113579896365</v>
      </c>
      <c r="L54" s="687">
        <f>+landbouw!K12</f>
        <v>0</v>
      </c>
      <c r="M54" s="687">
        <f>+landbouw!L12</f>
        <v>0</v>
      </c>
      <c r="N54" s="687">
        <f>+landbouw!M12</f>
        <v>0</v>
      </c>
      <c r="O54" s="687">
        <f>+landbouw!N12</f>
        <v>0</v>
      </c>
      <c r="P54" s="687">
        <f>+landbouw!O12</f>
        <v>0</v>
      </c>
      <c r="Q54" s="688">
        <f>+landbouw!P12</f>
        <v>0</v>
      </c>
      <c r="R54" s="716">
        <f ca="1">SUM(C54:Q54)</f>
        <v>744.12447736582999</v>
      </c>
    </row>
    <row r="55" spans="1:18" ht="15" thickBot="1">
      <c r="A55" s="818" t="s">
        <v>690</v>
      </c>
      <c r="B55" s="828"/>
      <c r="C55" s="687">
        <f ca="1">C25*'EF ele_warmte'!B12</f>
        <v>274.36772712901546</v>
      </c>
      <c r="D55" s="687"/>
      <c r="E55" s="687">
        <f>E25*EF_CO2_aardgas</f>
        <v>867.31327947241425</v>
      </c>
      <c r="F55" s="687"/>
      <c r="G55" s="687"/>
      <c r="H55" s="687"/>
      <c r="I55" s="687"/>
      <c r="J55" s="687"/>
      <c r="K55" s="687"/>
      <c r="L55" s="687"/>
      <c r="M55" s="687"/>
      <c r="N55" s="687"/>
      <c r="O55" s="687"/>
      <c r="P55" s="687"/>
      <c r="Q55" s="688"/>
      <c r="R55" s="716">
        <f ca="1">SUM(C55:Q55)</f>
        <v>1141.6810066014298</v>
      </c>
    </row>
    <row r="56" spans="1:18" ht="15.75" thickBot="1">
      <c r="A56" s="816" t="s">
        <v>691</v>
      </c>
      <c r="B56" s="829"/>
      <c r="C56" s="717">
        <f ca="1">SUM(C54:C55)</f>
        <v>367.65185728092456</v>
      </c>
      <c r="D56" s="717">
        <f t="shared" ref="D56:Q56" ca="1" si="7">SUM(D54:D55)</f>
        <v>0</v>
      </c>
      <c r="E56" s="717">
        <f t="shared" si="7"/>
        <v>1090.936274039344</v>
      </c>
      <c r="F56" s="717">
        <f t="shared" si="7"/>
        <v>2.9495944690347122</v>
      </c>
      <c r="G56" s="717">
        <f t="shared" si="7"/>
        <v>383.43264459805999</v>
      </c>
      <c r="H56" s="717">
        <f t="shared" si="7"/>
        <v>0</v>
      </c>
      <c r="I56" s="717">
        <f t="shared" si="7"/>
        <v>0</v>
      </c>
      <c r="J56" s="717">
        <f t="shared" si="7"/>
        <v>0</v>
      </c>
      <c r="K56" s="717">
        <f t="shared" si="7"/>
        <v>40.835113579896365</v>
      </c>
      <c r="L56" s="717">
        <f t="shared" si="7"/>
        <v>0</v>
      </c>
      <c r="M56" s="717">
        <f t="shared" si="7"/>
        <v>0</v>
      </c>
      <c r="N56" s="717">
        <f t="shared" si="7"/>
        <v>0</v>
      </c>
      <c r="O56" s="717">
        <f t="shared" si="7"/>
        <v>0</v>
      </c>
      <c r="P56" s="717">
        <f t="shared" si="7"/>
        <v>0</v>
      </c>
      <c r="Q56" s="718">
        <f t="shared" si="7"/>
        <v>0</v>
      </c>
      <c r="R56" s="719">
        <f ca="1">SUM(R54:R55)</f>
        <v>1885.8054839672598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15498.356924702333</v>
      </c>
      <c r="D61" s="725">
        <f t="shared" ref="D61:Q61" ca="1" si="8">D46+D52+D56</f>
        <v>0</v>
      </c>
      <c r="E61" s="725">
        <f t="shared" ca="1" si="8"/>
        <v>36385.591373237679</v>
      </c>
      <c r="F61" s="725">
        <f t="shared" si="8"/>
        <v>702.00891705505569</v>
      </c>
      <c r="G61" s="725">
        <f t="shared" ca="1" si="8"/>
        <v>16168.005171011182</v>
      </c>
      <c r="H61" s="725">
        <f t="shared" si="8"/>
        <v>57130.706353800488</v>
      </c>
      <c r="I61" s="725">
        <f t="shared" si="8"/>
        <v>16041.77758841283</v>
      </c>
      <c r="J61" s="725">
        <f t="shared" si="8"/>
        <v>0</v>
      </c>
      <c r="K61" s="725">
        <f t="shared" si="8"/>
        <v>145.31333156294147</v>
      </c>
      <c r="L61" s="725">
        <f t="shared" si="8"/>
        <v>0</v>
      </c>
      <c r="M61" s="725">
        <f t="shared" ca="1" si="8"/>
        <v>0</v>
      </c>
      <c r="N61" s="725">
        <f t="shared" si="8"/>
        <v>0</v>
      </c>
      <c r="O61" s="725">
        <f t="shared" ca="1" si="8"/>
        <v>0</v>
      </c>
      <c r="P61" s="725">
        <f t="shared" si="8"/>
        <v>0</v>
      </c>
      <c r="Q61" s="725">
        <f t="shared" si="8"/>
        <v>0</v>
      </c>
      <c r="R61" s="725">
        <f ca="1">R46+R52+R56</f>
        <v>142071.75965978255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0.20562219367568779</v>
      </c>
      <c r="D63" s="771">
        <f t="shared" ca="1" si="9"/>
        <v>0</v>
      </c>
      <c r="E63" s="963">
        <f t="shared" ca="1" si="9"/>
        <v>0.20199999999999996</v>
      </c>
      <c r="F63" s="771">
        <f t="shared" si="9"/>
        <v>0.22700000000000004</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11.408045960061447</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5233.2573211860663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5244.6653671461281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42806.966443622434</v>
      </c>
      <c r="C4" s="447">
        <f>huishoudens!C8</f>
        <v>0</v>
      </c>
      <c r="D4" s="447">
        <f>huishoudens!D8</f>
        <v>130432.285172908</v>
      </c>
      <c r="E4" s="447">
        <f>huishoudens!E8</f>
        <v>2353.9820375647287</v>
      </c>
      <c r="F4" s="447">
        <f>huishoudens!F8</f>
        <v>51567.755322566401</v>
      </c>
      <c r="G4" s="447">
        <f>huishoudens!G8</f>
        <v>0</v>
      </c>
      <c r="H4" s="447">
        <f>huishoudens!H8</f>
        <v>0</v>
      </c>
      <c r="I4" s="447">
        <f>huishoudens!I8</f>
        <v>0</v>
      </c>
      <c r="J4" s="447">
        <f>huishoudens!J8</f>
        <v>293.89027774250991</v>
      </c>
      <c r="K4" s="447">
        <f>huishoudens!K8</f>
        <v>0</v>
      </c>
      <c r="L4" s="447">
        <f>huishoudens!L8</f>
        <v>0</v>
      </c>
      <c r="M4" s="447">
        <f>huishoudens!M8</f>
        <v>0</v>
      </c>
      <c r="N4" s="447">
        <f>huishoudens!N8</f>
        <v>13214.547516334256</v>
      </c>
      <c r="O4" s="447">
        <f>huishoudens!O8</f>
        <v>585.26767471917435</v>
      </c>
      <c r="P4" s="448">
        <f>huishoudens!P8</f>
        <v>832.18278530711677</v>
      </c>
      <c r="Q4" s="449">
        <f>SUM(B4:P4)</f>
        <v>242086.87723076463</v>
      </c>
    </row>
    <row r="5" spans="1:17">
      <c r="A5" s="446" t="s">
        <v>149</v>
      </c>
      <c r="B5" s="447">
        <f ca="1">tertiair!B16</f>
        <v>26576.156789174202</v>
      </c>
      <c r="C5" s="447">
        <f ca="1">tertiair!C16</f>
        <v>0</v>
      </c>
      <c r="D5" s="447">
        <f ca="1">tertiair!D16</f>
        <v>40384.012415430807</v>
      </c>
      <c r="E5" s="447">
        <f>tertiair!E16</f>
        <v>143.30515701219522</v>
      </c>
      <c r="F5" s="447">
        <f ca="1">tertiair!F16</f>
        <v>6785.5971891628005</v>
      </c>
      <c r="G5" s="447">
        <f>tertiair!G16</f>
        <v>0</v>
      </c>
      <c r="H5" s="447">
        <f>tertiair!H16</f>
        <v>0</v>
      </c>
      <c r="I5" s="447">
        <f>tertiair!I16</f>
        <v>0</v>
      </c>
      <c r="J5" s="447">
        <f>tertiair!J16</f>
        <v>5.3490079634701961E-2</v>
      </c>
      <c r="K5" s="447">
        <f>tertiair!K16</f>
        <v>0</v>
      </c>
      <c r="L5" s="447">
        <f ca="1">tertiair!L16</f>
        <v>0</v>
      </c>
      <c r="M5" s="447">
        <f>tertiair!M16</f>
        <v>0</v>
      </c>
      <c r="N5" s="447">
        <f ca="1">tertiair!N16</f>
        <v>2051.7126334419358</v>
      </c>
      <c r="O5" s="447">
        <f>tertiair!O16</f>
        <v>4.8972607658411542</v>
      </c>
      <c r="P5" s="448">
        <f>tertiair!P16</f>
        <v>52.539138306495019</v>
      </c>
      <c r="Q5" s="446">
        <f t="shared" ref="Q5:Q14" ca="1" si="0">SUM(B5:P5)</f>
        <v>75998.274073373905</v>
      </c>
    </row>
    <row r="6" spans="1:17">
      <c r="A6" s="446" t="s">
        <v>187</v>
      </c>
      <c r="B6" s="447">
        <f>'openbare verlichting'!B8</f>
        <v>1204.9069999999999</v>
      </c>
      <c r="C6" s="447"/>
      <c r="D6" s="447"/>
      <c r="E6" s="447"/>
      <c r="F6" s="447"/>
      <c r="G6" s="447"/>
      <c r="H6" s="447"/>
      <c r="I6" s="447"/>
      <c r="J6" s="447"/>
      <c r="K6" s="447"/>
      <c r="L6" s="447"/>
      <c r="M6" s="447"/>
      <c r="N6" s="447"/>
      <c r="O6" s="447"/>
      <c r="P6" s="448"/>
      <c r="Q6" s="446">
        <f t="shared" si="0"/>
        <v>1204.9069999999999</v>
      </c>
    </row>
    <row r="7" spans="1:17">
      <c r="A7" s="446" t="s">
        <v>105</v>
      </c>
      <c r="B7" s="447">
        <f>landbouw!B8</f>
        <v>453.66761478597505</v>
      </c>
      <c r="C7" s="447">
        <f>landbouw!C8</f>
        <v>0</v>
      </c>
      <c r="D7" s="447">
        <f>landbouw!D8</f>
        <v>1107.0445275590585</v>
      </c>
      <c r="E7" s="447">
        <f>landbouw!E8</f>
        <v>12.993808233633093</v>
      </c>
      <c r="F7" s="447">
        <f>landbouw!F8</f>
        <v>1436.077320591985</v>
      </c>
      <c r="G7" s="447">
        <f>landbouw!G8</f>
        <v>0</v>
      </c>
      <c r="H7" s="447">
        <f>landbouw!H8</f>
        <v>0</v>
      </c>
      <c r="I7" s="447">
        <f>landbouw!I8</f>
        <v>0</v>
      </c>
      <c r="J7" s="447">
        <f>landbouw!J8</f>
        <v>115.35342819179765</v>
      </c>
      <c r="K7" s="447">
        <f>landbouw!K8</f>
        <v>0</v>
      </c>
      <c r="L7" s="447">
        <f>landbouw!L8</f>
        <v>0</v>
      </c>
      <c r="M7" s="447">
        <f>landbouw!M8</f>
        <v>0</v>
      </c>
      <c r="N7" s="447">
        <f>landbouw!N8</f>
        <v>0</v>
      </c>
      <c r="O7" s="447">
        <f>landbouw!O8</f>
        <v>0</v>
      </c>
      <c r="P7" s="448">
        <f>landbouw!P8</f>
        <v>0</v>
      </c>
      <c r="Q7" s="446">
        <f t="shared" si="0"/>
        <v>3125.1366993624492</v>
      </c>
    </row>
    <row r="8" spans="1:17">
      <c r="A8" s="446" t="s">
        <v>611</v>
      </c>
      <c r="B8" s="447">
        <f>industrie!B18</f>
        <v>2137.4003181823114</v>
      </c>
      <c r="C8" s="447">
        <f>industrie!C18</f>
        <v>0</v>
      </c>
      <c r="D8" s="447">
        <f>industrie!D18</f>
        <v>2629.2670852185915</v>
      </c>
      <c r="E8" s="447">
        <f>industrie!E18</f>
        <v>16.824108998323624</v>
      </c>
      <c r="F8" s="447">
        <f>industrie!F18</f>
        <v>764.89665086675484</v>
      </c>
      <c r="G8" s="447">
        <f>industrie!G18</f>
        <v>0</v>
      </c>
      <c r="H8" s="447">
        <f>industrie!H18</f>
        <v>0</v>
      </c>
      <c r="I8" s="447">
        <f>industrie!I18</f>
        <v>0</v>
      </c>
      <c r="J8" s="447">
        <f>industrie!J18</f>
        <v>1.1924411695082422</v>
      </c>
      <c r="K8" s="447">
        <f>industrie!K18</f>
        <v>0</v>
      </c>
      <c r="L8" s="447">
        <f>industrie!L18</f>
        <v>0</v>
      </c>
      <c r="M8" s="447">
        <f>industrie!M18</f>
        <v>0</v>
      </c>
      <c r="N8" s="447">
        <f>industrie!N18</f>
        <v>71.352262934901859</v>
      </c>
      <c r="O8" s="447">
        <f>industrie!O18</f>
        <v>0</v>
      </c>
      <c r="P8" s="448">
        <f>industrie!P18</f>
        <v>0</v>
      </c>
      <c r="Q8" s="446">
        <f t="shared" si="0"/>
        <v>5620.9328673703913</v>
      </c>
    </row>
    <row r="9" spans="1:17" s="452" customFormat="1">
      <c r="A9" s="450" t="s">
        <v>537</v>
      </c>
      <c r="B9" s="451">
        <f>transport!B14</f>
        <v>800.62633395249441</v>
      </c>
      <c r="C9" s="451">
        <f>transport!C14</f>
        <v>0</v>
      </c>
      <c r="D9" s="451">
        <f>transport!D14</f>
        <v>1280.4506690086548</v>
      </c>
      <c r="E9" s="451">
        <f>transport!E14</f>
        <v>565.44518358784035</v>
      </c>
      <c r="F9" s="451">
        <f>transport!F14</f>
        <v>0</v>
      </c>
      <c r="G9" s="451">
        <f>transport!G14</f>
        <v>210283.90010120327</v>
      </c>
      <c r="H9" s="451">
        <f>transport!H14</f>
        <v>64424.809592019395</v>
      </c>
      <c r="I9" s="451">
        <f>transport!I14</f>
        <v>0</v>
      </c>
      <c r="J9" s="451">
        <f>transport!J14</f>
        <v>0</v>
      </c>
      <c r="K9" s="451">
        <f>transport!K14</f>
        <v>0</v>
      </c>
      <c r="L9" s="451">
        <f>transport!L14</f>
        <v>0</v>
      </c>
      <c r="M9" s="451">
        <f>transport!M14</f>
        <v>16641.311997177268</v>
      </c>
      <c r="N9" s="451">
        <f>transport!N14</f>
        <v>0</v>
      </c>
      <c r="O9" s="451">
        <f>transport!O14</f>
        <v>0</v>
      </c>
      <c r="P9" s="451">
        <f>transport!P14</f>
        <v>0</v>
      </c>
      <c r="Q9" s="450">
        <f>SUM(B9:P9)</f>
        <v>293996.54387694894</v>
      </c>
    </row>
    <row r="10" spans="1:17">
      <c r="A10" s="446" t="s">
        <v>527</v>
      </c>
      <c r="B10" s="447">
        <f>transport!B54</f>
        <v>58.923398305479971</v>
      </c>
      <c r="C10" s="447">
        <f>transport!C54</f>
        <v>0</v>
      </c>
      <c r="D10" s="447">
        <f>transport!D54</f>
        <v>0</v>
      </c>
      <c r="E10" s="447">
        <f>transport!E54</f>
        <v>0</v>
      </c>
      <c r="F10" s="447">
        <f>transport!F54</f>
        <v>0</v>
      </c>
      <c r="G10" s="447">
        <f>transport!G54</f>
        <v>3688.7828718322485</v>
      </c>
      <c r="H10" s="447">
        <f>transport!H54</f>
        <v>0</v>
      </c>
      <c r="I10" s="447">
        <f>transport!I54</f>
        <v>0</v>
      </c>
      <c r="J10" s="447">
        <f>transport!J54</f>
        <v>0</v>
      </c>
      <c r="K10" s="447">
        <f>transport!K54</f>
        <v>0</v>
      </c>
      <c r="L10" s="447">
        <f>transport!L54</f>
        <v>0</v>
      </c>
      <c r="M10" s="447">
        <f>transport!M54</f>
        <v>211.80174467642072</v>
      </c>
      <c r="N10" s="447">
        <f>transport!N54</f>
        <v>0</v>
      </c>
      <c r="O10" s="447">
        <f>transport!O54</f>
        <v>0</v>
      </c>
      <c r="P10" s="448">
        <f>transport!P54</f>
        <v>0</v>
      </c>
      <c r="Q10" s="446">
        <f t="shared" si="0"/>
        <v>3959.5080148141492</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1334.32934560437</v>
      </c>
      <c r="C14" s="454"/>
      <c r="D14" s="454">
        <f>'SEAP template'!E25</f>
        <v>4293.6300963980902</v>
      </c>
      <c r="E14" s="454"/>
      <c r="F14" s="454"/>
      <c r="G14" s="454"/>
      <c r="H14" s="454"/>
      <c r="I14" s="454"/>
      <c r="J14" s="454"/>
      <c r="K14" s="454"/>
      <c r="L14" s="454"/>
      <c r="M14" s="454"/>
      <c r="N14" s="454"/>
      <c r="O14" s="454"/>
      <c r="P14" s="455"/>
      <c r="Q14" s="446">
        <f t="shared" si="0"/>
        <v>5627.9594420024605</v>
      </c>
    </row>
    <row r="15" spans="1:17" s="458" customFormat="1">
      <c r="A15" s="456" t="s">
        <v>531</v>
      </c>
      <c r="B15" s="457">
        <f ca="1">SUM(B4:B14)</f>
        <v>75372.977243627261</v>
      </c>
      <c r="C15" s="457">
        <f t="shared" ref="C15:Q15" ca="1" si="1">SUM(C4:C14)</f>
        <v>0</v>
      </c>
      <c r="D15" s="457">
        <f t="shared" ca="1" si="1"/>
        <v>180126.6899665232</v>
      </c>
      <c r="E15" s="457">
        <f t="shared" si="1"/>
        <v>3092.5502953967207</v>
      </c>
      <c r="F15" s="457">
        <f t="shared" ca="1" si="1"/>
        <v>60554.326483187942</v>
      </c>
      <c r="G15" s="457">
        <f t="shared" si="1"/>
        <v>213972.68297303552</v>
      </c>
      <c r="H15" s="457">
        <f t="shared" si="1"/>
        <v>64424.809592019395</v>
      </c>
      <c r="I15" s="457">
        <f t="shared" si="1"/>
        <v>0</v>
      </c>
      <c r="J15" s="457">
        <f t="shared" si="1"/>
        <v>410.4896371834505</v>
      </c>
      <c r="K15" s="457">
        <f t="shared" si="1"/>
        <v>0</v>
      </c>
      <c r="L15" s="457">
        <f t="shared" ca="1" si="1"/>
        <v>0</v>
      </c>
      <c r="M15" s="457">
        <f t="shared" si="1"/>
        <v>16853.113741853689</v>
      </c>
      <c r="N15" s="457">
        <f t="shared" ca="1" si="1"/>
        <v>15337.612412711094</v>
      </c>
      <c r="O15" s="457">
        <f t="shared" si="1"/>
        <v>590.16493548501546</v>
      </c>
      <c r="P15" s="457">
        <f t="shared" si="1"/>
        <v>884.72192361361181</v>
      </c>
      <c r="Q15" s="457">
        <f t="shared" ca="1" si="1"/>
        <v>631620.1392046368</v>
      </c>
    </row>
    <row r="17" spans="1:17">
      <c r="A17" s="459" t="s">
        <v>532</v>
      </c>
      <c r="B17" s="776">
        <f ca="1">huishoudens!B10</f>
        <v>0.20562219367568776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8802.062344739199</v>
      </c>
      <c r="C22" s="447">
        <f t="shared" ref="C22:C32" ca="1" si="3">C4*$C$17</f>
        <v>0</v>
      </c>
      <c r="D22" s="447">
        <f t="shared" ref="D22:D32" si="4">D4*$D$17</f>
        <v>26347.321604927416</v>
      </c>
      <c r="E22" s="447">
        <f t="shared" ref="E22:E32" si="5">E4*$E$17</f>
        <v>534.35392252719339</v>
      </c>
      <c r="F22" s="447">
        <f t="shared" ref="F22:F32" si="6">F4*$F$17</f>
        <v>13768.59067112523</v>
      </c>
      <c r="G22" s="447">
        <f t="shared" ref="G22:G32" si="7">G4*$G$17</f>
        <v>0</v>
      </c>
      <c r="H22" s="447">
        <f t="shared" ref="H22:H32" si="8">H4*$H$17</f>
        <v>0</v>
      </c>
      <c r="I22" s="447">
        <f t="shared" ref="I22:I32" si="9">I4*$I$17</f>
        <v>0</v>
      </c>
      <c r="J22" s="447">
        <f t="shared" ref="J22:J32" si="10">J4*$J$17</f>
        <v>104.0371583208485</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49556.365701639894</v>
      </c>
    </row>
    <row r="23" spans="1:17">
      <c r="A23" s="446" t="s">
        <v>149</v>
      </c>
      <c r="B23" s="447">
        <f t="shared" ca="1" si="2"/>
        <v>5464.6476584590218</v>
      </c>
      <c r="C23" s="447">
        <f t="shared" ca="1" si="3"/>
        <v>0</v>
      </c>
      <c r="D23" s="447">
        <f t="shared" ca="1" si="4"/>
        <v>8157.5705079170239</v>
      </c>
      <c r="E23" s="447">
        <f t="shared" si="5"/>
        <v>32.530270641768318</v>
      </c>
      <c r="F23" s="447">
        <f t="shared" ca="1" si="6"/>
        <v>1811.7544495064678</v>
      </c>
      <c r="G23" s="447">
        <f t="shared" si="7"/>
        <v>0</v>
      </c>
      <c r="H23" s="447">
        <f t="shared" si="8"/>
        <v>0</v>
      </c>
      <c r="I23" s="447">
        <f t="shared" si="9"/>
        <v>0</v>
      </c>
      <c r="J23" s="447">
        <f t="shared" si="10"/>
        <v>1.8935488190684493E-2</v>
      </c>
      <c r="K23" s="447">
        <f t="shared" si="11"/>
        <v>0</v>
      </c>
      <c r="L23" s="447">
        <f t="shared" ca="1" si="12"/>
        <v>0</v>
      </c>
      <c r="M23" s="447">
        <f t="shared" si="13"/>
        <v>0</v>
      </c>
      <c r="N23" s="447">
        <f t="shared" ca="1" si="14"/>
        <v>0</v>
      </c>
      <c r="O23" s="447">
        <f t="shared" si="15"/>
        <v>0</v>
      </c>
      <c r="P23" s="448">
        <f t="shared" si="16"/>
        <v>0</v>
      </c>
      <c r="Q23" s="446">
        <f t="shared" ref="Q23:Q31" ca="1" si="17">SUM(B23:P23)</f>
        <v>15466.521822012473</v>
      </c>
    </row>
    <row r="24" spans="1:17">
      <c r="A24" s="446" t="s">
        <v>187</v>
      </c>
      <c r="B24" s="447">
        <f t="shared" ca="1" si="2"/>
        <v>247.75562051519191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247.75562051519191</v>
      </c>
    </row>
    <row r="25" spans="1:17">
      <c r="A25" s="446" t="s">
        <v>105</v>
      </c>
      <c r="B25" s="447">
        <f t="shared" ca="1" si="2"/>
        <v>93.284130151909068</v>
      </c>
      <c r="C25" s="447">
        <f t="shared" ca="1" si="3"/>
        <v>0</v>
      </c>
      <c r="D25" s="447">
        <f t="shared" si="4"/>
        <v>223.62299456692983</v>
      </c>
      <c r="E25" s="447">
        <f t="shared" si="5"/>
        <v>2.9495944690347122</v>
      </c>
      <c r="F25" s="447">
        <f t="shared" si="6"/>
        <v>383.43264459805999</v>
      </c>
      <c r="G25" s="447">
        <f t="shared" si="7"/>
        <v>0</v>
      </c>
      <c r="H25" s="447">
        <f t="shared" si="8"/>
        <v>0</v>
      </c>
      <c r="I25" s="447">
        <f t="shared" si="9"/>
        <v>0</v>
      </c>
      <c r="J25" s="447">
        <f t="shared" si="10"/>
        <v>40.835113579896365</v>
      </c>
      <c r="K25" s="447">
        <f t="shared" si="11"/>
        <v>0</v>
      </c>
      <c r="L25" s="447">
        <f t="shared" si="12"/>
        <v>0</v>
      </c>
      <c r="M25" s="447">
        <f t="shared" si="13"/>
        <v>0</v>
      </c>
      <c r="N25" s="447">
        <f t="shared" si="14"/>
        <v>0</v>
      </c>
      <c r="O25" s="447">
        <f t="shared" si="15"/>
        <v>0</v>
      </c>
      <c r="P25" s="448">
        <f t="shared" si="16"/>
        <v>0</v>
      </c>
      <c r="Q25" s="446">
        <f t="shared" ca="1" si="17"/>
        <v>744.12447736582999</v>
      </c>
    </row>
    <row r="26" spans="1:17">
      <c r="A26" s="446" t="s">
        <v>611</v>
      </c>
      <c r="B26" s="447">
        <f t="shared" ca="1" si="2"/>
        <v>439.49694218775988</v>
      </c>
      <c r="C26" s="447">
        <f t="shared" ca="1" si="3"/>
        <v>0</v>
      </c>
      <c r="D26" s="447">
        <f t="shared" si="4"/>
        <v>531.11195121415551</v>
      </c>
      <c r="E26" s="447">
        <f t="shared" si="5"/>
        <v>3.8190727426194626</v>
      </c>
      <c r="F26" s="447">
        <f t="shared" si="6"/>
        <v>204.22740578142356</v>
      </c>
      <c r="G26" s="447">
        <f t="shared" si="7"/>
        <v>0</v>
      </c>
      <c r="H26" s="447">
        <f t="shared" si="8"/>
        <v>0</v>
      </c>
      <c r="I26" s="447">
        <f t="shared" si="9"/>
        <v>0</v>
      </c>
      <c r="J26" s="447">
        <f t="shared" si="10"/>
        <v>0.42212417400591773</v>
      </c>
      <c r="K26" s="447">
        <f t="shared" si="11"/>
        <v>0</v>
      </c>
      <c r="L26" s="447">
        <f t="shared" si="12"/>
        <v>0</v>
      </c>
      <c r="M26" s="447">
        <f t="shared" si="13"/>
        <v>0</v>
      </c>
      <c r="N26" s="447">
        <f t="shared" si="14"/>
        <v>0</v>
      </c>
      <c r="O26" s="447">
        <f t="shared" si="15"/>
        <v>0</v>
      </c>
      <c r="P26" s="448">
        <f t="shared" si="16"/>
        <v>0</v>
      </c>
      <c r="Q26" s="446">
        <f t="shared" ca="1" si="17"/>
        <v>1179.0774960999643</v>
      </c>
    </row>
    <row r="27" spans="1:17" s="452" customFormat="1">
      <c r="A27" s="450" t="s">
        <v>537</v>
      </c>
      <c r="B27" s="770">
        <f t="shared" ca="1" si="2"/>
        <v>164.62654310183567</v>
      </c>
      <c r="C27" s="451">
        <f t="shared" ca="1" si="3"/>
        <v>0</v>
      </c>
      <c r="D27" s="451">
        <f t="shared" si="4"/>
        <v>258.65103513974827</v>
      </c>
      <c r="E27" s="451">
        <f t="shared" si="5"/>
        <v>128.35605667443977</v>
      </c>
      <c r="F27" s="451">
        <f t="shared" si="6"/>
        <v>0</v>
      </c>
      <c r="G27" s="451">
        <f t="shared" si="7"/>
        <v>56145.801327021276</v>
      </c>
      <c r="H27" s="451">
        <f t="shared" si="8"/>
        <v>16041.77758841283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72739.21255035013</v>
      </c>
    </row>
    <row r="28" spans="1:17" ht="16.5" customHeight="1">
      <c r="A28" s="446" t="s">
        <v>527</v>
      </c>
      <c r="B28" s="447">
        <f t="shared" ca="1" si="2"/>
        <v>12.115958418399094</v>
      </c>
      <c r="C28" s="447">
        <f t="shared" ca="1" si="3"/>
        <v>0</v>
      </c>
      <c r="D28" s="447">
        <f t="shared" si="4"/>
        <v>0</v>
      </c>
      <c r="E28" s="447">
        <f t="shared" si="5"/>
        <v>0</v>
      </c>
      <c r="F28" s="447">
        <f t="shared" si="6"/>
        <v>0</v>
      </c>
      <c r="G28" s="447">
        <f t="shared" si="7"/>
        <v>984.9050267792104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997.02098519760955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274.36772712901546</v>
      </c>
      <c r="C32" s="447">
        <f t="shared" ca="1" si="3"/>
        <v>0</v>
      </c>
      <c r="D32" s="447">
        <f t="shared" si="4"/>
        <v>867.31327947241425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1141.6810066014298</v>
      </c>
    </row>
    <row r="33" spans="1:17" s="458" customFormat="1">
      <c r="A33" s="456" t="s">
        <v>531</v>
      </c>
      <c r="B33" s="457">
        <f ca="1">SUM(B22:B32)</f>
        <v>15498.356924702333</v>
      </c>
      <c r="C33" s="457">
        <f t="shared" ref="C33:Q33" ca="1" si="19">SUM(C22:C32)</f>
        <v>0</v>
      </c>
      <c r="D33" s="457">
        <f t="shared" ca="1" si="19"/>
        <v>36385.591373237687</v>
      </c>
      <c r="E33" s="457">
        <f t="shared" si="19"/>
        <v>702.00891705505569</v>
      </c>
      <c r="F33" s="457">
        <f t="shared" ca="1" si="19"/>
        <v>16168.005171011182</v>
      </c>
      <c r="G33" s="457">
        <f t="shared" si="19"/>
        <v>57130.706353800488</v>
      </c>
      <c r="H33" s="457">
        <f t="shared" si="19"/>
        <v>16041.77758841283</v>
      </c>
      <c r="I33" s="457">
        <f t="shared" si="19"/>
        <v>0</v>
      </c>
      <c r="J33" s="457">
        <f t="shared" si="19"/>
        <v>145.31333156294147</v>
      </c>
      <c r="K33" s="457">
        <f t="shared" si="19"/>
        <v>0</v>
      </c>
      <c r="L33" s="457">
        <f t="shared" ca="1" si="19"/>
        <v>0</v>
      </c>
      <c r="M33" s="457">
        <f t="shared" si="19"/>
        <v>0</v>
      </c>
      <c r="N33" s="457">
        <f t="shared" ca="1" si="19"/>
        <v>0</v>
      </c>
      <c r="O33" s="457">
        <f t="shared" si="19"/>
        <v>0</v>
      </c>
      <c r="P33" s="457">
        <f t="shared" si="19"/>
        <v>0</v>
      </c>
      <c r="Q33" s="457">
        <f t="shared" ca="1" si="19"/>
        <v>142071.75965978252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11.408045960061447</v>
      </c>
      <c r="C5" s="1014"/>
      <c r="D5" s="1014"/>
      <c r="E5" s="1014"/>
      <c r="F5" s="1014"/>
      <c r="G5" s="1014"/>
      <c r="H5" s="1014"/>
      <c r="I5" s="1014"/>
      <c r="J5" s="1014"/>
      <c r="K5" s="1014"/>
      <c r="L5" s="1014"/>
      <c r="M5" s="1014"/>
      <c r="N5" s="1014"/>
      <c r="O5" s="1014"/>
      <c r="P5" s="1015">
        <f>'SEAP template'!Q73</f>
        <v>0</v>
      </c>
    </row>
    <row r="6" spans="1:16">
      <c r="A6" s="1019" t="s">
        <v>240</v>
      </c>
      <c r="B6" s="1014">
        <f>'SEAP template'!B74</f>
        <v>5233.2573211860663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5244.6653671461281</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0.20562219367568776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0.20562219367568776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0.20562219367568776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0.20562219367568776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10008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1560.07</v>
      </c>
      <c r="C14" s="326"/>
      <c r="D14" s="326"/>
      <c r="E14" s="326"/>
      <c r="F14" s="326"/>
    </row>
    <row r="15" spans="1:6">
      <c r="A15" s="1310" t="s">
        <v>177</v>
      </c>
      <c r="B15" s="1311">
        <v>1</v>
      </c>
      <c r="C15" s="326"/>
      <c r="D15" s="326"/>
      <c r="E15" s="326"/>
      <c r="F15" s="326"/>
    </row>
    <row r="16" spans="1:6">
      <c r="A16" s="1310" t="s">
        <v>6</v>
      </c>
      <c r="B16" s="1311">
        <v>91</v>
      </c>
      <c r="C16" s="326"/>
      <c r="D16" s="326"/>
      <c r="E16" s="326"/>
      <c r="F16" s="326"/>
    </row>
    <row r="17" spans="1:6">
      <c r="A17" s="1310" t="s">
        <v>7</v>
      </c>
      <c r="B17" s="1311">
        <v>58</v>
      </c>
      <c r="C17" s="326"/>
      <c r="D17" s="326"/>
      <c r="E17" s="326"/>
      <c r="F17" s="326"/>
    </row>
    <row r="18" spans="1:6">
      <c r="A18" s="1310" t="s">
        <v>8</v>
      </c>
      <c r="B18" s="1311">
        <v>145</v>
      </c>
      <c r="C18" s="326"/>
      <c r="D18" s="326"/>
      <c r="E18" s="326"/>
      <c r="F18" s="326"/>
    </row>
    <row r="19" spans="1:6">
      <c r="A19" s="1310" t="s">
        <v>9</v>
      </c>
      <c r="B19" s="1311">
        <v>254</v>
      </c>
      <c r="C19" s="326"/>
      <c r="D19" s="326"/>
      <c r="E19" s="326"/>
      <c r="F19" s="326"/>
    </row>
    <row r="20" spans="1:6">
      <c r="A20" s="1310" t="s">
        <v>10</v>
      </c>
      <c r="B20" s="1311">
        <v>65</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231</v>
      </c>
      <c r="C26" s="326"/>
      <c r="D26" s="326"/>
      <c r="E26" s="326"/>
      <c r="F26" s="326"/>
    </row>
    <row r="27" spans="1:6">
      <c r="A27" s="1310" t="s">
        <v>17</v>
      </c>
      <c r="B27" s="1311">
        <v>1</v>
      </c>
      <c r="C27" s="326"/>
      <c r="D27" s="326"/>
      <c r="E27" s="326"/>
      <c r="F27" s="326"/>
    </row>
    <row r="28" spans="1:6">
      <c r="A28" s="1310" t="s">
        <v>18</v>
      </c>
      <c r="B28" s="1312">
        <v>0</v>
      </c>
      <c r="C28" s="326"/>
      <c r="D28" s="326"/>
      <c r="E28" s="326"/>
      <c r="F28" s="326"/>
    </row>
    <row r="29" spans="1:6">
      <c r="A29" s="1310" t="s">
        <v>678</v>
      </c>
      <c r="B29" s="1312">
        <v>163</v>
      </c>
      <c r="C29" s="326"/>
      <c r="D29" s="326"/>
      <c r="E29" s="326"/>
      <c r="F29" s="326"/>
    </row>
    <row r="30" spans="1:6">
      <c r="A30" s="1305" t="s">
        <v>679</v>
      </c>
      <c r="B30" s="1313">
        <v>34</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3</v>
      </c>
      <c r="F35" s="1311">
        <v>20241.676955704599</v>
      </c>
    </row>
    <row r="36" spans="1:6">
      <c r="A36" s="1310" t="s">
        <v>24</v>
      </c>
      <c r="B36" s="1310" t="s">
        <v>26</v>
      </c>
      <c r="C36" s="1311">
        <v>0</v>
      </c>
      <c r="D36" s="1311">
        <v>0</v>
      </c>
      <c r="E36" s="1311">
        <v>10</v>
      </c>
      <c r="F36" s="1311">
        <v>39810.1878540424</v>
      </c>
    </row>
    <row r="37" spans="1:6">
      <c r="A37" s="1310" t="s">
        <v>24</v>
      </c>
      <c r="B37" s="1310" t="s">
        <v>27</v>
      </c>
      <c r="C37" s="1311">
        <v>0</v>
      </c>
      <c r="D37" s="1311">
        <v>0</v>
      </c>
      <c r="E37" s="1311">
        <v>0</v>
      </c>
      <c r="F37" s="1311">
        <v>0</v>
      </c>
    </row>
    <row r="38" spans="1:6">
      <c r="A38" s="1310" t="s">
        <v>24</v>
      </c>
      <c r="B38" s="1310" t="s">
        <v>28</v>
      </c>
      <c r="C38" s="1311">
        <v>2</v>
      </c>
      <c r="D38" s="1311">
        <v>43732.665535527602</v>
      </c>
      <c r="E38" s="1311">
        <v>1</v>
      </c>
      <c r="F38" s="1311">
        <v>51702</v>
      </c>
    </row>
    <row r="39" spans="1:6">
      <c r="A39" s="1310" t="s">
        <v>29</v>
      </c>
      <c r="B39" s="1310" t="s">
        <v>30</v>
      </c>
      <c r="C39" s="1311">
        <v>6548</v>
      </c>
      <c r="D39" s="1311">
        <v>144443283.69092801</v>
      </c>
      <c r="E39" s="1311">
        <v>9799</v>
      </c>
      <c r="F39" s="1311">
        <v>38151651.363975398</v>
      </c>
    </row>
    <row r="40" spans="1:6">
      <c r="A40" s="1310" t="s">
        <v>29</v>
      </c>
      <c r="B40" s="1310" t="s">
        <v>28</v>
      </c>
      <c r="C40" s="1311">
        <v>0</v>
      </c>
      <c r="D40" s="1311">
        <v>0</v>
      </c>
      <c r="E40" s="1311">
        <v>0</v>
      </c>
      <c r="F40" s="1311">
        <v>0</v>
      </c>
    </row>
    <row r="41" spans="1:6">
      <c r="A41" s="1310" t="s">
        <v>31</v>
      </c>
      <c r="B41" s="1310" t="s">
        <v>32</v>
      </c>
      <c r="C41" s="1311">
        <v>74</v>
      </c>
      <c r="D41" s="1311">
        <v>2104822.3703843001</v>
      </c>
      <c r="E41" s="1311">
        <v>149</v>
      </c>
      <c r="F41" s="1311">
        <v>1116696.59262619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6</v>
      </c>
      <c r="D44" s="1311">
        <v>97321.733350105394</v>
      </c>
      <c r="E44" s="1311">
        <v>10</v>
      </c>
      <c r="F44" s="1311">
        <v>30383.190079656699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6</v>
      </c>
      <c r="D47" s="1311">
        <v>244006.60730392</v>
      </c>
      <c r="E47" s="1311">
        <v>11</v>
      </c>
      <c r="F47" s="1311">
        <v>291572.85978550202</v>
      </c>
    </row>
    <row r="48" spans="1:6">
      <c r="A48" s="1310" t="s">
        <v>31</v>
      </c>
      <c r="B48" s="1310" t="s">
        <v>28</v>
      </c>
      <c r="C48" s="1311">
        <v>3</v>
      </c>
      <c r="D48" s="1311">
        <v>54325.788183094803</v>
      </c>
      <c r="E48" s="1311">
        <v>3</v>
      </c>
      <c r="F48" s="1311">
        <v>204415.70022136718</v>
      </c>
    </row>
    <row r="49" spans="1:6">
      <c r="A49" s="1310" t="s">
        <v>31</v>
      </c>
      <c r="B49" s="1310" t="s">
        <v>39</v>
      </c>
      <c r="C49" s="1311">
        <v>0</v>
      </c>
      <c r="D49" s="1311">
        <v>0</v>
      </c>
      <c r="E49" s="1311">
        <v>3</v>
      </c>
      <c r="F49" s="1311">
        <v>13826.659047654101</v>
      </c>
    </row>
    <row r="50" spans="1:6">
      <c r="A50" s="1310" t="s">
        <v>31</v>
      </c>
      <c r="B50" s="1310" t="s">
        <v>40</v>
      </c>
      <c r="C50" s="1311">
        <v>4</v>
      </c>
      <c r="D50" s="1311">
        <v>411225.69924878102</v>
      </c>
      <c r="E50" s="1311">
        <v>8</v>
      </c>
      <c r="F50" s="1311">
        <v>480505.31642194098</v>
      </c>
    </row>
    <row r="51" spans="1:6">
      <c r="A51" s="1310" t="s">
        <v>41</v>
      </c>
      <c r="B51" s="1310" t="s">
        <v>42</v>
      </c>
      <c r="C51" s="1311">
        <v>16</v>
      </c>
      <c r="D51" s="1311">
        <v>1225962.9319590901</v>
      </c>
      <c r="E51" s="1311">
        <v>80</v>
      </c>
      <c r="F51" s="1311">
        <v>453667.61478597502</v>
      </c>
    </row>
    <row r="52" spans="1:6">
      <c r="A52" s="1310" t="s">
        <v>41</v>
      </c>
      <c r="B52" s="1310" t="s">
        <v>28</v>
      </c>
      <c r="C52" s="1311">
        <v>0</v>
      </c>
      <c r="D52" s="1311">
        <v>0</v>
      </c>
      <c r="E52" s="1311">
        <v>0</v>
      </c>
      <c r="F52" s="1311">
        <v>0</v>
      </c>
    </row>
    <row r="53" spans="1:6">
      <c r="A53" s="1310" t="s">
        <v>43</v>
      </c>
      <c r="B53" s="1310" t="s">
        <v>44</v>
      </c>
      <c r="C53" s="1311">
        <v>162</v>
      </c>
      <c r="D53" s="1311">
        <v>4293630.09639809</v>
      </c>
      <c r="E53" s="1311">
        <v>360</v>
      </c>
      <c r="F53" s="1311">
        <v>1334329.3456043701</v>
      </c>
    </row>
    <row r="54" spans="1:6">
      <c r="A54" s="1310" t="s">
        <v>45</v>
      </c>
      <c r="B54" s="1310" t="s">
        <v>46</v>
      </c>
      <c r="C54" s="1311">
        <v>0</v>
      </c>
      <c r="D54" s="1311">
        <v>0</v>
      </c>
      <c r="E54" s="1311">
        <v>1</v>
      </c>
      <c r="F54" s="1311">
        <v>1204907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91</v>
      </c>
      <c r="D57" s="1311">
        <v>8392841.8624402694</v>
      </c>
      <c r="E57" s="1311">
        <v>172</v>
      </c>
      <c r="F57" s="1311">
        <v>5288626.59371085</v>
      </c>
    </row>
    <row r="58" spans="1:6">
      <c r="A58" s="1310" t="s">
        <v>48</v>
      </c>
      <c r="B58" s="1310" t="s">
        <v>50</v>
      </c>
      <c r="C58" s="1311">
        <v>53</v>
      </c>
      <c r="D58" s="1311">
        <v>4383043.6572788097</v>
      </c>
      <c r="E58" s="1311">
        <v>71</v>
      </c>
      <c r="F58" s="1311">
        <v>2040980.2335932699</v>
      </c>
    </row>
    <row r="59" spans="1:6">
      <c r="A59" s="1310" t="s">
        <v>48</v>
      </c>
      <c r="B59" s="1310" t="s">
        <v>51</v>
      </c>
      <c r="C59" s="1311">
        <v>163</v>
      </c>
      <c r="D59" s="1311">
        <v>11618852.716529001</v>
      </c>
      <c r="E59" s="1311">
        <v>312</v>
      </c>
      <c r="F59" s="1311">
        <v>9158713.3880484607</v>
      </c>
    </row>
    <row r="60" spans="1:6">
      <c r="A60" s="1310" t="s">
        <v>48</v>
      </c>
      <c r="B60" s="1310" t="s">
        <v>52</v>
      </c>
      <c r="C60" s="1311">
        <v>81</v>
      </c>
      <c r="D60" s="1311">
        <v>5114520.1271740599</v>
      </c>
      <c r="E60" s="1311">
        <v>96</v>
      </c>
      <c r="F60" s="1311">
        <v>3260980.5447024899</v>
      </c>
    </row>
    <row r="61" spans="1:6">
      <c r="A61" s="1310" t="s">
        <v>48</v>
      </c>
      <c r="B61" s="1310" t="s">
        <v>53</v>
      </c>
      <c r="C61" s="1311">
        <v>324</v>
      </c>
      <c r="D61" s="1311">
        <v>13270499.9733172</v>
      </c>
      <c r="E61" s="1311">
        <v>604</v>
      </c>
      <c r="F61" s="1311">
        <v>6419197.1336342096</v>
      </c>
    </row>
    <row r="62" spans="1:6">
      <c r="A62" s="1310" t="s">
        <v>48</v>
      </c>
      <c r="B62" s="1310" t="s">
        <v>54</v>
      </c>
      <c r="C62" s="1311">
        <v>14</v>
      </c>
      <c r="D62" s="1311">
        <v>1942293.06462368</v>
      </c>
      <c r="E62" s="1311">
        <v>19</v>
      </c>
      <c r="F62" s="1311">
        <v>407658.895484926</v>
      </c>
    </row>
    <row r="63" spans="1:6">
      <c r="A63" s="1310" t="s">
        <v>48</v>
      </c>
      <c r="B63" s="1310" t="s">
        <v>28</v>
      </c>
      <c r="C63" s="1311">
        <v>0</v>
      </c>
      <c r="D63" s="1311">
        <v>0</v>
      </c>
      <c r="E63" s="1311">
        <v>0</v>
      </c>
      <c r="F63" s="1311">
        <v>0</v>
      </c>
    </row>
    <row r="64" spans="1:6">
      <c r="A64" s="1310" t="s">
        <v>55</v>
      </c>
      <c r="B64" s="1310" t="s">
        <v>56</v>
      </c>
      <c r="C64" s="1311">
        <v>0</v>
      </c>
      <c r="D64" s="1311">
        <v>0</v>
      </c>
      <c r="E64" s="1311">
        <v>3</v>
      </c>
      <c r="F64" s="1311">
        <v>16328.538743946199</v>
      </c>
    </row>
    <row r="65" spans="1:6">
      <c r="A65" s="1310" t="s">
        <v>55</v>
      </c>
      <c r="B65" s="1310" t="s">
        <v>28</v>
      </c>
      <c r="C65" s="1311">
        <v>1</v>
      </c>
      <c r="D65" s="1311">
        <v>159219.74684085901</v>
      </c>
      <c r="E65" s="1311">
        <v>0</v>
      </c>
      <c r="F65" s="1311">
        <v>0</v>
      </c>
    </row>
    <row r="66" spans="1:6">
      <c r="A66" s="1310" t="s">
        <v>55</v>
      </c>
      <c r="B66" s="1310" t="s">
        <v>57</v>
      </c>
      <c r="C66" s="1311">
        <v>0</v>
      </c>
      <c r="D66" s="1311">
        <v>0</v>
      </c>
      <c r="E66" s="1311">
        <v>20</v>
      </c>
      <c r="F66" s="1311">
        <v>249254</v>
      </c>
    </row>
    <row r="67" spans="1:6">
      <c r="A67" s="1310" t="s">
        <v>55</v>
      </c>
      <c r="B67" s="1310" t="s">
        <v>58</v>
      </c>
      <c r="C67" s="1311">
        <v>0</v>
      </c>
      <c r="D67" s="1311">
        <v>0</v>
      </c>
      <c r="E67" s="1311">
        <v>0</v>
      </c>
      <c r="F67" s="1311">
        <v>0</v>
      </c>
    </row>
    <row r="68" spans="1:6">
      <c r="A68" s="1305" t="s">
        <v>55</v>
      </c>
      <c r="B68" s="1305" t="s">
        <v>59</v>
      </c>
      <c r="C68" s="1313">
        <v>6</v>
      </c>
      <c r="D68" s="1313">
        <v>442019.50226983702</v>
      </c>
      <c r="E68" s="1313">
        <v>14</v>
      </c>
      <c r="F68" s="1313">
        <v>239939.32471297099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88566049</v>
      </c>
      <c r="E73" s="445"/>
      <c r="F73" s="326"/>
    </row>
    <row r="74" spans="1:6">
      <c r="A74" s="1310" t="s">
        <v>63</v>
      </c>
      <c r="B74" s="1310" t="s">
        <v>632</v>
      </c>
      <c r="C74" s="1323" t="s">
        <v>634</v>
      </c>
      <c r="D74" s="1311">
        <v>3159924.1411217749</v>
      </c>
      <c r="E74" s="445"/>
      <c r="F74" s="326"/>
    </row>
    <row r="75" spans="1:6">
      <c r="A75" s="1310" t="s">
        <v>64</v>
      </c>
      <c r="B75" s="1310" t="s">
        <v>631</v>
      </c>
      <c r="C75" s="1323" t="s">
        <v>635</v>
      </c>
      <c r="D75" s="1311">
        <v>49581861</v>
      </c>
      <c r="E75" s="445"/>
      <c r="F75" s="326"/>
    </row>
    <row r="76" spans="1:6">
      <c r="A76" s="1310" t="s">
        <v>64</v>
      </c>
      <c r="B76" s="1310" t="s">
        <v>632</v>
      </c>
      <c r="C76" s="1323" t="s">
        <v>636</v>
      </c>
      <c r="D76" s="1311">
        <v>998713.14112177503</v>
      </c>
      <c r="E76" s="445"/>
      <c r="F76" s="326"/>
    </row>
    <row r="77" spans="1:6">
      <c r="A77" s="1310" t="s">
        <v>65</v>
      </c>
      <c r="B77" s="1310" t="s">
        <v>631</v>
      </c>
      <c r="C77" s="1323" t="s">
        <v>637</v>
      </c>
      <c r="D77" s="1311">
        <v>219927186</v>
      </c>
      <c r="E77" s="445"/>
      <c r="F77" s="326"/>
    </row>
    <row r="78" spans="1:6">
      <c r="A78" s="1305" t="s">
        <v>65</v>
      </c>
      <c r="B78" s="1305" t="s">
        <v>632</v>
      </c>
      <c r="C78" s="1305" t="s">
        <v>638</v>
      </c>
      <c r="D78" s="1313">
        <v>16163898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1099049.7177564499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11.408045960061447</v>
      </c>
      <c r="C89" s="326"/>
      <c r="D89" s="326"/>
      <c r="E89" s="326"/>
      <c r="F89" s="326"/>
    </row>
    <row r="90" spans="1:6">
      <c r="A90" s="1310" t="s">
        <v>525</v>
      </c>
      <c r="B90" s="1311">
        <v>0</v>
      </c>
      <c r="C90" s="326"/>
      <c r="D90" s="326"/>
      <c r="E90" s="326"/>
      <c r="F90" s="326"/>
    </row>
    <row r="91" spans="1:6">
      <c r="A91" s="1310" t="s">
        <v>67</v>
      </c>
      <c r="B91" s="1311">
        <v>4655.3150796470345</v>
      </c>
      <c r="C91" s="326"/>
      <c r="D91" s="326"/>
      <c r="E91" s="326"/>
      <c r="F91" s="326"/>
    </row>
    <row r="92" spans="1:6">
      <c r="A92" s="1305" t="s">
        <v>68</v>
      </c>
      <c r="B92" s="1306">
        <v>577.94224153903167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3706</v>
      </c>
      <c r="C97" s="326"/>
      <c r="D97" s="326"/>
      <c r="E97" s="326"/>
      <c r="F97" s="326"/>
    </row>
    <row r="98" spans="1:6">
      <c r="A98" s="1310" t="s">
        <v>71</v>
      </c>
      <c r="B98" s="1311">
        <v>4</v>
      </c>
      <c r="C98" s="326"/>
      <c r="D98" s="326"/>
      <c r="E98" s="326"/>
      <c r="F98" s="326"/>
    </row>
    <row r="99" spans="1:6">
      <c r="A99" s="1310" t="s">
        <v>72</v>
      </c>
      <c r="B99" s="1311">
        <v>74</v>
      </c>
      <c r="C99" s="326"/>
      <c r="D99" s="326"/>
      <c r="E99" s="326"/>
      <c r="F99" s="326"/>
    </row>
    <row r="100" spans="1:6">
      <c r="A100" s="1310" t="s">
        <v>73</v>
      </c>
      <c r="B100" s="1311">
        <v>477</v>
      </c>
      <c r="C100" s="326"/>
      <c r="D100" s="326"/>
      <c r="E100" s="326"/>
      <c r="F100" s="326"/>
    </row>
    <row r="101" spans="1:6">
      <c r="A101" s="1310" t="s">
        <v>74</v>
      </c>
      <c r="B101" s="1311">
        <v>44</v>
      </c>
      <c r="C101" s="326"/>
      <c r="D101" s="326"/>
      <c r="E101" s="326"/>
      <c r="F101" s="326"/>
    </row>
    <row r="102" spans="1:6">
      <c r="A102" s="1310" t="s">
        <v>75</v>
      </c>
      <c r="B102" s="1311">
        <v>114</v>
      </c>
      <c r="C102" s="326"/>
      <c r="D102" s="326"/>
      <c r="E102" s="326"/>
      <c r="F102" s="326"/>
    </row>
    <row r="103" spans="1:6">
      <c r="A103" s="1310" t="s">
        <v>76</v>
      </c>
      <c r="B103" s="1311">
        <v>138</v>
      </c>
      <c r="C103" s="326"/>
      <c r="D103" s="326"/>
      <c r="E103" s="326"/>
      <c r="F103" s="326"/>
    </row>
    <row r="104" spans="1:6">
      <c r="A104" s="1310" t="s">
        <v>77</v>
      </c>
      <c r="B104" s="1311">
        <v>3945</v>
      </c>
      <c r="C104" s="326"/>
      <c r="D104" s="326"/>
      <c r="E104" s="326"/>
      <c r="F104" s="326"/>
    </row>
    <row r="105" spans="1:6">
      <c r="A105" s="1305" t="s">
        <v>78</v>
      </c>
      <c r="B105" s="1313">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51</v>
      </c>
      <c r="C123" s="1311">
        <v>102</v>
      </c>
      <c r="D123" s="326"/>
      <c r="E123" s="326"/>
      <c r="F123" s="326"/>
    </row>
    <row r="124" spans="1:6">
      <c r="A124" s="1310" t="s">
        <v>88</v>
      </c>
      <c r="B124" s="1311">
        <v>3</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193</v>
      </c>
      <c r="C129" s="326"/>
      <c r="D129" s="326"/>
      <c r="E129" s="326"/>
      <c r="F129" s="326"/>
    </row>
    <row r="130" spans="1:6">
      <c r="A130" s="1310" t="s">
        <v>284</v>
      </c>
      <c r="B130" s="1311">
        <v>1</v>
      </c>
      <c r="C130" s="326"/>
      <c r="D130" s="326"/>
      <c r="E130" s="326"/>
      <c r="F130" s="326"/>
    </row>
    <row r="131" spans="1:6">
      <c r="A131" s="1310" t="s">
        <v>285</v>
      </c>
      <c r="B131" s="1311">
        <v>1</v>
      </c>
      <c r="C131" s="326"/>
      <c r="D131" s="326"/>
      <c r="E131" s="326"/>
      <c r="F131" s="326"/>
    </row>
    <row r="132" spans="1:6">
      <c r="A132" s="1305" t="s">
        <v>286</v>
      </c>
      <c r="B132" s="1306">
        <v>25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75372.977243627261</v>
      </c>
      <c r="C3" s="43" t="s">
        <v>163</v>
      </c>
      <c r="D3" s="43"/>
      <c r="E3" s="154"/>
      <c r="F3" s="43"/>
      <c r="G3" s="43"/>
      <c r="H3" s="43"/>
      <c r="I3" s="43"/>
      <c r="J3" s="43"/>
      <c r="K3" s="96"/>
    </row>
    <row r="4" spans="1:11">
      <c r="A4" s="352" t="s">
        <v>164</v>
      </c>
      <c r="B4" s="49">
        <f>IF(ISERROR('SEAP template'!B78+'SEAP template'!C78),0,'SEAP template'!B78+'SEAP template'!C78)</f>
        <v>5244.6653671461281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0.20562219367568776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1204.9069999999999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1204.9069999999999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0.20562219367568776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247.75562051519191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38151.651363975398</v>
      </c>
      <c r="C5" s="17">
        <f>IF(ISERROR('Eigen informatie GS &amp; warmtenet'!B59),0,'Eigen informatie GS &amp; warmtenet'!B59)</f>
        <v>0</v>
      </c>
      <c r="D5" s="30">
        <f>(SUM(HH_hh_gas_kWh,HH_rest_gas_kWh)/1000)*0.903</f>
        <v>130432.285172908</v>
      </c>
      <c r="E5" s="17">
        <f>B32*B41</f>
        <v>2353.9820375647287</v>
      </c>
      <c r="F5" s="17">
        <f>B36*B45</f>
        <v>51567.755322566401</v>
      </c>
      <c r="G5" s="18"/>
      <c r="H5" s="17"/>
      <c r="I5" s="17"/>
      <c r="J5" s="17">
        <f>B35*B44+C35*C44</f>
        <v>293.89027774250991</v>
      </c>
      <c r="K5" s="17"/>
      <c r="L5" s="17"/>
      <c r="M5" s="17"/>
      <c r="N5" s="17">
        <f>B34*B43+C34*C43</f>
        <v>13214.547516334256</v>
      </c>
      <c r="O5" s="17">
        <f>B52*B53*B54</f>
        <v>585.26767471917435</v>
      </c>
      <c r="P5" s="17">
        <f>B60*B61*B62/1000-B60*B61*B62/1000/B63</f>
        <v>832.18278530711677</v>
      </c>
    </row>
    <row r="6" spans="1:16">
      <c r="A6" s="16" t="s">
        <v>597</v>
      </c>
      <c r="B6" s="778">
        <f>kWh_PV_kleiner_dan_10kW</f>
        <v>4655.3150796470345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42806.966443622434</v>
      </c>
      <c r="C8" s="21">
        <f>C5</f>
        <v>0</v>
      </c>
      <c r="D8" s="21">
        <f>D5</f>
        <v>130432.285172908</v>
      </c>
      <c r="E8" s="21">
        <f>E5</f>
        <v>2353.9820375647287</v>
      </c>
      <c r="F8" s="21">
        <f>F5</f>
        <v>51567.755322566401</v>
      </c>
      <c r="G8" s="21"/>
      <c r="H8" s="21"/>
      <c r="I8" s="21"/>
      <c r="J8" s="21">
        <f>J5</f>
        <v>293.89027774250991</v>
      </c>
      <c r="K8" s="21"/>
      <c r="L8" s="21">
        <f>L5</f>
        <v>0</v>
      </c>
      <c r="M8" s="21">
        <f>M5</f>
        <v>0</v>
      </c>
      <c r="N8" s="21">
        <f>N5</f>
        <v>13214.547516334256</v>
      </c>
      <c r="O8" s="21">
        <f>O5</f>
        <v>585.26767471917435</v>
      </c>
      <c r="P8" s="21">
        <f>P5</f>
        <v>832.18278530711677</v>
      </c>
    </row>
    <row r="9" spans="1:16">
      <c r="B9" s="19"/>
      <c r="C9" s="19"/>
      <c r="D9" s="254"/>
      <c r="E9" s="19"/>
      <c r="F9" s="19"/>
      <c r="G9" s="19"/>
      <c r="H9" s="19"/>
      <c r="I9" s="19"/>
      <c r="J9" s="19"/>
      <c r="K9" s="19"/>
      <c r="L9" s="19"/>
      <c r="M9" s="19"/>
      <c r="N9" s="19"/>
      <c r="O9" s="19"/>
      <c r="P9" s="19"/>
    </row>
    <row r="10" spans="1:16">
      <c r="A10" s="24" t="s">
        <v>207</v>
      </c>
      <c r="B10" s="25">
        <f ca="1">'EF ele_warmte'!B12</f>
        <v>0.20562219367568776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8802.062344739199</v>
      </c>
      <c r="C12" s="23">
        <f ca="1">C10*C8</f>
        <v>0</v>
      </c>
      <c r="D12" s="23">
        <f>D8*D10</f>
        <v>26347.321604927416</v>
      </c>
      <c r="E12" s="23">
        <f>E10*E8</f>
        <v>534.35392252719339</v>
      </c>
      <c r="F12" s="23">
        <f>F10*F8</f>
        <v>13768.59067112523</v>
      </c>
      <c r="G12" s="23"/>
      <c r="H12" s="23"/>
      <c r="I12" s="23"/>
      <c r="J12" s="23">
        <f>J10*J8</f>
        <v>104.0371583208485</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10008</v>
      </c>
      <c r="C26" s="36"/>
      <c r="D26" s="225"/>
    </row>
    <row r="27" spans="1:5" s="15" customFormat="1">
      <c r="A27" s="227" t="s">
        <v>860</v>
      </c>
      <c r="B27" s="37">
        <f>SUM(HH_hh_gas_aantal,HH_rest_gas_aantal)</f>
        <v>6548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6220.6</v>
      </c>
      <c r="C31" s="34" t="s">
        <v>104</v>
      </c>
      <c r="D31" s="171"/>
    </row>
    <row r="32" spans="1:5">
      <c r="A32" s="168" t="s">
        <v>72</v>
      </c>
      <c r="B32" s="33">
        <f>IF((B21*($B$26-($B$27-0.05*$B$27)-$B$60))&lt;0,0,(B21*($B$26-($B$27-0.05*$B$27)-$B$60)))</f>
        <v>58.871586836587426</v>
      </c>
      <c r="C32" s="34" t="s">
        <v>104</v>
      </c>
      <c r="D32" s="171"/>
    </row>
    <row r="33" spans="1:6">
      <c r="A33" s="168" t="s">
        <v>73</v>
      </c>
      <c r="B33" s="33">
        <f>IF((B22*($B$26-($B$27-0.05*$B$27)-$B$60))&lt;0,0,B22*($B$26-($B$27-0.05*$B$27)-$B$60))</f>
        <v>955.9579737687003</v>
      </c>
      <c r="C33" s="34" t="s">
        <v>104</v>
      </c>
      <c r="D33" s="171"/>
    </row>
    <row r="34" spans="1:6">
      <c r="A34" s="168" t="s">
        <v>74</v>
      </c>
      <c r="B34" s="33">
        <f>IF((B24*($B$26-($B$27-0.05*$B$27)-$B$60))&lt;0,0,B24*($B$26-($B$27-0.05*$B$27)-$B$60))</f>
        <v>183.26993664472101</v>
      </c>
      <c r="C34" s="33">
        <f>B26*C24</f>
        <v>2050.6986455838942</v>
      </c>
      <c r="D34" s="230"/>
    </row>
    <row r="35" spans="1:6">
      <c r="A35" s="168" t="s">
        <v>76</v>
      </c>
      <c r="B35" s="33">
        <f>IF((B19*($B$26-($B$27-0.05*$B$27)-$B$60))&lt;0,0,B19*($B$26-($B$27-0.05*$B$27)-$B$60))</f>
        <v>25.591338444159859</v>
      </c>
      <c r="C35" s="33">
        <f>B35/2</f>
        <v>12.79566922207993</v>
      </c>
      <c r="D35" s="230"/>
    </row>
    <row r="36" spans="1:6">
      <c r="A36" s="168" t="s">
        <v>77</v>
      </c>
      <c r="B36" s="33">
        <f>IF((B18*($B$26-($B$27-0.05*$B$27)-$B$60))&lt;0,0,B18*($B$26-($B$27-0.05*$B$27)-$B$60))</f>
        <v>2484.7091643058302</v>
      </c>
      <c r="C36" s="34" t="s">
        <v>104</v>
      </c>
      <c r="D36" s="171"/>
    </row>
    <row r="37" spans="1:6">
      <c r="A37" s="168" t="s">
        <v>78</v>
      </c>
      <c r="B37" s="33">
        <f>B60</f>
        <v>79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295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79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26576.156789174202</v>
      </c>
      <c r="C5" s="17">
        <f>IF(ISERROR('Eigen informatie GS &amp; warmtenet'!B60),0,'Eigen informatie GS &amp; warmtenet'!B60)</f>
        <v>0</v>
      </c>
      <c r="D5" s="30">
        <f>SUM(D6:D12)</f>
        <v>40384.012415430807</v>
      </c>
      <c r="E5" s="17">
        <f>SUM(E6:E12)</f>
        <v>143.30515701219522</v>
      </c>
      <c r="F5" s="17">
        <f>SUM(F6:F12)</f>
        <v>6785.5971891628005</v>
      </c>
      <c r="G5" s="18"/>
      <c r="H5" s="17"/>
      <c r="I5" s="17"/>
      <c r="J5" s="17">
        <f>SUM(J6:J12)</f>
        <v>5.3490079634701961E-2</v>
      </c>
      <c r="K5" s="17"/>
      <c r="L5" s="17"/>
      <c r="M5" s="17"/>
      <c r="N5" s="17">
        <f>SUM(N6:N12)</f>
        <v>2051.7126334419358</v>
      </c>
      <c r="O5" s="17">
        <f>B38*B39*B40</f>
        <v>4.8972607658411542</v>
      </c>
      <c r="P5" s="17">
        <f>B46*B47*B48/1000-B46*B47*B48/1000/B49</f>
        <v>52.539138306495019</v>
      </c>
      <c r="R5" s="32"/>
    </row>
    <row r="6" spans="1:18">
      <c r="A6" s="32" t="s">
        <v>53</v>
      </c>
      <c r="B6" s="37">
        <f>B26</f>
        <v>6419.1971336342094</v>
      </c>
      <c r="C6" s="33"/>
      <c r="D6" s="37">
        <f>IF(ISERROR(TER_kantoor_gas_kWh/1000),0,TER_kantoor_gas_kWh/1000)*0.903</f>
        <v>11983.261475905432</v>
      </c>
      <c r="E6" s="33">
        <f>$C$26*'E Balans VL '!I12/100/3.6*1000000</f>
        <v>1.5295054731783233</v>
      </c>
      <c r="F6" s="33">
        <f>$C$26*('E Balans VL '!L12+'E Balans VL '!N12)/100/3.6*1000000</f>
        <v>557.57015446738876</v>
      </c>
      <c r="G6" s="34"/>
      <c r="H6" s="33"/>
      <c r="I6" s="33"/>
      <c r="J6" s="33">
        <f>$C$26*('E Balans VL '!D12+'E Balans VL '!E12)/100/3.6*1000000</f>
        <v>0</v>
      </c>
      <c r="K6" s="33"/>
      <c r="L6" s="33"/>
      <c r="M6" s="33"/>
      <c r="N6" s="33">
        <f>$C$26*'E Balans VL '!Y12/100/3.6*1000000</f>
        <v>8.5801550160588658</v>
      </c>
      <c r="O6" s="33"/>
      <c r="P6" s="33"/>
      <c r="R6" s="32"/>
    </row>
    <row r="7" spans="1:18">
      <c r="A7" s="32" t="s">
        <v>52</v>
      </c>
      <c r="B7" s="37">
        <f t="shared" ref="B7:B12" si="0">B27</f>
        <v>3260.9805447024901</v>
      </c>
      <c r="C7" s="33"/>
      <c r="D7" s="37">
        <f>IF(ISERROR(TER_horeca_gas_kWh/1000),0,TER_horeca_gas_kWh/1000)*0.903</f>
        <v>4618.4116748381757</v>
      </c>
      <c r="E7" s="33">
        <f>$C$27*'E Balans VL '!I9/100/3.6*1000000</f>
        <v>0</v>
      </c>
      <c r="F7" s="33">
        <f>$C$27*('E Balans VL '!L9+'E Balans VL '!N9)/100/3.6*1000000</f>
        <v>265.71089907554051</v>
      </c>
      <c r="G7" s="34"/>
      <c r="H7" s="33"/>
      <c r="I7" s="33"/>
      <c r="J7" s="33">
        <f>$C$27*('E Balans VL '!D9+'E Balans VL '!E9)/100/3.6*1000000</f>
        <v>0</v>
      </c>
      <c r="K7" s="33"/>
      <c r="L7" s="33"/>
      <c r="M7" s="33"/>
      <c r="N7" s="33">
        <f>$C$27*'E Balans VL '!Y9/100/3.6*1000000</f>
        <v>0.90323090006392603</v>
      </c>
      <c r="O7" s="33"/>
      <c r="P7" s="33"/>
      <c r="R7" s="32"/>
    </row>
    <row r="8" spans="1:18">
      <c r="A8" s="6" t="s">
        <v>51</v>
      </c>
      <c r="B8" s="37">
        <f t="shared" si="0"/>
        <v>9158.7133880484598</v>
      </c>
      <c r="C8" s="33"/>
      <c r="D8" s="37">
        <f>IF(ISERROR(TER_handel_gas_kWh/1000),0,TER_handel_gas_kWh/1000)*0.903</f>
        <v>10491.824003025687</v>
      </c>
      <c r="E8" s="33">
        <f>$C$28*'E Balans VL '!I13/100/3.6*1000000</f>
        <v>73.211225043276187</v>
      </c>
      <c r="F8" s="33">
        <f>$C$28*('E Balans VL '!L13+'E Balans VL '!N13)/100/3.6*1000000</f>
        <v>909.86124121839748</v>
      </c>
      <c r="G8" s="34"/>
      <c r="H8" s="33"/>
      <c r="I8" s="33"/>
      <c r="J8" s="33">
        <f>$C$28*('E Balans VL '!D13+'E Balans VL '!E13)/100/3.6*1000000</f>
        <v>0</v>
      </c>
      <c r="K8" s="33"/>
      <c r="L8" s="33"/>
      <c r="M8" s="33"/>
      <c r="N8" s="33">
        <f>$C$28*'E Balans VL '!Y13/100/3.6*1000000</f>
        <v>3.4213246133449067</v>
      </c>
      <c r="O8" s="33"/>
      <c r="P8" s="33"/>
      <c r="R8" s="32"/>
    </row>
    <row r="9" spans="1:18">
      <c r="A9" s="32" t="s">
        <v>50</v>
      </c>
      <c r="B9" s="37">
        <f t="shared" si="0"/>
        <v>2040.98023359327</v>
      </c>
      <c r="C9" s="33"/>
      <c r="D9" s="37">
        <f>IF(ISERROR(TER_gezond_gas_kWh/1000),0,TER_gezond_gas_kWh/1000)*0.903</f>
        <v>3957.8884225227648</v>
      </c>
      <c r="E9" s="33">
        <f>$C$29*'E Balans VL '!I10/100/3.6*1000000</f>
        <v>0</v>
      </c>
      <c r="F9" s="33">
        <f>$C$29*('E Balans VL '!L10+'E Balans VL '!N10)/100/3.6*1000000</f>
        <v>186.06860748678932</v>
      </c>
      <c r="G9" s="34"/>
      <c r="H9" s="33"/>
      <c r="I9" s="33"/>
      <c r="J9" s="33">
        <f>$C$29*('E Balans VL '!D10+'E Balans VL '!E10)/100/3.6*1000000</f>
        <v>0</v>
      </c>
      <c r="K9" s="33"/>
      <c r="L9" s="33"/>
      <c r="M9" s="33"/>
      <c r="N9" s="33">
        <f>$C$29*'E Balans VL '!Y10/100/3.6*1000000</f>
        <v>14.917736462631394</v>
      </c>
      <c r="O9" s="33"/>
      <c r="P9" s="33"/>
      <c r="R9" s="32"/>
    </row>
    <row r="10" spans="1:18">
      <c r="A10" s="32" t="s">
        <v>49</v>
      </c>
      <c r="B10" s="37">
        <f t="shared" si="0"/>
        <v>5288.6265937108501</v>
      </c>
      <c r="C10" s="33"/>
      <c r="D10" s="37">
        <f>IF(ISERROR(TER_ander_gas_kWh/1000),0,TER_ander_gas_kWh/1000)*0.903</f>
        <v>7578.736201783563</v>
      </c>
      <c r="E10" s="33">
        <f>$C$30*'E Balans VL '!I14/100/3.6*1000000</f>
        <v>68.564426495740719</v>
      </c>
      <c r="F10" s="33">
        <f>$C$30*('E Balans VL '!L14+'E Balans VL '!N14)/100/3.6*1000000</f>
        <v>4850.4131237053152</v>
      </c>
      <c r="G10" s="34"/>
      <c r="H10" s="33"/>
      <c r="I10" s="33"/>
      <c r="J10" s="33">
        <f>$C$30*('E Balans VL '!D14+'E Balans VL '!E14)/100/3.6*1000000</f>
        <v>5.3490079634701961E-2</v>
      </c>
      <c r="K10" s="33"/>
      <c r="L10" s="33"/>
      <c r="M10" s="33"/>
      <c r="N10" s="33">
        <f>$C$30*'E Balans VL '!Y14/100/3.6*1000000</f>
        <v>2022.6063678665191</v>
      </c>
      <c r="O10" s="33"/>
      <c r="P10" s="33"/>
      <c r="R10" s="32"/>
    </row>
    <row r="11" spans="1:18">
      <c r="A11" s="32" t="s">
        <v>54</v>
      </c>
      <c r="B11" s="37">
        <f t="shared" si="0"/>
        <v>407.65889548492601</v>
      </c>
      <c r="C11" s="33"/>
      <c r="D11" s="37">
        <f>IF(ISERROR(TER_onderwijs_gas_kWh/1000),0,TER_onderwijs_gas_kWh/1000)*0.903</f>
        <v>1753.8906373551831</v>
      </c>
      <c r="E11" s="33">
        <f>$C$31*'E Balans VL '!I11/100/3.6*1000000</f>
        <v>0</v>
      </c>
      <c r="F11" s="33">
        <f>$C$31*('E Balans VL '!L11+'E Balans VL '!N11)/100/3.6*1000000</f>
        <v>15.973163209368865</v>
      </c>
      <c r="G11" s="34"/>
      <c r="H11" s="33"/>
      <c r="I11" s="33"/>
      <c r="J11" s="33">
        <f>$C$31*('E Balans VL '!D11+'E Balans VL '!E11)/100/3.6*1000000</f>
        <v>0</v>
      </c>
      <c r="K11" s="33"/>
      <c r="L11" s="33"/>
      <c r="M11" s="33"/>
      <c r="N11" s="33">
        <f>$C$31*'E Balans VL '!Y11/100/3.6*1000000</f>
        <v>1.2838185833175448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26576.156789174202</v>
      </c>
      <c r="C16" s="21">
        <f t="shared" ca="1" si="1"/>
        <v>0</v>
      </c>
      <c r="D16" s="21">
        <f t="shared" ca="1" si="1"/>
        <v>40384.012415430807</v>
      </c>
      <c r="E16" s="21">
        <f t="shared" si="1"/>
        <v>143.30515701219522</v>
      </c>
      <c r="F16" s="21">
        <f t="shared" ca="1" si="1"/>
        <v>6785.5971891628005</v>
      </c>
      <c r="G16" s="21">
        <f t="shared" si="1"/>
        <v>0</v>
      </c>
      <c r="H16" s="21">
        <f t="shared" si="1"/>
        <v>0</v>
      </c>
      <c r="I16" s="21">
        <f t="shared" si="1"/>
        <v>0</v>
      </c>
      <c r="J16" s="21">
        <f t="shared" si="1"/>
        <v>5.3490079634701961E-2</v>
      </c>
      <c r="K16" s="21">
        <f t="shared" si="1"/>
        <v>0</v>
      </c>
      <c r="L16" s="21">
        <f t="shared" ca="1" si="1"/>
        <v>0</v>
      </c>
      <c r="M16" s="21">
        <f t="shared" si="1"/>
        <v>0</v>
      </c>
      <c r="N16" s="21">
        <f t="shared" ca="1" si="1"/>
        <v>2051.7126334419358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0.20562219367568776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5464.6476584590218</v>
      </c>
      <c r="C20" s="23">
        <f t="shared" ref="C20:P20" ca="1" si="2">C16*C18</f>
        <v>0</v>
      </c>
      <c r="D20" s="23">
        <f t="shared" ca="1" si="2"/>
        <v>8157.5705079170239</v>
      </c>
      <c r="E20" s="23">
        <f t="shared" si="2"/>
        <v>32.530270641768318</v>
      </c>
      <c r="F20" s="23">
        <f t="shared" ca="1" si="2"/>
        <v>1811.7544495064678</v>
      </c>
      <c r="G20" s="23">
        <f t="shared" si="2"/>
        <v>0</v>
      </c>
      <c r="H20" s="23">
        <f t="shared" si="2"/>
        <v>0</v>
      </c>
      <c r="I20" s="23">
        <f t="shared" si="2"/>
        <v>0</v>
      </c>
      <c r="J20" s="23">
        <f t="shared" si="2"/>
        <v>1.8935488190684493E-2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6419.1971336342094</v>
      </c>
      <c r="C26" s="39">
        <f>IF(ISERROR(B26*3.6/1000000/'E Balans VL '!Z12*100),0,B26*3.6/1000000/'E Balans VL '!Z12*100)</f>
        <v>0.18416616168473657</v>
      </c>
      <c r="D26" s="233" t="s">
        <v>835</v>
      </c>
      <c r="F26" s="6"/>
    </row>
    <row r="27" spans="1:18" ht="30">
      <c r="A27" s="228" t="s">
        <v>52</v>
      </c>
      <c r="B27" s="33">
        <f>IF(ISERROR(TER_horeca_ele_kWh/1000),0,TER_horeca_ele_kWh/1000)</f>
        <v>3260.9805447024901</v>
      </c>
      <c r="C27" s="39">
        <f>IF(ISERROR(B27*3.6/1000000/'E Balans VL '!Z9*100),0,B27*3.6/1000000/'E Balans VL '!Z9*100)</f>
        <v>0.23890058920797785</v>
      </c>
      <c r="D27" s="233" t="s">
        <v>835</v>
      </c>
      <c r="F27" s="6"/>
    </row>
    <row r="28" spans="1:18" ht="30">
      <c r="A28" s="168" t="s">
        <v>51</v>
      </c>
      <c r="B28" s="33">
        <f>IF(ISERROR(TER_handel_ele_kWh/1000),0,TER_handel_ele_kWh/1000)</f>
        <v>9158.7133880484598</v>
      </c>
      <c r="C28" s="39">
        <f>IF(ISERROR(B28*3.6/1000000/'E Balans VL '!Z13*100),0,B28*3.6/1000000/'E Balans VL '!Z13*100)</f>
        <v>0.28301196861974703</v>
      </c>
      <c r="D28" s="233" t="s">
        <v>835</v>
      </c>
      <c r="F28" s="6"/>
    </row>
    <row r="29" spans="1:18" ht="30">
      <c r="A29" s="228" t="s">
        <v>50</v>
      </c>
      <c r="B29" s="33">
        <f>IF(ISERROR(TER_gezond_ele_kWh/1000),0,TER_gezond_ele_kWh/1000)</f>
        <v>2040.98023359327</v>
      </c>
      <c r="C29" s="39">
        <f>IF(ISERROR(B29*3.6/1000000/'E Balans VL '!Z10*100),0,B29*3.6/1000000/'E Balans VL '!Z10*100)</f>
        <v>0.20002861278775017</v>
      </c>
      <c r="D29" s="233" t="s">
        <v>835</v>
      </c>
      <c r="F29" s="6"/>
    </row>
    <row r="30" spans="1:18" ht="30">
      <c r="A30" s="228" t="s">
        <v>49</v>
      </c>
      <c r="B30" s="33">
        <f>IF(ISERROR(TER_ander_ele_kWh/1000),0,TER_ander_ele_kWh/1000)</f>
        <v>5288.6265937108501</v>
      </c>
      <c r="C30" s="39">
        <f>IF(ISERROR(B30*3.6/1000000/'E Balans VL '!Z14*100),0,B30*3.6/1000000/'E Balans VL '!Z14*100)</f>
        <v>0.21907199850389877</v>
      </c>
      <c r="D30" s="233" t="s">
        <v>835</v>
      </c>
      <c r="F30" s="6"/>
    </row>
    <row r="31" spans="1:18" ht="30">
      <c r="A31" s="228" t="s">
        <v>54</v>
      </c>
      <c r="B31" s="33">
        <f>IF(ISERROR(TER_onderwijs_ele_kWh/1000),0,TER_onderwijs_ele_kWh/1000)</f>
        <v>407.65889548492601</v>
      </c>
      <c r="C31" s="39">
        <f>IF(ISERROR(B31*3.6/1000000/'E Balans VL '!Z11*100),0,B31*3.6/1000000/'E Balans VL '!Z11*100)</f>
        <v>0.12526118468399391</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2137.4003181823114</v>
      </c>
      <c r="C5" s="17">
        <f>IF(ISERROR('Eigen informatie GS &amp; warmtenet'!B61),0,'Eigen informatie GS &amp; warmtenet'!B61)</f>
        <v>0</v>
      </c>
      <c r="D5" s="30">
        <f>SUM(D6:D15)</f>
        <v>2629.2670852185915</v>
      </c>
      <c r="E5" s="17">
        <f>SUM(E6:E15)</f>
        <v>16.824108998323624</v>
      </c>
      <c r="F5" s="17">
        <f>SUM(F6:F15)</f>
        <v>764.89665086675484</v>
      </c>
      <c r="G5" s="18"/>
      <c r="H5" s="17"/>
      <c r="I5" s="17"/>
      <c r="J5" s="17">
        <f>SUM(J6:J15)</f>
        <v>1.1924411695082422</v>
      </c>
      <c r="K5" s="17"/>
      <c r="L5" s="17"/>
      <c r="M5" s="17"/>
      <c r="N5" s="17">
        <f>SUM(N6:N15)</f>
        <v>71.352262934901859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30.3831900796567</v>
      </c>
      <c r="C8" s="33"/>
      <c r="D8" s="37">
        <f>IF( ISERROR(IND_metaal_Gas_kWH/1000),0,IND_metaal_Gas_kWH/1000)*0.903</f>
        <v>87.881525215145174</v>
      </c>
      <c r="E8" s="33">
        <f>C30*'E Balans VL '!I18/100/3.6*1000000</f>
        <v>0.16562350760972547</v>
      </c>
      <c r="F8" s="33">
        <f>C30*'E Balans VL '!L18/100/3.6*1000000+C30*'E Balans VL '!N18/100/3.6*1000000</f>
        <v>1.9566797618800313</v>
      </c>
      <c r="G8" s="34"/>
      <c r="H8" s="33"/>
      <c r="I8" s="33"/>
      <c r="J8" s="40">
        <f>C30*'E Balans VL '!D18/100/3.6*1000000+C30*'E Balans VL '!E18/100/3.6*1000000</f>
        <v>2.4887538768395088E-2</v>
      </c>
      <c r="K8" s="33"/>
      <c r="L8" s="33"/>
      <c r="M8" s="33"/>
      <c r="N8" s="33">
        <f>C30*'E Balans VL '!Y18/100/3.6*1000000</f>
        <v>0.65640874455324294</v>
      </c>
      <c r="O8" s="33"/>
      <c r="P8" s="33"/>
      <c r="R8" s="32"/>
    </row>
    <row r="9" spans="1:18">
      <c r="A9" s="6" t="s">
        <v>32</v>
      </c>
      <c r="B9" s="37">
        <f t="shared" si="0"/>
        <v>1116.6965926261901</v>
      </c>
      <c r="C9" s="33"/>
      <c r="D9" s="37">
        <f>IF( ISERROR(IND_andere_gas_kWh/1000),0,IND_andere_gas_kWh/1000)*0.903</f>
        <v>1900.654600457023</v>
      </c>
      <c r="E9" s="33">
        <f>C31*'E Balans VL '!I19/100/3.6*1000000</f>
        <v>3.6048867750475444</v>
      </c>
      <c r="F9" s="33">
        <f>C31*'E Balans VL '!L19/100/3.6*1000000+C31*'E Balans VL '!N19/100/3.6*1000000</f>
        <v>722.06478292893257</v>
      </c>
      <c r="G9" s="34"/>
      <c r="H9" s="33"/>
      <c r="I9" s="33"/>
      <c r="J9" s="40">
        <f>C31*'E Balans VL '!D19/100/3.6*1000000+C31*'E Balans VL '!E19/100/3.6*1000000</f>
        <v>0</v>
      </c>
      <c r="K9" s="33"/>
      <c r="L9" s="33"/>
      <c r="M9" s="33"/>
      <c r="N9" s="33">
        <f>C31*'E Balans VL '!Y19/100/3.6*1000000</f>
        <v>45.124419410335939</v>
      </c>
      <c r="O9" s="33"/>
      <c r="P9" s="33"/>
      <c r="R9" s="32"/>
    </row>
    <row r="10" spans="1:18">
      <c r="A10" s="6" t="s">
        <v>40</v>
      </c>
      <c r="B10" s="37">
        <f t="shared" si="0"/>
        <v>480.50531642194096</v>
      </c>
      <c r="C10" s="33"/>
      <c r="D10" s="37">
        <f>IF( ISERROR(IND_voed_gas_kWh/1000),0,IND_voed_gas_kWh/1000)*0.903</f>
        <v>371.33680642164927</v>
      </c>
      <c r="E10" s="33">
        <f>C32*'E Balans VL '!I20/100/3.6*1000000</f>
        <v>1.0072569023685687</v>
      </c>
      <c r="F10" s="33">
        <f>C32*'E Balans VL '!L20/100/3.6*1000000+C32*'E Balans VL '!N20/100/3.6*1000000</f>
        <v>9.3619041312459093</v>
      </c>
      <c r="G10" s="34"/>
      <c r="H10" s="33"/>
      <c r="I10" s="33"/>
      <c r="J10" s="40">
        <f>C32*'E Balans VL '!D20/100/3.6*1000000+C32*'E Balans VL '!E20/100/3.6*1000000</f>
        <v>0</v>
      </c>
      <c r="K10" s="33"/>
      <c r="L10" s="33"/>
      <c r="M10" s="33"/>
      <c r="N10" s="33">
        <f>C32*'E Balans VL '!Y20/100/3.6*1000000</f>
        <v>19.113169331289647</v>
      </c>
      <c r="O10" s="33"/>
      <c r="P10" s="33"/>
      <c r="R10" s="32"/>
    </row>
    <row r="11" spans="1:18">
      <c r="A11" s="6" t="s">
        <v>39</v>
      </c>
      <c r="B11" s="37">
        <f t="shared" si="0"/>
        <v>13.8266590476541</v>
      </c>
      <c r="C11" s="33"/>
      <c r="D11" s="37">
        <f>IF( ISERROR(IND_textiel_gas_kWh/1000),0,IND_textiel_gas_kWh/1000)*0.903</f>
        <v>0</v>
      </c>
      <c r="E11" s="33">
        <f>C33*'E Balans VL '!I21/100/3.6*1000000</f>
        <v>1.188083248371442E-2</v>
      </c>
      <c r="F11" s="33">
        <f>C33*'E Balans VL '!L21/100/3.6*1000000+C33*'E Balans VL '!N21/100/3.6*1000000</f>
        <v>0.28989025737663576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291.57285978550203</v>
      </c>
      <c r="C13" s="33"/>
      <c r="D13" s="37">
        <f>IF( ISERROR(IND_papier_gas_kWh/1000),0,IND_papier_gas_kWh/1000)*0.903</f>
        <v>220.33796639543976</v>
      </c>
      <c r="E13" s="33">
        <f>C35*'E Balans VL '!I23/100/3.6*1000000</f>
        <v>0</v>
      </c>
      <c r="F13" s="33">
        <f>C35*'E Balans VL '!L23/100/3.6*1000000+C35*'E Balans VL '!N23/100/3.6*1000000</f>
        <v>3.9057103799864525E-2</v>
      </c>
      <c r="G13" s="34"/>
      <c r="H13" s="33"/>
      <c r="I13" s="33"/>
      <c r="J13" s="40">
        <f>C35*'E Balans VL '!D23/100/3.6*1000000+C35*'E Balans VL '!E23/100/3.6*1000000</f>
        <v>5.7674946233439411E-2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204.41570022136719</v>
      </c>
      <c r="C15" s="33"/>
      <c r="D15" s="37">
        <f>IF( ISERROR(IND_rest_gas_kWh/1000),0,IND_rest_gas_kWh/1000)*0.903</f>
        <v>49.056186729334605</v>
      </c>
      <c r="E15" s="33">
        <f>C37*'E Balans VL '!I15/100/3.6*1000000</f>
        <v>12.034460980814071</v>
      </c>
      <c r="F15" s="33">
        <f>C37*'E Balans VL '!L15/100/3.6*1000000+C37*'E Balans VL '!N15/100/3.6*1000000</f>
        <v>31.184336683519717</v>
      </c>
      <c r="G15" s="34"/>
      <c r="H15" s="33"/>
      <c r="I15" s="33"/>
      <c r="J15" s="40">
        <f>C37*'E Balans VL '!D15/100/3.6*1000000+C37*'E Balans VL '!E15/100/3.6*1000000</f>
        <v>1.1098786845064077</v>
      </c>
      <c r="K15" s="33"/>
      <c r="L15" s="33"/>
      <c r="M15" s="33"/>
      <c r="N15" s="33">
        <f>C37*'E Balans VL '!Y15/100/3.6*1000000</f>
        <v>6.45826544872304</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2137.4003181823114</v>
      </c>
      <c r="C18" s="21">
        <f>C5+C16</f>
        <v>0</v>
      </c>
      <c r="D18" s="21">
        <f>MAX((D5+D16),0)</f>
        <v>2629.2670852185915</v>
      </c>
      <c r="E18" s="21">
        <f>MAX((E5+E16),0)</f>
        <v>16.824108998323624</v>
      </c>
      <c r="F18" s="21">
        <f>MAX((F5+F16),0)</f>
        <v>764.89665086675484</v>
      </c>
      <c r="G18" s="21"/>
      <c r="H18" s="21"/>
      <c r="I18" s="21"/>
      <c r="J18" s="21">
        <f>MAX((J5+J16),0)</f>
        <v>1.1924411695082422</v>
      </c>
      <c r="K18" s="21"/>
      <c r="L18" s="21">
        <f>MAX((L5+L16),0)</f>
        <v>0</v>
      </c>
      <c r="M18" s="21"/>
      <c r="N18" s="21">
        <f>MAX((N5+N16),0)</f>
        <v>71.352262934901859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0.20562219367568776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439.49694218775988</v>
      </c>
      <c r="C22" s="23">
        <f ca="1">C18*C20</f>
        <v>0</v>
      </c>
      <c r="D22" s="23">
        <f>D18*D20</f>
        <v>531.11195121415551</v>
      </c>
      <c r="E22" s="23">
        <f>E18*E20</f>
        <v>3.8190727426194626</v>
      </c>
      <c r="F22" s="23">
        <f>F18*F20</f>
        <v>204.22740578142356</v>
      </c>
      <c r="G22" s="23"/>
      <c r="H22" s="23"/>
      <c r="I22" s="23"/>
      <c r="J22" s="23">
        <f>J18*J20</f>
        <v>0.42212417400591773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30.3831900796567</v>
      </c>
      <c r="C30" s="39">
        <f>IF(ISERROR(B30*3.6/1000000/'E Balans VL '!Z18*100),0,B30*3.6/1000000/'E Balans VL '!Z18*100)</f>
        <v>1.8295923946543315E-3</v>
      </c>
      <c r="D30" s="233" t="s">
        <v>835</v>
      </c>
    </row>
    <row r="31" spans="1:18" ht="30">
      <c r="A31" s="6" t="s">
        <v>32</v>
      </c>
      <c r="B31" s="37">
        <f>IF( ISERROR(IND_ander_ele_kWh/1000),0,IND_ander_ele_kWh/1000)</f>
        <v>1116.6965926261901</v>
      </c>
      <c r="C31" s="39">
        <f>IF(ISERROR(B31*3.6/1000000/'E Balans VL '!Z19*100),0,B31*3.6/1000000/'E Balans VL '!Z19*100)</f>
        <v>4.5496531011585836E-2</v>
      </c>
      <c r="D31" s="233" t="s">
        <v>835</v>
      </c>
    </row>
    <row r="32" spans="1:18" ht="30">
      <c r="A32" s="168" t="s">
        <v>40</v>
      </c>
      <c r="B32" s="37">
        <f>IF( ISERROR(IND_voed_ele_kWh/1000),0,IND_voed_ele_kWh/1000)</f>
        <v>480.50531642194096</v>
      </c>
      <c r="C32" s="39">
        <f>IF(ISERROR(B32*3.6/1000000/'E Balans VL '!Z20*100),0,B32*3.6/1000000/'E Balans VL '!Z20*100)</f>
        <v>1.3893342395642865E-2</v>
      </c>
      <c r="D32" s="233" t="s">
        <v>835</v>
      </c>
    </row>
    <row r="33" spans="1:5" ht="30">
      <c r="A33" s="168" t="s">
        <v>39</v>
      </c>
      <c r="B33" s="37">
        <f>IF( ISERROR(IND_textiel_ele_kWh/1000),0,IND_textiel_ele_kWh/1000)</f>
        <v>13.8266590476541</v>
      </c>
      <c r="C33" s="39">
        <f>IF(ISERROR(B33*3.6/1000000/'E Balans VL '!Z21*100),0,B33*3.6/1000000/'E Balans VL '!Z21*100)</f>
        <v>2.2738435375529993E-3</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291.57285978550203</v>
      </c>
      <c r="C35" s="39">
        <f>IF(ISERROR(B35*3.6/1000000/'E Balans VL '!Z22*100),0,B35*3.6/1000000/'E Balans VL '!Z22*100)</f>
        <v>0.12449890176089948</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204.41570022136719</v>
      </c>
      <c r="C37" s="39">
        <f>IF(ISERROR(B37*3.6/1000000/'E Balans VL '!Z15*100),0,B37*3.6/1000000/'E Balans VL '!Z15*100)</f>
        <v>1.6784077276782677E-3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453.66761478597505</v>
      </c>
      <c r="C5" s="17">
        <f>'Eigen informatie GS &amp; warmtenet'!B62</f>
        <v>0</v>
      </c>
      <c r="D5" s="30">
        <f>IF(ISERROR(SUM(LB_lb_gas_kWh,LB_rest_gas_kWh)/1000),0,SUM(LB_lb_gas_kWh,LB_rest_gas_kWh)/1000)*0.903</f>
        <v>1107.0445275590585</v>
      </c>
      <c r="E5" s="17">
        <f>B17*'E Balans VL '!I25/3.6*1000000/100</f>
        <v>12.993808233633093</v>
      </c>
      <c r="F5" s="17">
        <f>B17*('E Balans VL '!L25/3.6*1000000+'E Balans VL '!N25/3.6*1000000)/100</f>
        <v>1436.077320591985</v>
      </c>
      <c r="G5" s="18"/>
      <c r="H5" s="17"/>
      <c r="I5" s="17"/>
      <c r="J5" s="17">
        <f>('E Balans VL '!D25+'E Balans VL '!E25)/3.6*1000000*landbouw!B17/100</f>
        <v>115.35342819179765</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453.66761478597505</v>
      </c>
      <c r="C8" s="21">
        <f>C5+C6</f>
        <v>0</v>
      </c>
      <c r="D8" s="21">
        <f>MAX((D5+D6),0)</f>
        <v>1107.0445275590585</v>
      </c>
      <c r="E8" s="21">
        <f>MAX((E5+E6),0)</f>
        <v>12.993808233633093</v>
      </c>
      <c r="F8" s="21">
        <f>MAX((F5+F6),0)</f>
        <v>1436.077320591985</v>
      </c>
      <c r="G8" s="21"/>
      <c r="H8" s="21"/>
      <c r="I8" s="21"/>
      <c r="J8" s="21">
        <f>MAX((J5+J6),0)</f>
        <v>115.35342819179765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0.20562219367568776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93.284130151909068</v>
      </c>
      <c r="C12" s="23">
        <f ca="1">C8*C10</f>
        <v>0</v>
      </c>
      <c r="D12" s="23">
        <f>D8*D10</f>
        <v>223.62299456692983</v>
      </c>
      <c r="E12" s="23">
        <f>E8*E10</f>
        <v>2.9495944690347122</v>
      </c>
      <c r="F12" s="23">
        <f>F8*F10</f>
        <v>383.43264459805999</v>
      </c>
      <c r="G12" s="23"/>
      <c r="H12" s="23"/>
      <c r="I12" s="23"/>
      <c r="J12" s="23">
        <f>J8*J10</f>
        <v>40.835113579896365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6.2822672971293458E-2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40.88493252204777</v>
      </c>
      <c r="C26" s="243">
        <f>B26*'GWP N2O_CH4'!B5</f>
        <v>858.58358296300321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5.1645881179676749</v>
      </c>
      <c r="C27" s="243">
        <f>B27*'GWP N2O_CH4'!B5</f>
        <v>108.45635047732117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0.56574938185780677</v>
      </c>
      <c r="C28" s="243">
        <f>B28*'GWP N2O_CH4'!B4</f>
        <v>175.3823083759201</v>
      </c>
      <c r="D28" s="50"/>
    </row>
    <row r="29" spans="1:4">
      <c r="A29" s="41" t="s">
        <v>266</v>
      </c>
      <c r="B29" s="243">
        <f>B34*'ha_N2O bodem landbouw'!B4</f>
        <v>10.174312372306659</v>
      </c>
      <c r="C29" s="243">
        <f>B29*'GWP N2O_CH4'!B4</f>
        <v>3154.0368354150642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2.3114216784942188E-3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2.8822548022289798E-3</v>
      </c>
      <c r="C5" s="432" t="s">
        <v>204</v>
      </c>
      <c r="D5" s="417">
        <f>SUM(D6:D11)</f>
        <v>4.6096224084311577E-3</v>
      </c>
      <c r="E5" s="417">
        <f>SUM(E6:E11)</f>
        <v>2.035602660916225E-3</v>
      </c>
      <c r="F5" s="430" t="s">
        <v>204</v>
      </c>
      <c r="G5" s="417">
        <f>SUM(G6:G11)</f>
        <v>0.75702204036433174</v>
      </c>
      <c r="H5" s="417">
        <f>SUM(H6:H11)</f>
        <v>0.23192931453126983</v>
      </c>
      <c r="I5" s="432" t="s">
        <v>204</v>
      </c>
      <c r="J5" s="432" t="s">
        <v>204</v>
      </c>
      <c r="K5" s="432" t="s">
        <v>204</v>
      </c>
      <c r="L5" s="432" t="s">
        <v>204</v>
      </c>
      <c r="M5" s="417">
        <f>SUM(M6:M11)</f>
        <v>5.990872318983817E-2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6.2104332808808865E-4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1.0354570126476191E-3</v>
      </c>
      <c r="E6" s="884">
        <f>vkm_GW_PW*SUMIFS(TableVerdeelsleutelVkm[LPG],TableVerdeelsleutelVkm[Voertuigtype],"Lichte voertuigen")*SUMIFS(TableECFTransport[EnergieConsumptieFactor (PJ per km)],TableECFTransport[Index],CONCATENATE($A6,"_LPG_LPG"))</f>
        <v>4.1051659122043837E-4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0.12337054801923898</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5.0780624204879173E-2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1.0683660828682317E-2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7.6880411568676558E-7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3.0475879731308515E-2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2.2486788007147215E-7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1.7498734750646028E-3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4.3383803258321139E-4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9.906488526346016E-4</v>
      </c>
      <c r="E8" s="420">
        <f>vkm_NGW_PW*SUMIFS(TableVerdeelsleutelVkm[LPG],TableVerdeelsleutelVkm[Voertuigtype],"Lichte voertuigen")*SUMIFS(TableECFTransport[EnergieConsumptieFactor (PJ per km)],TableECFTransport[Index],CONCATENATE($A8,"_LPG_LPG"))</f>
        <v>3.7605540464492448E-4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0.10352056244697658</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4.8129522093451317E-2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9.3559736965946674E-3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2.429851917306798E-7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1.2403863509433E-2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8.5784333113675566E-8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7.1220845918911423E-4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1.8224290036318275E-3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2.5835165431489365E-3</v>
      </c>
      <c r="E10" s="420">
        <f>vkm_SW_PW*SUMIFS(TableVerdeelsleutelVkm[LPG],TableVerdeelsleutelVkm[Voertuigtype],"Lichte voertuigen")*SUMIFS(TableECFTransport[EnergieConsumptieFactor (PJ per km)],TableECFTransport[Index],CONCATENATE($A10,"_LPG_LPG"))</f>
        <v>1.2490306650508622E-3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0.34054444797350852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0.133017673647226</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2.8983346705213554E-2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3.9326486184347238E-6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0.14670673868386611</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1.1839335001601695E-6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8.4236600250939108E-3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800.62633395249441</v>
      </c>
      <c r="C14" s="21"/>
      <c r="D14" s="21">
        <f t="shared" ref="D14:M14" si="0">((D5)*10^9/3600)+D12</f>
        <v>1280.4506690086548</v>
      </c>
      <c r="E14" s="21">
        <f t="shared" si="0"/>
        <v>565.44518358784035</v>
      </c>
      <c r="F14" s="21"/>
      <c r="G14" s="21">
        <f t="shared" si="0"/>
        <v>210283.90010120327</v>
      </c>
      <c r="H14" s="21">
        <f t="shared" si="0"/>
        <v>64424.809592019395</v>
      </c>
      <c r="I14" s="21"/>
      <c r="J14" s="21"/>
      <c r="K14" s="21"/>
      <c r="L14" s="21"/>
      <c r="M14" s="21">
        <f t="shared" si="0"/>
        <v>16641.311997177268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0.20562219367568776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164.62654310183567</v>
      </c>
      <c r="C18" s="23"/>
      <c r="D18" s="23">
        <f t="shared" ref="D18:M18" si="1">D14*D16</f>
        <v>258.65103513974827</v>
      </c>
      <c r="E18" s="23">
        <f t="shared" si="1"/>
        <v>128.35605667443977</v>
      </c>
      <c r="F18" s="23"/>
      <c r="G18" s="23">
        <f t="shared" si="1"/>
        <v>56145.801327021276</v>
      </c>
      <c r="H18" s="23">
        <f t="shared" si="1"/>
        <v>16041.77758841283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2.121242338997279E-4</v>
      </c>
      <c r="C50" s="315">
        <f t="shared" ref="C50:P50" si="2">SUM(C51:C52)</f>
        <v>0</v>
      </c>
      <c r="D50" s="315">
        <f t="shared" si="2"/>
        <v>0</v>
      </c>
      <c r="E50" s="315">
        <f t="shared" si="2"/>
        <v>0</v>
      </c>
      <c r="F50" s="315">
        <f t="shared" si="2"/>
        <v>0</v>
      </c>
      <c r="G50" s="315">
        <f t="shared" si="2"/>
        <v>1.3279618338596094E-2</v>
      </c>
      <c r="H50" s="315">
        <f t="shared" si="2"/>
        <v>0</v>
      </c>
      <c r="I50" s="315">
        <f t="shared" si="2"/>
        <v>0</v>
      </c>
      <c r="J50" s="315">
        <f t="shared" si="2"/>
        <v>0</v>
      </c>
      <c r="K50" s="315">
        <f t="shared" si="2"/>
        <v>0</v>
      </c>
      <c r="L50" s="315">
        <f t="shared" si="2"/>
        <v>0</v>
      </c>
      <c r="M50" s="315">
        <f t="shared" si="2"/>
        <v>7.6248628083511465E-4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2.121242338997279E-4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1.3279618338596094E-2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7.6248628083511465E-4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58.923398305479971</v>
      </c>
      <c r="C54" s="21">
        <f t="shared" ref="C54:P54" si="3">(C50)*10^9/3600</f>
        <v>0</v>
      </c>
      <c r="D54" s="21">
        <f t="shared" si="3"/>
        <v>0</v>
      </c>
      <c r="E54" s="21">
        <f t="shared" si="3"/>
        <v>0</v>
      </c>
      <c r="F54" s="21">
        <f t="shared" si="3"/>
        <v>0</v>
      </c>
      <c r="G54" s="21">
        <f t="shared" si="3"/>
        <v>3688.7828718322485</v>
      </c>
      <c r="H54" s="21">
        <f t="shared" si="3"/>
        <v>0</v>
      </c>
      <c r="I54" s="21">
        <f t="shared" si="3"/>
        <v>0</v>
      </c>
      <c r="J54" s="21">
        <f t="shared" si="3"/>
        <v>0</v>
      </c>
      <c r="K54" s="21">
        <f t="shared" si="3"/>
        <v>0</v>
      </c>
      <c r="L54" s="21">
        <f t="shared" si="3"/>
        <v>0</v>
      </c>
      <c r="M54" s="21">
        <f t="shared" si="3"/>
        <v>211.80174467642072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0.20562219367568776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12.115958418399094</v>
      </c>
      <c r="C58" s="23">
        <f t="shared" ref="C58:P58" ca="1" si="4">C54*C56</f>
        <v>0</v>
      </c>
      <c r="D58" s="23">
        <f t="shared" si="4"/>
        <v>0</v>
      </c>
      <c r="E58" s="23">
        <f t="shared" si="4"/>
        <v>0</v>
      </c>
      <c r="F58" s="23">
        <f t="shared" si="4"/>
        <v>0</v>
      </c>
      <c r="G58" s="23">
        <f t="shared" si="4"/>
        <v>984.9050267792104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11.408045960061447</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5233.2573211860663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5244.6653671461281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2021-11-11T12:14:43Z</dcterms:modified>
</cp:coreProperties>
</file>