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C4DC800D-5AEF-41C4-B00E-6B9E0B47A3F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B34" i="13"/>
  <c r="B33" i="13"/>
  <c r="B36"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0" i="16"/>
  <c r="C22" i="16" s="1"/>
  <c r="D43"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<sst xmlns="http://schemas.openxmlformats.org/spreadsheetml/2006/main" count="2422" uniqueCount="871">
  <si>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</si>
  <si>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</si>
  <si>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</si>
  <si>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</si>
  <si>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</si>
  <si>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</si>
  <si>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</si>
  <si>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</si>
  <si>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</si>
  <si>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</si>
  <si>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</si>
  <si>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</si>
  <si>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</si>
  <si>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</si>
  <si>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</si>
  <si>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</si>
  <si>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</si>
  <si>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</si>
  <si>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</si>
  <si>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</si>
  <si>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</si>
  <si>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</si>
  <si>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</si>
  <si>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</si>
  <si>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</si>
  <si>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</si>
  <si>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</si>
  <si>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</si>
  <si>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</si>
  <si>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</si>
  <si>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</si>
  <si>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</si>
  <si>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</si>
  <si>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</si>
  <si>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</si>
  <si>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</si>
  <si>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</si>
  <si>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</si>
  <si>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</si>
  <si>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</si>
  <si>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</si>
  <si>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</si>
  <si>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</si>
  <si>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</si>
  <si>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</si>
  <si>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</si>
  <si>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</si>
  <si>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</si>
  <si>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</si>
  <si>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</si>
  <si>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</si>
  <si>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</si>
  <si>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</si>
  <si>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</si>
  <si>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</si>
  <si>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</si>
  <si>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</si>
  <si>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</si>
  <si>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</si>
  <si>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</si>
  <si>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</si>
  <si>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</si>
  <si>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</si>
  <si>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</si>
  <si>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</si>
  <si>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</si>
  <si>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</si>
  <si>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</si>
  <si>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</si>
  <si>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</si>
  <si>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</si>
  <si>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</si>
  <si>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</si>
  <si>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</si>
  <si>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</si>
  <si>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</si>
  <si>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</si>
  <si>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</si>
  <si>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</si>
  <si>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</si>
  <si>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</si>
  <si>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</si>
  <si>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</si>
  <si>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</si>
  <si>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</si>
  <si>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</si>
  <si>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</si>
  <si>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</si>
  <si>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</si>
  <si>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</si>
  <si>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</si>
  <si>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</si>
  <si>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</si>
  <si>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</si>
  <si>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</si>
  <si>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</si>
  <si>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</si>
  <si>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</si>
  <si>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</si>
  <si>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</si>
  <si>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</si>
  <si>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</si>
  <si>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</si>
  <si>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</si>
  <si>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</si>
  <si>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</si>
  <si>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</si>
  <si>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</si>
  <si>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</si>
  <si>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</si>
  <si>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</si>
  <si>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</si>
  <si>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</si>
  <si>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</si>
  <si>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</si>
  <si>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</si>
  <si>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</si>
  <si>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</si>
  <si>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</si>
  <si>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</si>
  <si>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</si>
  <si>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</si>
  <si>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</si>
  <si>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</si>
  <si>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</si>
  <si>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</si>
  <si>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</si>
  <si>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</si>
  <si>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</si>
  <si>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</si>
  <si>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</si>
  <si>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</si>
  <si>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</si>
  <si>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</si>
  <si>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</si>
  <si>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</si>
  <si>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</si>
  <si>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</si>
  <si>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</si>
  <si>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</si>
  <si>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</si>
  <si>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</si>
  <si>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</si>
  <si>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</si>
  <si>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</si>
  <si>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</si>
  <si>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</si>
  <si>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</si>
  <si>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</si>
  <si>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</si>
  <si>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</si>
  <si>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</si>
  <si>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</si>
  <si>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</si>
  <si>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</si>
  <si>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</si>
  <si>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</si>
  <si>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</si>
  <si>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</si>
  <si>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</si>
  <si>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</si>
  <si>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</si>
  <si>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</si>
  <si>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</si>
  <si>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</si>
  <si>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</si>
  <si>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</si>
  <si>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</si>
  <si>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</si>
  <si>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</si>
  <si>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</si>
  <si>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</si>
  <si>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</si>
  <si>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</si>
  <si>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</si>
  <si>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</si>
  <si>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</si>
  <si>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</si>
  <si>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</si>
  <si>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</si>
  <si>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</si>
  <si>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</si>
  <si>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</si>
  <si>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</si>
  <si>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</si>
  <si>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</si>
  <si>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</si>
  <si>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</si>
  <si>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</si>
  <si>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</si>
  <si>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</si>
  <si>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</si>
  <si>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</si>
  <si>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</si>
  <si>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</si>
  <si>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</si>
  <si>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</si>
  <si>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</si>
  <si>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</si>
  <si>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</si>
  <si>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</si>
  <si>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</si>
  <si>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</si>
  <si>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</si>
  <si>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</si>
  <si>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</si>
  <si>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</si>
  <si>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</si>
  <si>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</si>
  <si>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</si>
  <si>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</si>
  <si>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</si>
  <si>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</si>
  <si>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</si>
  <si>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</si>
  <si>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</si>
  <si>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</si>
  <si>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</si>
  <si>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</si>
  <si>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</si>
  <si>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</si>
  <si>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</si>
  <si>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</si>
  <si>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</si>
  <si>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</si>
  <si>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</si>
  <si>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</si>
  <si>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</si>
  <si>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</si>
  <si>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</si>
  <si>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</si>
  <si>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</si>
  <si>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</si>
  <si>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</si>
  <si>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</si>
  <si>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</si>
  <si>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</si>
  <si>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</si>
  <si>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</si>
  <si>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</si>
  <si>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</si>
  <si>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</si>
  <si>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</si>
  <si>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</si>
  <si>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</si>
  <si>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</si>
  <si>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</si>
  <si>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</si>
  <si>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</si>
  <si>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</si>
  <si>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</si>
  <si>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</si>
  <si>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</si>
  <si>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</si>
  <si>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</si>
  <si>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</si>
  <si>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</si>
  <si>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</si>
  <si>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</si>
  <si>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</si>
  <si>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</si>
  <si>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</si>
  <si>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</si>
  <si>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</si>
  <si>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</si>
  <si>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</si>
  <si>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</si>
  <si>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</si>
  <si>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</si>
  <si>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</si>
  <si>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</si>
  <si>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</si>
  <si>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</si>
  <si>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</si>
  <si>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</si>
  <si>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</si>
  <si>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</si>
  <si>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</si>
  <si>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</si>
  <si>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</si>
  <si>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</si>
  <si>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</si>
  <si>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</si>
  <si>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</si>
  <si>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</si>
  <si>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</si>
  <si>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</si>
  <si>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</si>
  <si>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</si>
  <si>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</si>
  <si>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</si>
  <si>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</si>
  <si>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</si>
  <si>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</si>
  <si>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</si>
  <si>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</si>
  <si>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</si>
  <si>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</si>
  <si>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</si>
  <si>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</si>
  <si>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</si>
  <si>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</si>
  <si>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</si>
  <si>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</si>
  <si>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</si>
  <si>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</si>
  <si>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</si>
  <si>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</si>
  <si>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</si>
  <si>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</si>
  <si>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</si>
  <si>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</si>
  <si>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</si>
  <si>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</si>
  <si>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</si>
  <si>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</si>
  <si>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</si>
  <si>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</si>
  <si>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</si>
  <si>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</si>
  <si>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</si>
  <si>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</si>
  <si>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</si>
  <si>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</si>
  <si>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</si>
  <si>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</si>
  <si>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</si>
  <si>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</si>
  <si>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</si>
  <si>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</si>
  <si>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</si>
  <si>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</si>
  <si>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</si>
  <si>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</si>
  <si>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</si>
  <si>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</si>
  <si>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</si>
  <si>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</si>
  <si>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</si>
  <si>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</si>
  <si>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</si>
  <si>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</si>
  <si>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</si>
  <si>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</si>
  <si>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</si>
  <si>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</si>
  <si>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</si>
  <si>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</si>
  <si>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</si>
  <si>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</si>
  <si>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</si>
  <si>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</si>
  <si>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</si>
  <si>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</si>
  <si>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</si>
  <si>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</si>
  <si>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</si>
  <si>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</si>
  <si>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</si>
  <si>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</si>
  <si>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</si>
  <si>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</si>
  <si>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</si>
  <si>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</si>
  <si>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</si>
  <si>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</si>
  <si>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</si>
  <si>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</si>
  <si>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</si>
  <si>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</si>
  <si>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</si>
  <si>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</si>
  <si>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</si>
  <si>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</si>
  <si>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</si>
  <si>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</si>
  <si>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</si>
  <si>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</si>
  <si>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</si>
  <si>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</si>
  <si>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</si>
  <si>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</si>
  <si>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</si>
  <si>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</si>
  <si>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</si>
  <si>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</si>
  <si>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</si>
  <si>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</si>
  <si>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</si>
  <si>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</si>
  <si>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</si>
  <si>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</si>
  <si>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</si>
  <si>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</si>
  <si>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</si>
  <si>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</si>
  <si>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</si>
  <si>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</si>
  <si>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</si>
  <si>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</si>
  <si>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</si>
  <si>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</si>
  <si>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</si>
  <si>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</si>
  <si>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</si>
  <si>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</si>
  <si>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</si>
  <si>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</si>
  <si>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</si>
  <si>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</si>
  <si>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</si>
  <si>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</si>
  <si>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</si>
  <si>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</si>
  <si>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</si>
  <si>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</si>
  <si>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</si>
  <si>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</si>
  <si>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</si>
  <si>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</si>
  <si>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</si>
  <si>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</si>
  <si>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</si>
  <si>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</si>
  <si>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</si>
  <si>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</si>
  <si>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</si>
  <si>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</si>
  <si>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</si>
  <si>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</si>
  <si>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</si>
  <si>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</si>
  <si>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</si>
  <si>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</si>
  <si>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</si>
  <si>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</si>
  <si>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</si>
  <si>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</si>
  <si>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</si>
  <si>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</si>
  <si>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</si>
  <si>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</si>
  <si>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</si>
  <si>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</si>
  <si>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</si>
  <si>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</si>
  <si>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</si>
  <si>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</si>
  <si>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</si>
  <si>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</si>
  <si>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</si>
  <si>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</si>
  <si>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</si>
  <si>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</si>
  <si>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</si>
  <si>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</si>
  <si>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</si>
  <si>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</si>
  <si>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</si>
  <si>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</si>
  <si>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</si>
  <si>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</si>
  <si>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</si>
  <si>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</si>
  <si>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</si>
  <si>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</si>
  <si>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</si>
  <si>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</si>
  <si>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</si>
  <si>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</si>
  <si>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</si>
  <si>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</si>
  <si>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</si>
  <si>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</si>
  <si>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</si>
  <si>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</si>
  <si>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</si>
  <si>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</si>
  <si>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</si>
  <si>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</si>
  <si>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</si>
  <si>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</si>
  <si>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</si>
  <si>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</si>
  <si>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</si>
  <si>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</si>
  <si>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</si>
  <si>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</si>
  <si>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</si>
  <si>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</si>
  <si>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</si>
  <si>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</si>
  <si>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</si>
  <si>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</si>
  <si>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</si>
  <si>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</si>
  <si>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</si>
  <si>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</si>
  <si>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</si>
  <si>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</si>
  <si>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</si>
  <si>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</si>
  <si>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</si>
  <si>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</si>
  <si>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</si>
  <si>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</si>
  <si>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</si>
  <si>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</si>
  <si>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</si>
  <si>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</si>
  <si>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</si>
  <si>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</si>
  <si>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</si>
  <si>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</si>
  <si>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</si>
  <si>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</si>
  <si>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</si>
  <si>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</si>
  <si>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</si>
  <si>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</si>
  <si>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</si>
  <si>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</si>
  <si>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</si>
  <si>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</si>
  <si>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</si>
  <si>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</si>
  <si>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</si>
  <si>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</si>
  <si>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</si>
  <si>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</si>
  <si>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</si>
  <si>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</si>
  <si>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</si>
  <si>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</si>
  <si>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</si>
  <si>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</si>
  <si>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</si>
  <si>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</si>
  <si>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</si>
  <si>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</si>
  <si>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</si>
  <si>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</si>
  <si>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</si>
  <si>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</si>
  <si>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</si>
  <si>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</si>
  <si>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</si>
  <si>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</si>
  <si>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</si>
  <si>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</si>
  <si>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</si>
  <si>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</si>
  <si>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</si>
  <si>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</si>
  <si>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</si>
  <si>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</si>
  <si>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</si>
  <si>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</si>
  <si>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</si>
  <si>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</si>
  <si>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</si>
  <si>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</si>
  <si>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</si>
  <si>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</si>
  <si>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</si>
  <si>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</si>
  <si>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</si>
  <si>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</si>
  <si>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</si>
  <si>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</si>
  <si>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</si>
  <si>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</si>
  <si>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</si>
  <si>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</si>
  <si>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</si>
  <si>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</si>
  <si>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</si>
  <si>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</si>
  <si>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</si>
  <si>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</si>
  <si>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</si>
  <si>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</si>
  <si>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</si>
  <si>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</si>
  <si>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</si>
  <si>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</si>
  <si>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</si>
  <si>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</si>
  <si>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</si>
  <si>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</si>
  <si>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</si>
  <si>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</si>
  <si>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</si>
  <si>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</si>
  <si>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</si>
  <si>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</si>
  <si>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</si>
  <si>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</si>
  <si>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</si>
  <si>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</si>
  <si>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</si>
  <si>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</si>
  <si>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</si>
  <si>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</si>
  <si>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</si>
  <si>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</si>
  <si>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</si>
  <si>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</si>
  <si>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</si>
  <si>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</si>
  <si>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</si>
  <si>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</si>
  <si>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</si>
  <si>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</si>
  <si>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</si>
  <si>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</si>
  <si>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</si>
  <si>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</si>
  <si>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</si>
  <si>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</si>
  <si>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</si>
  <si>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</si>
  <si>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</si>
  <si>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</si>
  <si>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</si>
  <si>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</si>
  <si>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</si>
  <si>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</si>
  <si>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</si>
  <si>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</si>
  <si>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</si>
  <si>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</si>
  <si>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</si>
  <si>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</si>
  <si>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</si>
  <si>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</si>
  <si>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</si>
  <si>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</si>
  <si>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</si>
  <si>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</si>
  <si>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</si>
  <si>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</si>
  <si>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</si>
  <si>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</si>
  <si>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</si>
  <si>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</si>
  <si>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</si>
  <si>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</si>
  <si>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</si>
  <si>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</si>
  <si>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</si>
  <si>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</si>
  <si>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</si>
  <si>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</si>
  <si>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</si>
  <si>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</si>
  <si>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</si>
  <si>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</si>
  <si>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</si>
  <si>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</si>
  <si>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</si>
  <si>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</si>
  <si>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</si>
  <si>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</si>
  <si>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</si>
  <si>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</si>
  <si>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</si>
  <si>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</si>
  <si>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</si>
  <si>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</si>
  <si>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</si>
  <si>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</si>
  <si>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</si>
  <si>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</si>
  <si>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</si>
  <si>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</si>
  <si>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</si>
  <si>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</si>
  <si>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</si>
  <si>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</si>
  <si>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</si>
  <si>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</si>
  <si>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</si>
  <si>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</si>
  <si>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</si>
  <si>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</si>
  <si>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</si>
  <si>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</si>
  <si>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</si>
  <si>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</si>
  <si>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</si>
  <si>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</si>
  <si>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</si>
  <si>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</si>
  <si>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</si>
  <si>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</si>
  <si>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</si>
  <si>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</si>
  <si>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</si>
  <si>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</si>
  <si>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</si>
  <si>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</si>
  <si>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</si>
  <si>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</si>
  <si>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</si>
  <si>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</si>
  <si>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</si>
  <si>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</si>
  <si>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</si>
  <si>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</si>
  <si>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</si>
  <si>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</si>
  <si>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</si>
  <si>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</si>
  <si>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</si>
  <si>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</si>
  <si>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</si>
  <si>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</si>
  <si>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</si>
  <si>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</si>
  <si>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</si>
  <si>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</si>
  <si>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</si>
  <si>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</si>
  <si>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</si>
  <si>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</si>
  <si>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</si>
  <si>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</si>
  <si>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</si>
  <si>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</si>
  <si>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</si>
  <si>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</si>
  <si>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</si>
  <si>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</si>
  <si>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</si>
  <si>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</si>
  <si>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</si>
  <si>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</si>
  <si>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</si>
  <si>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</si>
  <si>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</si>
  <si>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</si>
  <si>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</si>
  <si>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</si>
  <si>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</si>
  <si>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</si>
  <si>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</si>
  <si>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</si>
  <si>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</si>
  <si>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</si>
  <si>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</si>
  <si>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</si>
  <si>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</si>
  <si>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</si>
  <si>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</si>
  <si>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</si>
  <si>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</si>
  <si>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</si>
  <si>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</si>
  <si>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</si>
  <si>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</si>
  <si>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</si>
  <si>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</si>
  <si>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</si>
  <si>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</si>
  <si>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</si>
  <si>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</si>
  <si>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</si>
  <si>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</si>
  <si>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</si>
  <si>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</si>
  <si>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</si>
  <si>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</si>
  <si>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</si>
  <si>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</si>
  <si>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</si>
  <si>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</si>
  <si>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</si>
  <si>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</si>
  <si>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</si>
  <si>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</si>
  <si>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</si>
  <si>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</si>
  <si>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</si>
  <si>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</si>
  <si>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</si>
  <si>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</si>
  <si>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</si>
  <si>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</si>
  <si>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</si>
  <si>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</si>
  <si>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</si>
  <si>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</si>
  <si>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</si>
  <si>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</si>
  <si>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</si>
  <si>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</si>
  <si>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</si>
  <si>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</si>
  <si>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</si>
  <si>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</si>
  <si>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</si>
  <si>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</si>
  <si>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</si>
  <si>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</si>
  <si>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</si>
  <si>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</si>
  <si>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</si>
  <si>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</si>
  <si>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</si>
  <si>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</si>
  <si>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</si>
  <si>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</si>
  <si>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</si>
  <si>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</si>
  <si>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</si>
  <si>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</si>
  <si>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</si>
  <si>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</si>
  <si>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</si>
  <si>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</si>
  <si>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</si>
  <si>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</si>
  <si>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</si>
  <si>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</si>
  <si>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</si>
  <si>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</si>
  <si>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</si>
  <si>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</si>
  <si>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</si>
  <si>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</si>
  <si>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</si>
  <si>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</si>
  <si>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</si>
  <si>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</si>
  <si>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</si>
  <si>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</si>
  <si>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</si>
  <si>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</si>
  <si>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</si>
  <si>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</si>
  <si>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</si>
  <si>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</si>
  <si>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</si>
  <si>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</si>
  <si>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</si>
  <si>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</si>
  <si>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</si>
  <si>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</si>
  <si>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</si>
  <si>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</si>
  <si>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</si>
  <si>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</si>
  <si>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</si>
  <si>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</si>
  <si>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</si>
  <si>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</si>
  <si>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</si>
  <si>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</si>
  <si>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</si>
  <si>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</si>
  <si>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</si>
  <si>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</si>
  <si>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</si>
  <si>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23052</t>
  </si>
  <si>
    <t>MERCHTEM</t>
  </si>
  <si>
    <t>referentietaak LNE (2017); Jaarverslag De Lijn</t>
  </si>
  <si>
    <t>waterkracht</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</si>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</sst>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C268E8B-D3BB-4786-A766-2460F1CAF28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138963.95407724424</c:v>
                </c:pt>
                <c:pt idx="1">
                  <c:v>39572.290988151392</c:v>
                </c:pt>
                <c:pt idx="2">
                  <c:v>826.86</c:v>
                </c:pt>
                <c:pt idx="3">
                  <c:v>13999.216775975274</c:v>
                </c:pt>
                <c:pt idx="4">
                  <c:v>7967.9497303533735</c:v>
                </c:pt>
                <c:pt idx="5">
                  <c:v>77107.391264823003</c:v>
                </c:pt>
                <c:pt idx="6">
                  <c:v>1454.3763793304083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138963.95407724424</c:v>
                </c:pt>
                <c:pt idx="1">
                  <c:v>39572.290988151392</c:v>
                </c:pt>
                <c:pt idx="2">
                  <c:v>826.86</c:v>
                </c:pt>
                <c:pt idx="3">
                  <c:v>13999.216775975274</c:v>
                </c:pt>
                <c:pt idx="4">
                  <c:v>7967.9497303533735</c:v>
                </c:pt>
                <c:pt idx="5">
                  <c:v>77107.391264823003</c:v>
                </c:pt>
                <c:pt idx="6">
                  <c:v>1454.3763793304083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28667.366513155608</c:v>
                </c:pt>
                <c:pt idx="1">
                  <c:v>7945.4430702475847</c:v>
                </c:pt>
                <c:pt idx="2">
                  <c:v>163.20954863129322</c:v>
                </c:pt>
                <c:pt idx="3">
                  <c:v>3499.0606219325873</c:v>
                </c:pt>
                <c:pt idx="4">
                  <c:v>1666.680163661583</c:v>
                </c:pt>
                <c:pt idx="5">
                  <c:v>19018.500938699704</c:v>
                </c:pt>
                <c:pt idx="6">
                  <c:v>366.03988222700588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28667.366513155608</c:v>
                </c:pt>
                <c:pt idx="1">
                  <c:v>7945.4430702475847</c:v>
                </c:pt>
                <c:pt idx="2">
                  <c:v>163.20954863129322</c:v>
                </c:pt>
                <c:pt idx="3">
                  <c:v>3499.0606219325873</c:v>
                </c:pt>
                <c:pt idx="4">
                  <c:v>1666.680163661583</c:v>
                </c:pt>
                <c:pt idx="5">
                  <c:v>19018.500938699704</c:v>
                </c:pt>
                <c:pt idx="6">
                  <c:v>366.03988222700588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23052</v>
      </c>
      <c r="B6" s="384"/>
      <c r="C6" s="385"/>
    </row>
    <row r="7" spans="1:7" s="382" customFormat="1" ht="15.75" customHeight="1">
      <c r="A7" s="386" t="str">
        <f>txtMunicipality</f>
        <v>MERCHTEM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16741.377125019837</v>
      </c>
      <c r="D10" s="681">
        <f ca="1">tertiair!C16</f>
        <v>0</v>
      </c>
      <c r="E10" s="681">
        <f ca="1">tertiair!D16</f>
        <v>19608.807587675376</v>
      </c>
      <c r="F10" s="681">
        <f>tertiair!E16</f>
        <v>85.058923019848947</v>
      </c>
      <c r="G10" s="681">
        <f ca="1">tertiair!F16</f>
        <v>3085.6392124275949</v>
      </c>
      <c r="H10" s="681">
        <f>tertiair!G16</f>
        <v>0</v>
      </c>
      <c r="I10" s="681">
        <f>tertiair!H16</f>
        <v>0</v>
      </c>
      <c r="J10" s="681">
        <f>tertiair!I16</f>
        <v>0</v>
      </c>
      <c r="K10" s="681">
        <f>tertiair!J16</f>
        <v>1.9827519550414813E-2</v>
      </c>
      <c r="L10" s="681">
        <f>tertiair!K16</f>
        <v>0</v>
      </c>
      <c r="M10" s="681">
        <f ca="1">tertiair!L16</f>
        <v>0</v>
      </c>
      <c r="N10" s="681">
        <f>tertiair!M16</f>
        <v>0</v>
      </c>
      <c r="O10" s="681">
        <f ca="1">tertiair!N16</f>
        <v>763.37551434451666</v>
      </c>
      <c r="P10" s="681">
        <f>tertiair!O16</f>
        <v>9.7945215316823084</v>
      </c>
      <c r="Q10" s="682">
        <f>tertiair!P16</f>
        <v>105.07827661299004</v>
      </c>
      <c r="R10" s="684">
        <f ca="1">SUM(C10:Q10)</f>
        <v>40399.150988151392</v>
      </c>
      <c r="S10" s="67"/>
    </row>
    <row r="11" spans="1:19" s="443" customFormat="1">
      <c r="A11" s="802" t="s">
        <v>214</v>
      </c>
      <c r="B11" s="807"/>
      <c r="C11" s="681">
        <f>huishoudens!B8</f>
        <v>31020.761293331587</v>
      </c>
      <c r="D11" s="681">
        <f>huishoudens!C8</f>
        <v>0</v>
      </c>
      <c r="E11" s="681">
        <f>huishoudens!D8</f>
        <v>50508.901918335359</v>
      </c>
      <c r="F11" s="681">
        <f>huishoudens!E8</f>
        <v>2016.5064280643276</v>
      </c>
      <c r="G11" s="681">
        <f>huishoudens!F8</f>
        <v>44174.810355129659</v>
      </c>
      <c r="H11" s="681">
        <f>huishoudens!G8</f>
        <v>0</v>
      </c>
      <c r="I11" s="681">
        <f>huishoudens!H8</f>
        <v>0</v>
      </c>
      <c r="J11" s="681">
        <f>huishoudens!I8</f>
        <v>0</v>
      </c>
      <c r="K11" s="681">
        <f>huishoudens!J8</f>
        <v>251.75707577891237</v>
      </c>
      <c r="L11" s="681">
        <f>huishoudens!K8</f>
        <v>0</v>
      </c>
      <c r="M11" s="681">
        <f>huishoudens!L8</f>
        <v>0</v>
      </c>
      <c r="N11" s="681">
        <f>huishoudens!M8</f>
        <v>0</v>
      </c>
      <c r="O11" s="681">
        <f>huishoudens!N8</f>
        <v>9544.193372737167</v>
      </c>
      <c r="P11" s="681">
        <f>huishoudens!O8</f>
        <v>277.75415071418445</v>
      </c>
      <c r="Q11" s="682">
        <f>huishoudens!P8</f>
        <v>1169.2694831530375</v>
      </c>
      <c r="R11" s="684">
        <f>SUM(C11:Q11)</f>
        <v>138963.95407724424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4171.2435982049519</v>
      </c>
      <c r="D13" s="681">
        <f>industrie!C18</f>
        <v>0</v>
      </c>
      <c r="E13" s="681">
        <f>industrie!D18</f>
        <v>2038.2135464580547</v>
      </c>
      <c r="F13" s="681">
        <f>industrie!E18</f>
        <v>29.903062701250761</v>
      </c>
      <c r="G13" s="681">
        <f>industrie!F18</f>
        <v>1590.4020045741556</v>
      </c>
      <c r="H13" s="681">
        <f>industrie!G18</f>
        <v>0</v>
      </c>
      <c r="I13" s="681">
        <f>industrie!H18</f>
        <v>0</v>
      </c>
      <c r="J13" s="681">
        <f>industrie!I18</f>
        <v>0</v>
      </c>
      <c r="K13" s="681">
        <f>industrie!J18</f>
        <v>0.55325148981246297</v>
      </c>
      <c r="L13" s="681">
        <f>industrie!K18</f>
        <v>0</v>
      </c>
      <c r="M13" s="681">
        <f>industrie!L18</f>
        <v>0</v>
      </c>
      <c r="N13" s="681">
        <f>industrie!M18</f>
        <v>0</v>
      </c>
      <c r="O13" s="681">
        <f>industrie!N18</f>
        <v>137.63426692514847</v>
      </c>
      <c r="P13" s="681">
        <f>industrie!O18</f>
        <v>0</v>
      </c>
      <c r="Q13" s="682">
        <f>industrie!P18</f>
        <v>0</v>
      </c>
      <c r="R13" s="684">
        <f>SUM(C13:Q13)</f>
        <v>7967.9497303533735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51933.382016556374</v>
      </c>
      <c r="D16" s="717">
        <f t="shared" ref="D16:R16" ca="1" si="0">SUM(D9:D15)</f>
        <v>0</v>
      </c>
      <c r="E16" s="717">
        <f t="shared" ca="1" si="0"/>
        <v>72155.923052468788</v>
      </c>
      <c r="F16" s="717">
        <f t="shared" si="0"/>
        <v>2131.4684137854274</v>
      </c>
      <c r="G16" s="717">
        <f t="shared" ca="1" si="0"/>
        <v>48850.851572131411</v>
      </c>
      <c r="H16" s="717">
        <f t="shared" si="0"/>
        <v>0</v>
      </c>
      <c r="I16" s="717">
        <f t="shared" si="0"/>
        <v>0</v>
      </c>
      <c r="J16" s="717">
        <f t="shared" si="0"/>
        <v>0</v>
      </c>
      <c r="K16" s="717">
        <f t="shared" si="0"/>
        <v>252.33015478827522</v>
      </c>
      <c r="L16" s="717">
        <f t="shared" si="0"/>
        <v>0</v>
      </c>
      <c r="M16" s="717">
        <f t="shared" ca="1" si="0"/>
        <v>0</v>
      </c>
      <c r="N16" s="717">
        <f t="shared" si="0"/>
        <v>0</v>
      </c>
      <c r="O16" s="717">
        <f t="shared" ca="1" si="0"/>
        <v>10445.203154006831</v>
      </c>
      <c r="P16" s="717">
        <f t="shared" si="0"/>
        <v>287.54867224586678</v>
      </c>
      <c r="Q16" s="717">
        <f t="shared" si="0"/>
        <v>1274.3477597660276</v>
      </c>
      <c r="R16" s="717">
        <f t="shared" ca="1" si="0"/>
        <v>187331.05479574902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21.643294663059265</v>
      </c>
      <c r="D19" s="681">
        <f>transport!C54</f>
        <v>0</v>
      </c>
      <c r="E19" s="681">
        <f>transport!D54</f>
        <v>0</v>
      </c>
      <c r="F19" s="681">
        <f>transport!E54</f>
        <v>0</v>
      </c>
      <c r="G19" s="681">
        <f>transport!F54</f>
        <v>0</v>
      </c>
      <c r="H19" s="681">
        <f>transport!G54</f>
        <v>1354.9356781699119</v>
      </c>
      <c r="I19" s="681">
        <f>transport!H54</f>
        <v>0</v>
      </c>
      <c r="J19" s="681">
        <f>transport!I54</f>
        <v>0</v>
      </c>
      <c r="K19" s="681">
        <f>transport!J54</f>
        <v>0</v>
      </c>
      <c r="L19" s="681">
        <f>transport!K54</f>
        <v>0</v>
      </c>
      <c r="M19" s="681">
        <f>transport!L54</f>
        <v>0</v>
      </c>
      <c r="N19" s="681">
        <f>transport!M54</f>
        <v>77.797406497437038</v>
      </c>
      <c r="O19" s="681">
        <f>transport!N54</f>
        <v>0</v>
      </c>
      <c r="P19" s="681">
        <f>transport!O54</f>
        <v>0</v>
      </c>
      <c r="Q19" s="682">
        <f>transport!P54</f>
        <v>0</v>
      </c>
      <c r="R19" s="684">
        <f>SUM(C19:Q19)</f>
        <v>1454.3763793304083</v>
      </c>
      <c r="S19" s="67"/>
    </row>
    <row r="20" spans="1:19" s="443" customFormat="1">
      <c r="A20" s="802" t="s">
        <v>296</v>
      </c>
      <c r="B20" s="807"/>
      <c r="C20" s="681">
        <f>transport!B14</f>
        <v>192.43153048774852</v>
      </c>
      <c r="D20" s="681">
        <f>transport!C14</f>
        <v>0</v>
      </c>
      <c r="E20" s="681">
        <f>transport!D14</f>
        <v>399.60398952148012</v>
      </c>
      <c r="F20" s="681">
        <f>transport!E14</f>
        <v>153.4868402082821</v>
      </c>
      <c r="G20" s="681">
        <f>transport!F14</f>
        <v>0</v>
      </c>
      <c r="H20" s="681">
        <f>transport!G14</f>
        <v>52504.257305723659</v>
      </c>
      <c r="I20" s="681">
        <f>transport!H14</f>
        <v>19463.131209889398</v>
      </c>
      <c r="J20" s="681">
        <f>transport!I14</f>
        <v>0</v>
      </c>
      <c r="K20" s="681">
        <f>transport!J14</f>
        <v>0</v>
      </c>
      <c r="L20" s="681">
        <f>transport!K14</f>
        <v>0</v>
      </c>
      <c r="M20" s="681">
        <f>transport!L14</f>
        <v>0</v>
      </c>
      <c r="N20" s="681">
        <f>transport!M14</f>
        <v>4394.4803889924333</v>
      </c>
      <c r="O20" s="681">
        <f>transport!N14</f>
        <v>0</v>
      </c>
      <c r="P20" s="681">
        <f>transport!O14</f>
        <v>0</v>
      </c>
      <c r="Q20" s="682">
        <f>transport!P14</f>
        <v>0</v>
      </c>
      <c r="R20" s="684">
        <f>SUM(C20:Q20)</f>
        <v>77107.391264823003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214.07482515080778</v>
      </c>
      <c r="D22" s="805">
        <f t="shared" ref="D22:R22" si="1">SUM(D18:D21)</f>
        <v>0</v>
      </c>
      <c r="E22" s="805">
        <f t="shared" si="1"/>
        <v>399.60398952148012</v>
      </c>
      <c r="F22" s="805">
        <f t="shared" si="1"/>
        <v>153.4868402082821</v>
      </c>
      <c r="G22" s="805">
        <f t="shared" si="1"/>
        <v>0</v>
      </c>
      <c r="H22" s="805">
        <f t="shared" si="1"/>
        <v>53859.192983893568</v>
      </c>
      <c r="I22" s="805">
        <f t="shared" si="1"/>
        <v>19463.131209889398</v>
      </c>
      <c r="J22" s="805">
        <f t="shared" si="1"/>
        <v>0</v>
      </c>
      <c r="K22" s="805">
        <f t="shared" si="1"/>
        <v>0</v>
      </c>
      <c r="L22" s="805">
        <f t="shared" si="1"/>
        <v>0</v>
      </c>
      <c r="M22" s="805">
        <f t="shared" si="1"/>
        <v>0</v>
      </c>
      <c r="N22" s="805">
        <f t="shared" si="1"/>
        <v>4472.2777954898702</v>
      </c>
      <c r="O22" s="805">
        <f t="shared" si="1"/>
        <v>0</v>
      </c>
      <c r="P22" s="805">
        <f t="shared" si="1"/>
        <v>0</v>
      </c>
      <c r="Q22" s="805">
        <f t="shared" si="1"/>
        <v>0</v>
      </c>
      <c r="R22" s="805">
        <f t="shared" si="1"/>
        <v>78561.767644153413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2843.23415971349</v>
      </c>
      <c r="D24" s="681">
        <f>+landbouw!C8</f>
        <v>62.357142857142847</v>
      </c>
      <c r="E24" s="681">
        <f>+landbouw!D8</f>
        <v>1289.0346323656825</v>
      </c>
      <c r="F24" s="681">
        <f>+landbouw!E8</f>
        <v>81.435037967303757</v>
      </c>
      <c r="G24" s="681">
        <f>+landbouw!F8</f>
        <v>9000.2106406101357</v>
      </c>
      <c r="H24" s="681">
        <f>+landbouw!G8</f>
        <v>0</v>
      </c>
      <c r="I24" s="681">
        <f>+landbouw!H8</f>
        <v>0</v>
      </c>
      <c r="J24" s="681">
        <f>+landbouw!I8</f>
        <v>0</v>
      </c>
      <c r="K24" s="681">
        <f>+landbouw!J8</f>
        <v>722.94516246151818</v>
      </c>
      <c r="L24" s="681">
        <f>+landbouw!K8</f>
        <v>0</v>
      </c>
      <c r="M24" s="681">
        <f>+landbouw!L8</f>
        <v>0</v>
      </c>
      <c r="N24" s="681">
        <f>+landbouw!M8</f>
        <v>0</v>
      </c>
      <c r="O24" s="681">
        <f>+landbouw!N8</f>
        <v>0</v>
      </c>
      <c r="P24" s="681">
        <f>+landbouw!O8</f>
        <v>0</v>
      </c>
      <c r="Q24" s="682">
        <f>+landbouw!P8</f>
        <v>0</v>
      </c>
      <c r="R24" s="684">
        <f>SUM(C24:Q24)</f>
        <v>13999.216775975274</v>
      </c>
      <c r="S24" s="67"/>
    </row>
    <row r="25" spans="1:19" s="443" customFormat="1" ht="15" thickBot="1">
      <c r="A25" s="824" t="s">
        <v>690</v>
      </c>
      <c r="B25" s="937"/>
      <c r="C25" s="938">
        <f>IF(Onbekend_ele_kWh="---",0,Onbekend_ele_kWh)/1000+IF(REST_rest_ele_kWh="---",0,REST_rest_ele_kWh)/1000</f>
        <v>940.81867339713892</v>
      </c>
      <c r="D25" s="938"/>
      <c r="E25" s="938">
        <f>IF(onbekend_gas_kWh="---",0,onbekend_gas_kWh)/1000+IF(REST_rest_gas_kWh="---",0,REST_rest_gas_kWh)/1000</f>
        <v>2013.9489287613901</v>
      </c>
      <c r="F25" s="938"/>
      <c r="G25" s="938"/>
      <c r="H25" s="938"/>
      <c r="I25" s="938"/>
      <c r="J25" s="938"/>
      <c r="K25" s="938"/>
      <c r="L25" s="938"/>
      <c r="M25" s="938"/>
      <c r="N25" s="938"/>
      <c r="O25" s="938"/>
      <c r="P25" s="938"/>
      <c r="Q25" s="939"/>
      <c r="R25" s="684">
        <f>SUM(C25:Q25)</f>
        <v>2954.7676021585289</v>
      </c>
      <c r="S25" s="67"/>
    </row>
    <row r="26" spans="1:19" s="443" customFormat="1" ht="15.75" thickBot="1">
      <c r="A26" s="689" t="s">
        <v>691</v>
      </c>
      <c r="B26" s="810"/>
      <c r="C26" s="805">
        <f>SUM(C24:C25)</f>
        <v>3784.0528331106289</v>
      </c>
      <c r="D26" s="805">
        <f t="shared" ref="D26:R26" si="2">SUM(D24:D25)</f>
        <v>62.357142857142847</v>
      </c>
      <c r="E26" s="805">
        <f t="shared" si="2"/>
        <v>3302.9835611270728</v>
      </c>
      <c r="F26" s="805">
        <f t="shared" si="2"/>
        <v>81.435037967303757</v>
      </c>
      <c r="G26" s="805">
        <f t="shared" si="2"/>
        <v>9000.2106406101357</v>
      </c>
      <c r="H26" s="805">
        <f t="shared" si="2"/>
        <v>0</v>
      </c>
      <c r="I26" s="805">
        <f t="shared" si="2"/>
        <v>0</v>
      </c>
      <c r="J26" s="805">
        <f t="shared" si="2"/>
        <v>0</v>
      </c>
      <c r="K26" s="805">
        <f t="shared" si="2"/>
        <v>722.94516246151818</v>
      </c>
      <c r="L26" s="805">
        <f t="shared" si="2"/>
        <v>0</v>
      </c>
      <c r="M26" s="805">
        <f t="shared" si="2"/>
        <v>0</v>
      </c>
      <c r="N26" s="805">
        <f t="shared" si="2"/>
        <v>0</v>
      </c>
      <c r="O26" s="805">
        <f t="shared" si="2"/>
        <v>0</v>
      </c>
      <c r="P26" s="805">
        <f t="shared" si="2"/>
        <v>0</v>
      </c>
      <c r="Q26" s="805">
        <f t="shared" si="2"/>
        <v>0</v>
      </c>
      <c r="R26" s="805">
        <f t="shared" si="2"/>
        <v>16953.984378133802</v>
      </c>
      <c r="S26" s="67"/>
    </row>
    <row r="27" spans="1:19" s="443" customFormat="1" ht="17.25" thickTop="1" thickBot="1">
      <c r="A27" s="690" t="s">
        <v>109</v>
      </c>
      <c r="B27" s="797"/>
      <c r="C27" s="691">
        <f ca="1">C22+C16+C26</f>
        <v>55931.509674817804</v>
      </c>
      <c r="D27" s="691">
        <f t="shared" ref="D27:R27" ca="1" si="3">D22+D16+D26</f>
        <v>62.357142857142847</v>
      </c>
      <c r="E27" s="691">
        <f t="shared" ca="1" si="3"/>
        <v>75858.510603117335</v>
      </c>
      <c r="F27" s="691">
        <f t="shared" si="3"/>
        <v>2366.3902919610132</v>
      </c>
      <c r="G27" s="691">
        <f t="shared" ca="1" si="3"/>
        <v>57851.062212741548</v>
      </c>
      <c r="H27" s="691">
        <f t="shared" si="3"/>
        <v>53859.192983893568</v>
      </c>
      <c r="I27" s="691">
        <f t="shared" si="3"/>
        <v>19463.131209889398</v>
      </c>
      <c r="J27" s="691">
        <f t="shared" si="3"/>
        <v>0</v>
      </c>
      <c r="K27" s="691">
        <f t="shared" si="3"/>
        <v>975.27531724979337</v>
      </c>
      <c r="L27" s="691">
        <f t="shared" si="3"/>
        <v>0</v>
      </c>
      <c r="M27" s="691">
        <f t="shared" ca="1" si="3"/>
        <v>0</v>
      </c>
      <c r="N27" s="691">
        <f t="shared" si="3"/>
        <v>4472.2777954898702</v>
      </c>
      <c r="O27" s="691">
        <f t="shared" ca="1" si="3"/>
        <v>10445.203154006831</v>
      </c>
      <c r="P27" s="691">
        <f t="shared" si="3"/>
        <v>287.54867224586678</v>
      </c>
      <c r="Q27" s="691">
        <f t="shared" si="3"/>
        <v>1274.3477597660276</v>
      </c>
      <c r="R27" s="691">
        <f t="shared" ca="1" si="3"/>
        <v>282846.80681803625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3304.4924219828572</v>
      </c>
      <c r="D40" s="681">
        <f ca="1">tertiair!C20</f>
        <v>0</v>
      </c>
      <c r="E40" s="681">
        <f ca="1">tertiair!D20</f>
        <v>3960.9791327104263</v>
      </c>
      <c r="F40" s="681">
        <f>tertiair!E20</f>
        <v>19.308375525505713</v>
      </c>
      <c r="G40" s="681">
        <f ca="1">tertiair!F20</f>
        <v>823.86566971816785</v>
      </c>
      <c r="H40" s="681">
        <f>tertiair!G20</f>
        <v>0</v>
      </c>
      <c r="I40" s="681">
        <f>tertiair!H20</f>
        <v>0</v>
      </c>
      <c r="J40" s="681">
        <f>tertiair!I20</f>
        <v>0</v>
      </c>
      <c r="K40" s="681">
        <f>tertiair!J20</f>
        <v>7.0189419208468431E-3</v>
      </c>
      <c r="L40" s="681">
        <f>tertiair!K20</f>
        <v>0</v>
      </c>
      <c r="M40" s="681">
        <f ca="1">tertiair!L20</f>
        <v>0</v>
      </c>
      <c r="N40" s="681">
        <f>tertiair!M20</f>
        <v>0</v>
      </c>
      <c r="O40" s="681">
        <f ca="1">tertiair!N20</f>
        <v>0</v>
      </c>
      <c r="P40" s="681">
        <f>tertiair!O20</f>
        <v>0</v>
      </c>
      <c r="Q40" s="764">
        <f>tertiair!P20</f>
        <v>0</v>
      </c>
      <c r="R40" s="843">
        <f t="shared" ca="1" si="4"/>
        <v>8108.6526188788785</v>
      </c>
    </row>
    <row r="41" spans="1:18">
      <c r="A41" s="815" t="s">
        <v>214</v>
      </c>
      <c r="B41" s="822"/>
      <c r="C41" s="681">
        <f ca="1">huishoudens!B12</f>
        <v>6123.0249968359094</v>
      </c>
      <c r="D41" s="681">
        <f ca="1">huishoudens!C12</f>
        <v>0</v>
      </c>
      <c r="E41" s="681">
        <f>huishoudens!D12</f>
        <v>10202.798187503744</v>
      </c>
      <c r="F41" s="681">
        <f>huishoudens!E12</f>
        <v>457.74695917060239</v>
      </c>
      <c r="G41" s="681">
        <f>huishoudens!F12</f>
        <v>11794.674364819619</v>
      </c>
      <c r="H41" s="681">
        <f>huishoudens!G12</f>
        <v>0</v>
      </c>
      <c r="I41" s="681">
        <f>huishoudens!H12</f>
        <v>0</v>
      </c>
      <c r="J41" s="681">
        <f>huishoudens!I12</f>
        <v>0</v>
      </c>
      <c r="K41" s="681">
        <f>huishoudens!J12</f>
        <v>89.122004825734976</v>
      </c>
      <c r="L41" s="681">
        <f>huishoudens!K12</f>
        <v>0</v>
      </c>
      <c r="M41" s="681">
        <f>huishoudens!L12</f>
        <v>0</v>
      </c>
      <c r="N41" s="681">
        <f>huishoudens!M12</f>
        <v>0</v>
      </c>
      <c r="O41" s="681">
        <f>huishoudens!N12</f>
        <v>0</v>
      </c>
      <c r="P41" s="681">
        <f>huishoudens!O12</f>
        <v>0</v>
      </c>
      <c r="Q41" s="764">
        <f>huishoudens!P12</f>
        <v>0</v>
      </c>
      <c r="R41" s="843">
        <f t="shared" ca="1" si="4"/>
        <v>28667.366513155608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823.33984579517892</v>
      </c>
      <c r="D43" s="681">
        <f ca="1">industrie!C22</f>
        <v>0</v>
      </c>
      <c r="E43" s="681">
        <f>industrie!D22</f>
        <v>411.71913638452708</v>
      </c>
      <c r="F43" s="681">
        <f>industrie!E22</f>
        <v>6.7879952331839233</v>
      </c>
      <c r="G43" s="681">
        <f>industrie!F22</f>
        <v>424.63733522129957</v>
      </c>
      <c r="H43" s="681">
        <f>industrie!G22</f>
        <v>0</v>
      </c>
      <c r="I43" s="681">
        <f>industrie!H22</f>
        <v>0</v>
      </c>
      <c r="J43" s="681">
        <f>industrie!I22</f>
        <v>0</v>
      </c>
      <c r="K43" s="681">
        <f>industrie!J22</f>
        <v>0.19585102739361188</v>
      </c>
      <c r="L43" s="681">
        <f>industrie!K22</f>
        <v>0</v>
      </c>
      <c r="M43" s="681">
        <f>industrie!L22</f>
        <v>0</v>
      </c>
      <c r="N43" s="681">
        <f>industrie!M22</f>
        <v>0</v>
      </c>
      <c r="O43" s="681">
        <f>industrie!N22</f>
        <v>0</v>
      </c>
      <c r="P43" s="681">
        <f>industrie!O22</f>
        <v>0</v>
      </c>
      <c r="Q43" s="764">
        <f>industrie!P22</f>
        <v>0</v>
      </c>
      <c r="R43" s="842">
        <f t="shared" ca="1" si="4"/>
        <v>1666.680163661583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10250.857264613946</v>
      </c>
      <c r="D46" s="717">
        <f t="shared" ref="D46:Q46" ca="1" si="5">SUM(D39:D45)</f>
        <v>0</v>
      </c>
      <c r="E46" s="717">
        <f t="shared" ca="1" si="5"/>
        <v>14575.496456598697</v>
      </c>
      <c r="F46" s="717">
        <f t="shared" si="5"/>
        <v>483.84332992929205</v>
      </c>
      <c r="G46" s="717">
        <f t="shared" ca="1" si="5"/>
        <v>13043.177369759087</v>
      </c>
      <c r="H46" s="717">
        <f t="shared" si="5"/>
        <v>0</v>
      </c>
      <c r="I46" s="717">
        <f t="shared" si="5"/>
        <v>0</v>
      </c>
      <c r="J46" s="717">
        <f t="shared" si="5"/>
        <v>0</v>
      </c>
      <c r="K46" s="717">
        <f t="shared" si="5"/>
        <v>89.324874795049439</v>
      </c>
      <c r="L46" s="717">
        <f t="shared" si="5"/>
        <v>0</v>
      </c>
      <c r="M46" s="717">
        <f t="shared" ca="1" si="5"/>
        <v>0</v>
      </c>
      <c r="N46" s="717">
        <f t="shared" si="5"/>
        <v>0</v>
      </c>
      <c r="O46" s="717">
        <f t="shared" ca="1" si="5"/>
        <v>0</v>
      </c>
      <c r="P46" s="717">
        <f t="shared" si="5"/>
        <v>0</v>
      </c>
      <c r="Q46" s="717">
        <f t="shared" si="5"/>
        <v>0</v>
      </c>
      <c r="R46" s="717">
        <f ca="1">SUM(R39:R45)</f>
        <v>38442.699295696075</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4.2720561556393832</v>
      </c>
      <c r="D49" s="681">
        <f ca="1">transport!C58</f>
        <v>0</v>
      </c>
      <c r="E49" s="681">
        <f>transport!D58</f>
        <v>0</v>
      </c>
      <c r="F49" s="681">
        <f>transport!E58</f>
        <v>0</v>
      </c>
      <c r="G49" s="681">
        <f>transport!F58</f>
        <v>0</v>
      </c>
      <c r="H49" s="681">
        <f>transport!G58</f>
        <v>361.76782607136647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366.03988222700588</v>
      </c>
    </row>
    <row r="50" spans="1:18">
      <c r="A50" s="818" t="s">
        <v>296</v>
      </c>
      <c r="B50" s="828"/>
      <c r="C50" s="687">
        <f ca="1">transport!B18</f>
        <v>37.983048198406472</v>
      </c>
      <c r="D50" s="687">
        <f>transport!C18</f>
        <v>0</v>
      </c>
      <c r="E50" s="687">
        <f>transport!D18</f>
        <v>80.720005883338985</v>
      </c>
      <c r="F50" s="687">
        <f>transport!E18</f>
        <v>34.84151272728004</v>
      </c>
      <c r="G50" s="687">
        <f>transport!F18</f>
        <v>0</v>
      </c>
      <c r="H50" s="687">
        <f>transport!G18</f>
        <v>14018.636700628218</v>
      </c>
      <c r="I50" s="687">
        <f>transport!H18</f>
        <v>4846.3196712624604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19018.500938699704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42.255104354045855</v>
      </c>
      <c r="D52" s="717">
        <f t="shared" ref="D52:Q52" ca="1" si="6">SUM(D48:D51)</f>
        <v>0</v>
      </c>
      <c r="E52" s="717">
        <f t="shared" si="6"/>
        <v>80.720005883338985</v>
      </c>
      <c r="F52" s="717">
        <f t="shared" si="6"/>
        <v>34.84151272728004</v>
      </c>
      <c r="G52" s="717">
        <f t="shared" si="6"/>
        <v>0</v>
      </c>
      <c r="H52" s="717">
        <f t="shared" si="6"/>
        <v>14380.404526699585</v>
      </c>
      <c r="I52" s="717">
        <f t="shared" si="6"/>
        <v>4846.3196712624604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19384.540820926712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561.21104402185733</v>
      </c>
      <c r="D54" s="687">
        <f ca="1">+landbouw!C12</f>
        <v>0</v>
      </c>
      <c r="E54" s="687">
        <f>+landbouw!D12</f>
        <v>260.38499573786788</v>
      </c>
      <c r="F54" s="687">
        <f>+landbouw!E12</f>
        <v>18.485753618577952</v>
      </c>
      <c r="G54" s="687">
        <f>+landbouw!F12</f>
        <v>2403.0562410429065</v>
      </c>
      <c r="H54" s="687">
        <f>+landbouw!G12</f>
        <v>0</v>
      </c>
      <c r="I54" s="687">
        <f>+landbouw!H12</f>
        <v>0</v>
      </c>
      <c r="J54" s="687">
        <f>+landbouw!I12</f>
        <v>0</v>
      </c>
      <c r="K54" s="687">
        <f>+landbouw!J12</f>
        <v>255.92258751137743</v>
      </c>
      <c r="L54" s="687">
        <f>+landbouw!K12</f>
        <v>0</v>
      </c>
      <c r="M54" s="687">
        <f>+landbouw!L12</f>
        <v>0</v>
      </c>
      <c r="N54" s="687">
        <f>+landbouw!M12</f>
        <v>0</v>
      </c>
      <c r="O54" s="687">
        <f>+landbouw!N12</f>
        <v>0</v>
      </c>
      <c r="P54" s="687">
        <f>+landbouw!O12</f>
        <v>0</v>
      </c>
      <c r="Q54" s="688">
        <f>+landbouw!P12</f>
        <v>0</v>
      </c>
      <c r="R54" s="716">
        <f ca="1">SUM(C54:Q54)</f>
        <v>3499.0606219325873</v>
      </c>
    </row>
    <row r="55" spans="1:18" ht="15" thickBot="1">
      <c r="A55" s="818" t="s">
        <v>690</v>
      </c>
      <c r="B55" s="828"/>
      <c r="C55" s="687">
        <f ca="1">C25*'EF ele_warmte'!B12</f>
        <v>185.70325209713749</v>
      </c>
      <c r="D55" s="687"/>
      <c r="E55" s="687">
        <f>E25*EF_CO2_aardgas</f>
        <v>406.81768360980084</v>
      </c>
      <c r="F55" s="687"/>
      <c r="G55" s="687"/>
      <c r="H55" s="687"/>
      <c r="I55" s="687"/>
      <c r="J55" s="687"/>
      <c r="K55" s="687"/>
      <c r="L55" s="687"/>
      <c r="M55" s="687"/>
      <c r="N55" s="687"/>
      <c r="O55" s="687"/>
      <c r="P55" s="687"/>
      <c r="Q55" s="688"/>
      <c r="R55" s="716">
        <f ca="1">SUM(C55:Q55)</f>
        <v>592.5209357069383</v>
      </c>
    </row>
    <row r="56" spans="1:18" ht="15.75" thickBot="1">
      <c r="A56" s="816" t="s">
        <v>691</v>
      </c>
      <c r="B56" s="829"/>
      <c r="C56" s="717">
        <f ca="1">SUM(C54:C55)</f>
        <v>746.9142961189948</v>
      </c>
      <c r="D56" s="717">
        <f t="shared" ref="D56:Q56" ca="1" si="7">SUM(D54:D55)</f>
        <v>0</v>
      </c>
      <c r="E56" s="717">
        <f t="shared" si="7"/>
        <v>667.20267934766866</v>
      </c>
      <c r="F56" s="717">
        <f t="shared" si="7"/>
        <v>18.485753618577952</v>
      </c>
      <c r="G56" s="717">
        <f t="shared" si="7"/>
        <v>2403.0562410429065</v>
      </c>
      <c r="H56" s="717">
        <f t="shared" si="7"/>
        <v>0</v>
      </c>
      <c r="I56" s="717">
        <f t="shared" si="7"/>
        <v>0</v>
      </c>
      <c r="J56" s="717">
        <f t="shared" si="7"/>
        <v>0</v>
      </c>
      <c r="K56" s="717">
        <f t="shared" si="7"/>
        <v>255.92258751137743</v>
      </c>
      <c r="L56" s="717">
        <f t="shared" si="7"/>
        <v>0</v>
      </c>
      <c r="M56" s="717">
        <f t="shared" si="7"/>
        <v>0</v>
      </c>
      <c r="N56" s="717">
        <f t="shared" si="7"/>
        <v>0</v>
      </c>
      <c r="O56" s="717">
        <f t="shared" si="7"/>
        <v>0</v>
      </c>
      <c r="P56" s="717">
        <f t="shared" si="7"/>
        <v>0</v>
      </c>
      <c r="Q56" s="718">
        <f t="shared" si="7"/>
        <v>0</v>
      </c>
      <c r="R56" s="719">
        <f ca="1">SUM(R54:R55)</f>
        <v>4091.5815576395257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11040.026665086987</v>
      </c>
      <c r="D61" s="725">
        <f t="shared" ref="D61:Q61" ca="1" si="8">D46+D52+D56</f>
        <v>0</v>
      </c>
      <c r="E61" s="725">
        <f t="shared" ca="1" si="8"/>
        <v>15323.419141829705</v>
      </c>
      <c r="F61" s="725">
        <f t="shared" si="8"/>
        <v>537.17059627515005</v>
      </c>
      <c r="G61" s="725">
        <f t="shared" ca="1" si="8"/>
        <v>15446.233610801994</v>
      </c>
      <c r="H61" s="725">
        <f t="shared" si="8"/>
        <v>14380.404526699585</v>
      </c>
      <c r="I61" s="725">
        <f t="shared" si="8"/>
        <v>4846.3196712624604</v>
      </c>
      <c r="J61" s="725">
        <f t="shared" si="8"/>
        <v>0</v>
      </c>
      <c r="K61" s="725">
        <f t="shared" si="8"/>
        <v>345.24746230642688</v>
      </c>
      <c r="L61" s="725">
        <f t="shared" si="8"/>
        <v>0</v>
      </c>
      <c r="M61" s="725">
        <f t="shared" ca="1" si="8"/>
        <v>0</v>
      </c>
      <c r="N61" s="725">
        <f t="shared" si="8"/>
        <v>0</v>
      </c>
      <c r="O61" s="725">
        <f t="shared" ca="1" si="8"/>
        <v>0</v>
      </c>
      <c r="P61" s="725">
        <f t="shared" si="8"/>
        <v>0</v>
      </c>
      <c r="Q61" s="725">
        <f t="shared" si="8"/>
        <v>0</v>
      </c>
      <c r="R61" s="725">
        <f ca="1">R46+R52+R56</f>
        <v>61918.821674262312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0.19738474304149828</v>
      </c>
      <c r="D63" s="771">
        <f t="shared" ca="1" si="9"/>
        <v>0</v>
      </c>
      <c r="E63" s="963">
        <f t="shared" ca="1" si="9"/>
        <v>0.20200000000000004</v>
      </c>
      <c r="F63" s="771">
        <f t="shared" si="9"/>
        <v>0.22700000000000004</v>
      </c>
      <c r="G63" s="771">
        <f t="shared" ca="1" si="9"/>
        <v>0.26700000000000002</v>
      </c>
      <c r="H63" s="771">
        <f t="shared" si="9"/>
        <v>0.26700000000000007</v>
      </c>
      <c r="I63" s="771">
        <f t="shared" si="9"/>
        <v>0.24900000000000003</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5932.9878870938901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43.649999999999991</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51.35294117647058</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5976.6378870938897</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31020.761293331587</v>
      </c>
      <c r="C4" s="447">
        <f>huishoudens!C8</f>
        <v>0</v>
      </c>
      <c r="D4" s="447">
        <f>huishoudens!D8</f>
        <v>50508.901918335359</v>
      </c>
      <c r="E4" s="447">
        <f>huishoudens!E8</f>
        <v>2016.5064280643276</v>
      </c>
      <c r="F4" s="447">
        <f>huishoudens!F8</f>
        <v>44174.810355129659</v>
      </c>
      <c r="G4" s="447">
        <f>huishoudens!G8</f>
        <v>0</v>
      </c>
      <c r="H4" s="447">
        <f>huishoudens!H8</f>
        <v>0</v>
      </c>
      <c r="I4" s="447">
        <f>huishoudens!I8</f>
        <v>0</v>
      </c>
      <c r="J4" s="447">
        <f>huishoudens!J8</f>
        <v>251.75707577891237</v>
      </c>
      <c r="K4" s="447">
        <f>huishoudens!K8</f>
        <v>0</v>
      </c>
      <c r="L4" s="447">
        <f>huishoudens!L8</f>
        <v>0</v>
      </c>
      <c r="M4" s="447">
        <f>huishoudens!M8</f>
        <v>0</v>
      </c>
      <c r="N4" s="447">
        <f>huishoudens!N8</f>
        <v>9544.193372737167</v>
      </c>
      <c r="O4" s="447">
        <f>huishoudens!O8</f>
        <v>277.75415071418445</v>
      </c>
      <c r="P4" s="448">
        <f>huishoudens!P8</f>
        <v>1169.2694831530375</v>
      </c>
      <c r="Q4" s="449">
        <f>SUM(B4:P4)</f>
        <v>138963.95407724424</v>
      </c>
    </row>
    <row r="5" spans="1:17">
      <c r="A5" s="446" t="s">
        <v>149</v>
      </c>
      <c r="B5" s="447">
        <f ca="1">tertiair!B16</f>
        <v>15914.517125019838</v>
      </c>
      <c r="C5" s="447">
        <f ca="1">tertiair!C16</f>
        <v>0</v>
      </c>
      <c r="D5" s="447">
        <f ca="1">tertiair!D16</f>
        <v>19608.807587675376</v>
      </c>
      <c r="E5" s="447">
        <f>tertiair!E16</f>
        <v>85.058923019848947</v>
      </c>
      <c r="F5" s="447">
        <f ca="1">tertiair!F16</f>
        <v>3085.6392124275949</v>
      </c>
      <c r="G5" s="447">
        <f>tertiair!G16</f>
        <v>0</v>
      </c>
      <c r="H5" s="447">
        <f>tertiair!H16</f>
        <v>0</v>
      </c>
      <c r="I5" s="447">
        <f>tertiair!I16</f>
        <v>0</v>
      </c>
      <c r="J5" s="447">
        <f>tertiair!J16</f>
        <v>1.9827519550414813E-2</v>
      </c>
      <c r="K5" s="447">
        <f>tertiair!K16</f>
        <v>0</v>
      </c>
      <c r="L5" s="447">
        <f ca="1">tertiair!L16</f>
        <v>0</v>
      </c>
      <c r="M5" s="447">
        <f>tertiair!M16</f>
        <v>0</v>
      </c>
      <c r="N5" s="447">
        <f ca="1">tertiair!N16</f>
        <v>763.37551434451666</v>
      </c>
      <c r="O5" s="447">
        <f>tertiair!O16</f>
        <v>9.7945215316823084</v>
      </c>
      <c r="P5" s="448">
        <f>tertiair!P16</f>
        <v>105.07827661299004</v>
      </c>
      <c r="Q5" s="446">
        <f t="shared" ref="Q5:Q14" ca="1" si="0">SUM(B5:P5)</f>
        <v>39572.290988151392</v>
      </c>
    </row>
    <row r="6" spans="1:17">
      <c r="A6" s="446" t="s">
        <v>187</v>
      </c>
      <c r="B6" s="447">
        <f>'openbare verlichting'!B8</f>
        <v>826.86</v>
      </c>
      <c r="C6" s="447"/>
      <c r="D6" s="447"/>
      <c r="E6" s="447"/>
      <c r="F6" s="447"/>
      <c r="G6" s="447"/>
      <c r="H6" s="447"/>
      <c r="I6" s="447"/>
      <c r="J6" s="447"/>
      <c r="K6" s="447"/>
      <c r="L6" s="447"/>
      <c r="M6" s="447"/>
      <c r="N6" s="447"/>
      <c r="O6" s="447"/>
      <c r="P6" s="448"/>
      <c r="Q6" s="446">
        <f t="shared" si="0"/>
        <v>826.86</v>
      </c>
    </row>
    <row r="7" spans="1:17">
      <c r="A7" s="446" t="s">
        <v>105</v>
      </c>
      <c r="B7" s="447">
        <f>landbouw!B8</f>
        <v>2843.23415971349</v>
      </c>
      <c r="C7" s="447">
        <f>landbouw!C8</f>
        <v>62.357142857142847</v>
      </c>
      <c r="D7" s="447">
        <f>landbouw!D8</f>
        <v>1289.0346323656825</v>
      </c>
      <c r="E7" s="447">
        <f>landbouw!E8</f>
        <v>81.435037967303757</v>
      </c>
      <c r="F7" s="447">
        <f>landbouw!F8</f>
        <v>9000.2106406101357</v>
      </c>
      <c r="G7" s="447">
        <f>landbouw!G8</f>
        <v>0</v>
      </c>
      <c r="H7" s="447">
        <f>landbouw!H8</f>
        <v>0</v>
      </c>
      <c r="I7" s="447">
        <f>landbouw!I8</f>
        <v>0</v>
      </c>
      <c r="J7" s="447">
        <f>landbouw!J8</f>
        <v>722.94516246151818</v>
      </c>
      <c r="K7" s="447">
        <f>landbouw!K8</f>
        <v>0</v>
      </c>
      <c r="L7" s="447">
        <f>landbouw!L8</f>
        <v>0</v>
      </c>
      <c r="M7" s="447">
        <f>landbouw!M8</f>
        <v>0</v>
      </c>
      <c r="N7" s="447">
        <f>landbouw!N8</f>
        <v>0</v>
      </c>
      <c r="O7" s="447">
        <f>landbouw!O8</f>
        <v>0</v>
      </c>
      <c r="P7" s="448">
        <f>landbouw!P8</f>
        <v>0</v>
      </c>
      <c r="Q7" s="446">
        <f t="shared" si="0"/>
        <v>13999.216775975274</v>
      </c>
    </row>
    <row r="8" spans="1:17">
      <c r="A8" s="446" t="s">
        <v>611</v>
      </c>
      <c r="B8" s="447">
        <f>industrie!B18</f>
        <v>4171.2435982049519</v>
      </c>
      <c r="C8" s="447">
        <f>industrie!C18</f>
        <v>0</v>
      </c>
      <c r="D8" s="447">
        <f>industrie!D18</f>
        <v>2038.2135464580547</v>
      </c>
      <c r="E8" s="447">
        <f>industrie!E18</f>
        <v>29.903062701250761</v>
      </c>
      <c r="F8" s="447">
        <f>industrie!F18</f>
        <v>1590.4020045741556</v>
      </c>
      <c r="G8" s="447">
        <f>industrie!G18</f>
        <v>0</v>
      </c>
      <c r="H8" s="447">
        <f>industrie!H18</f>
        <v>0</v>
      </c>
      <c r="I8" s="447">
        <f>industrie!I18</f>
        <v>0</v>
      </c>
      <c r="J8" s="447">
        <f>industrie!J18</f>
        <v>0.55325148981246297</v>
      </c>
      <c r="K8" s="447">
        <f>industrie!K18</f>
        <v>0</v>
      </c>
      <c r="L8" s="447">
        <f>industrie!L18</f>
        <v>0</v>
      </c>
      <c r="M8" s="447">
        <f>industrie!M18</f>
        <v>0</v>
      </c>
      <c r="N8" s="447">
        <f>industrie!N18</f>
        <v>137.63426692514847</v>
      </c>
      <c r="O8" s="447">
        <f>industrie!O18</f>
        <v>0</v>
      </c>
      <c r="P8" s="448">
        <f>industrie!P18</f>
        <v>0</v>
      </c>
      <c r="Q8" s="446">
        <f t="shared" si="0"/>
        <v>7967.9497303533735</v>
      </c>
    </row>
    <row r="9" spans="1:17" s="452" customFormat="1">
      <c r="A9" s="450" t="s">
        <v>537</v>
      </c>
      <c r="B9" s="451">
        <f>transport!B14</f>
        <v>192.43153048774852</v>
      </c>
      <c r="C9" s="451">
        <f>transport!C14</f>
        <v>0</v>
      </c>
      <c r="D9" s="451">
        <f>transport!D14</f>
        <v>399.60398952148012</v>
      </c>
      <c r="E9" s="451">
        <f>transport!E14</f>
        <v>153.4868402082821</v>
      </c>
      <c r="F9" s="451">
        <f>transport!F14</f>
        <v>0</v>
      </c>
      <c r="G9" s="451">
        <f>transport!G14</f>
        <v>52504.257305723659</v>
      </c>
      <c r="H9" s="451">
        <f>transport!H14</f>
        <v>19463.131209889398</v>
      </c>
      <c r="I9" s="451">
        <f>transport!I14</f>
        <v>0</v>
      </c>
      <c r="J9" s="451">
        <f>transport!J14</f>
        <v>0</v>
      </c>
      <c r="K9" s="451">
        <f>transport!K14</f>
        <v>0</v>
      </c>
      <c r="L9" s="451">
        <f>transport!L14</f>
        <v>0</v>
      </c>
      <c r="M9" s="451">
        <f>transport!M14</f>
        <v>4394.4803889924333</v>
      </c>
      <c r="N9" s="451">
        <f>transport!N14</f>
        <v>0</v>
      </c>
      <c r="O9" s="451">
        <f>transport!O14</f>
        <v>0</v>
      </c>
      <c r="P9" s="451">
        <f>transport!P14</f>
        <v>0</v>
      </c>
      <c r="Q9" s="450">
        <f>SUM(B9:P9)</f>
        <v>77107.391264823003</v>
      </c>
    </row>
    <row r="10" spans="1:17">
      <c r="A10" s="446" t="s">
        <v>527</v>
      </c>
      <c r="B10" s="447">
        <f>transport!B54</f>
        <v>21.643294663059265</v>
      </c>
      <c r="C10" s="447">
        <f>transport!C54</f>
        <v>0</v>
      </c>
      <c r="D10" s="447">
        <f>transport!D54</f>
        <v>0</v>
      </c>
      <c r="E10" s="447">
        <f>transport!E54</f>
        <v>0</v>
      </c>
      <c r="F10" s="447">
        <f>transport!F54</f>
        <v>0</v>
      </c>
      <c r="G10" s="447">
        <f>transport!G54</f>
        <v>1354.9356781699119</v>
      </c>
      <c r="H10" s="447">
        <f>transport!H54</f>
        <v>0</v>
      </c>
      <c r="I10" s="447">
        <f>transport!I54</f>
        <v>0</v>
      </c>
      <c r="J10" s="447">
        <f>transport!J54</f>
        <v>0</v>
      </c>
      <c r="K10" s="447">
        <f>transport!K54</f>
        <v>0</v>
      </c>
      <c r="L10" s="447">
        <f>transport!L54</f>
        <v>0</v>
      </c>
      <c r="M10" s="447">
        <f>transport!M54</f>
        <v>77.797406497437038</v>
      </c>
      <c r="N10" s="447">
        <f>transport!N54</f>
        <v>0</v>
      </c>
      <c r="O10" s="447">
        <f>transport!O54</f>
        <v>0</v>
      </c>
      <c r="P10" s="448">
        <f>transport!P54</f>
        <v>0</v>
      </c>
      <c r="Q10" s="446">
        <f t="shared" si="0"/>
        <v>1454.3763793304083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940.81867339713892</v>
      </c>
      <c r="C14" s="454"/>
      <c r="D14" s="454">
        <f>'SEAP template'!E25</f>
        <v>2013.9489287613901</v>
      </c>
      <c r="E14" s="454"/>
      <c r="F14" s="454"/>
      <c r="G14" s="454"/>
      <c r="H14" s="454"/>
      <c r="I14" s="454"/>
      <c r="J14" s="454"/>
      <c r="K14" s="454"/>
      <c r="L14" s="454"/>
      <c r="M14" s="454"/>
      <c r="N14" s="454"/>
      <c r="O14" s="454"/>
      <c r="P14" s="455"/>
      <c r="Q14" s="446">
        <f t="shared" si="0"/>
        <v>2954.7676021585289</v>
      </c>
    </row>
    <row r="15" spans="1:17" s="458" customFormat="1">
      <c r="A15" s="456" t="s">
        <v>531</v>
      </c>
      <c r="B15" s="457">
        <f ca="1">SUM(B4:B14)</f>
        <v>55931.509674817804</v>
      </c>
      <c r="C15" s="457">
        <f t="shared" ref="C15:Q15" ca="1" si="1">SUM(C4:C14)</f>
        <v>62.357142857142847</v>
      </c>
      <c r="D15" s="457">
        <f t="shared" ca="1" si="1"/>
        <v>75858.510603117335</v>
      </c>
      <c r="E15" s="457">
        <f t="shared" si="1"/>
        <v>2366.3902919610132</v>
      </c>
      <c r="F15" s="457">
        <f t="shared" ca="1" si="1"/>
        <v>57851.062212741548</v>
      </c>
      <c r="G15" s="457">
        <f t="shared" si="1"/>
        <v>53859.192983893568</v>
      </c>
      <c r="H15" s="457">
        <f t="shared" si="1"/>
        <v>19463.131209889398</v>
      </c>
      <c r="I15" s="457">
        <f t="shared" si="1"/>
        <v>0</v>
      </c>
      <c r="J15" s="457">
        <f t="shared" si="1"/>
        <v>975.27531724979349</v>
      </c>
      <c r="K15" s="457">
        <f t="shared" si="1"/>
        <v>0</v>
      </c>
      <c r="L15" s="457">
        <f t="shared" ca="1" si="1"/>
        <v>0</v>
      </c>
      <c r="M15" s="457">
        <f t="shared" si="1"/>
        <v>4472.2777954898702</v>
      </c>
      <c r="N15" s="457">
        <f t="shared" ca="1" si="1"/>
        <v>10445.203154006831</v>
      </c>
      <c r="O15" s="457">
        <f t="shared" si="1"/>
        <v>287.54867224586678</v>
      </c>
      <c r="P15" s="457">
        <f t="shared" si="1"/>
        <v>1274.3477597660276</v>
      </c>
      <c r="Q15" s="457">
        <f t="shared" ca="1" si="1"/>
        <v>282846.80681803619</v>
      </c>
    </row>
    <row r="17" spans="1:17">
      <c r="A17" s="459" t="s">
        <v>532</v>
      </c>
      <c r="B17" s="776">
        <f ca="1">huishoudens!B10</f>
        <v>0.19738474304149822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6123.0249968359094</v>
      </c>
      <c r="C22" s="447">
        <f t="shared" ref="C22:C32" ca="1" si="3">C4*$C$17</f>
        <v>0</v>
      </c>
      <c r="D22" s="447">
        <f t="shared" ref="D22:D32" si="4">D4*$D$17</f>
        <v>10202.798187503744</v>
      </c>
      <c r="E22" s="447">
        <f t="shared" ref="E22:E32" si="5">E4*$E$17</f>
        <v>457.74695917060239</v>
      </c>
      <c r="F22" s="447">
        <f t="shared" ref="F22:F32" si="6">F4*$F$17</f>
        <v>11794.674364819619</v>
      </c>
      <c r="G22" s="447">
        <f t="shared" ref="G22:G32" si="7">G4*$G$17</f>
        <v>0</v>
      </c>
      <c r="H22" s="447">
        <f t="shared" ref="H22:H32" si="8">H4*$H$17</f>
        <v>0</v>
      </c>
      <c r="I22" s="447">
        <f t="shared" ref="I22:I32" si="9">I4*$I$17</f>
        <v>0</v>
      </c>
      <c r="J22" s="447">
        <f t="shared" ref="J22:J32" si="10">J4*$J$17</f>
        <v>89.122004825734976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28667.366513155608</v>
      </c>
    </row>
    <row r="23" spans="1:17">
      <c r="A23" s="446" t="s">
        <v>149</v>
      </c>
      <c r="B23" s="447">
        <f t="shared" ca="1" si="2"/>
        <v>3141.2828733515639</v>
      </c>
      <c r="C23" s="447">
        <f t="shared" ca="1" si="3"/>
        <v>0</v>
      </c>
      <c r="D23" s="447">
        <f t="shared" ca="1" si="4"/>
        <v>3960.9791327104263</v>
      </c>
      <c r="E23" s="447">
        <f t="shared" si="5"/>
        <v>19.308375525505713</v>
      </c>
      <c r="F23" s="447">
        <f t="shared" ca="1" si="6"/>
        <v>823.86566971816785</v>
      </c>
      <c r="G23" s="447">
        <f t="shared" si="7"/>
        <v>0</v>
      </c>
      <c r="H23" s="447">
        <f t="shared" si="8"/>
        <v>0</v>
      </c>
      <c r="I23" s="447">
        <f t="shared" si="9"/>
        <v>0</v>
      </c>
      <c r="J23" s="447">
        <f t="shared" si="10"/>
        <v>7.0189419208468431E-3</v>
      </c>
      <c r="K23" s="447">
        <f t="shared" si="11"/>
        <v>0</v>
      </c>
      <c r="L23" s="447">
        <f t="shared" ca="1" si="12"/>
        <v>0</v>
      </c>
      <c r="M23" s="447">
        <f t="shared" si="13"/>
        <v>0</v>
      </c>
      <c r="N23" s="447">
        <f t="shared" ca="1" si="14"/>
        <v>0</v>
      </c>
      <c r="O23" s="447">
        <f t="shared" si="15"/>
        <v>0</v>
      </c>
      <c r="P23" s="448">
        <f t="shared" si="16"/>
        <v>0</v>
      </c>
      <c r="Q23" s="446">
        <f t="shared" ref="Q23:Q31" ca="1" si="17">SUM(B23:P23)</f>
        <v>7945.4430702475847</v>
      </c>
    </row>
    <row r="24" spans="1:17">
      <c r="A24" s="446" t="s">
        <v>187</v>
      </c>
      <c r="B24" s="447">
        <f t="shared" ca="1" si="2"/>
        <v>163.20954863129322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163.20954863129322</v>
      </c>
    </row>
    <row r="25" spans="1:17">
      <c r="A25" s="446" t="s">
        <v>105</v>
      </c>
      <c r="B25" s="447">
        <f t="shared" ca="1" si="2"/>
        <v>561.21104402185733</v>
      </c>
      <c r="C25" s="447">
        <f t="shared" ca="1" si="3"/>
        <v>0</v>
      </c>
      <c r="D25" s="447">
        <f t="shared" si="4"/>
        <v>260.38499573786788</v>
      </c>
      <c r="E25" s="447">
        <f t="shared" si="5"/>
        <v>18.485753618577952</v>
      </c>
      <c r="F25" s="447">
        <f t="shared" si="6"/>
        <v>2403.0562410429065</v>
      </c>
      <c r="G25" s="447">
        <f t="shared" si="7"/>
        <v>0</v>
      </c>
      <c r="H25" s="447">
        <f t="shared" si="8"/>
        <v>0</v>
      </c>
      <c r="I25" s="447">
        <f t="shared" si="9"/>
        <v>0</v>
      </c>
      <c r="J25" s="447">
        <f t="shared" si="10"/>
        <v>255.92258751137743</v>
      </c>
      <c r="K25" s="447">
        <f t="shared" si="11"/>
        <v>0</v>
      </c>
      <c r="L25" s="447">
        <f t="shared" si="12"/>
        <v>0</v>
      </c>
      <c r="M25" s="447">
        <f t="shared" si="13"/>
        <v>0</v>
      </c>
      <c r="N25" s="447">
        <f t="shared" si="14"/>
        <v>0</v>
      </c>
      <c r="O25" s="447">
        <f t="shared" si="15"/>
        <v>0</v>
      </c>
      <c r="P25" s="448">
        <f t="shared" si="16"/>
        <v>0</v>
      </c>
      <c r="Q25" s="446">
        <f t="shared" ca="1" si="17"/>
        <v>3499.0606219325873</v>
      </c>
    </row>
    <row r="26" spans="1:17">
      <c r="A26" s="446" t="s">
        <v>611</v>
      </c>
      <c r="B26" s="447">
        <f t="shared" ca="1" si="2"/>
        <v>823.33984579517892</v>
      </c>
      <c r="C26" s="447">
        <f t="shared" ca="1" si="3"/>
        <v>0</v>
      </c>
      <c r="D26" s="447">
        <f t="shared" si="4"/>
        <v>411.71913638452708</v>
      </c>
      <c r="E26" s="447">
        <f t="shared" si="5"/>
        <v>6.7879952331839233</v>
      </c>
      <c r="F26" s="447">
        <f t="shared" si="6"/>
        <v>424.63733522129957</v>
      </c>
      <c r="G26" s="447">
        <f t="shared" si="7"/>
        <v>0</v>
      </c>
      <c r="H26" s="447">
        <f t="shared" si="8"/>
        <v>0</v>
      </c>
      <c r="I26" s="447">
        <f t="shared" si="9"/>
        <v>0</v>
      </c>
      <c r="J26" s="447">
        <f t="shared" si="10"/>
        <v>0.19585102739361188</v>
      </c>
      <c r="K26" s="447">
        <f t="shared" si="11"/>
        <v>0</v>
      </c>
      <c r="L26" s="447">
        <f t="shared" si="12"/>
        <v>0</v>
      </c>
      <c r="M26" s="447">
        <f t="shared" si="13"/>
        <v>0</v>
      </c>
      <c r="N26" s="447">
        <f t="shared" si="14"/>
        <v>0</v>
      </c>
      <c r="O26" s="447">
        <f t="shared" si="15"/>
        <v>0</v>
      </c>
      <c r="P26" s="448">
        <f t="shared" si="16"/>
        <v>0</v>
      </c>
      <c r="Q26" s="446">
        <f t="shared" ca="1" si="17"/>
        <v>1666.680163661583</v>
      </c>
    </row>
    <row r="27" spans="1:17" s="452" customFormat="1">
      <c r="A27" s="450" t="s">
        <v>537</v>
      </c>
      <c r="B27" s="770">
        <f t="shared" ca="1" si="2"/>
        <v>37.983048198406472</v>
      </c>
      <c r="C27" s="451">
        <f t="shared" ca="1" si="3"/>
        <v>0</v>
      </c>
      <c r="D27" s="451">
        <f t="shared" si="4"/>
        <v>80.720005883338985</v>
      </c>
      <c r="E27" s="451">
        <f t="shared" si="5"/>
        <v>34.84151272728004</v>
      </c>
      <c r="F27" s="451">
        <f t="shared" si="6"/>
        <v>0</v>
      </c>
      <c r="G27" s="451">
        <f t="shared" si="7"/>
        <v>14018.636700628218</v>
      </c>
      <c r="H27" s="451">
        <f t="shared" si="8"/>
        <v>4846.3196712624604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19018.500938699704</v>
      </c>
    </row>
    <row r="28" spans="1:17" ht="16.5" customHeight="1">
      <c r="A28" s="446" t="s">
        <v>527</v>
      </c>
      <c r="B28" s="447">
        <f t="shared" ca="1" si="2"/>
        <v>4.2720561556393832</v>
      </c>
      <c r="C28" s="447">
        <f t="shared" ca="1" si="3"/>
        <v>0</v>
      </c>
      <c r="D28" s="447">
        <f t="shared" si="4"/>
        <v>0</v>
      </c>
      <c r="E28" s="447">
        <f t="shared" si="5"/>
        <v>0</v>
      </c>
      <c r="F28" s="447">
        <f t="shared" si="6"/>
        <v>0</v>
      </c>
      <c r="G28" s="447">
        <f t="shared" si="7"/>
        <v>361.76782607136647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366.03988222700588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185.70325209713749</v>
      </c>
      <c r="C32" s="447">
        <f t="shared" ca="1" si="3"/>
        <v>0</v>
      </c>
      <c r="D32" s="447">
        <f t="shared" si="4"/>
        <v>406.81768360980084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592.5209357069383</v>
      </c>
    </row>
    <row r="33" spans="1:17" s="458" customFormat="1">
      <c r="A33" s="456" t="s">
        <v>531</v>
      </c>
      <c r="B33" s="457">
        <f ca="1">SUM(B22:B32)</f>
        <v>11040.026665086985</v>
      </c>
      <c r="C33" s="457">
        <f t="shared" ref="C33:Q33" ca="1" si="19">SUM(C22:C32)</f>
        <v>0</v>
      </c>
      <c r="D33" s="457">
        <f t="shared" ca="1" si="19"/>
        <v>15323.419141829705</v>
      </c>
      <c r="E33" s="457">
        <f t="shared" si="19"/>
        <v>537.17059627515005</v>
      </c>
      <c r="F33" s="457">
        <f t="shared" ca="1" si="19"/>
        <v>15446.233610801994</v>
      </c>
      <c r="G33" s="457">
        <f t="shared" si="19"/>
        <v>14380.404526699585</v>
      </c>
      <c r="H33" s="457">
        <f t="shared" si="19"/>
        <v>4846.3196712624604</v>
      </c>
      <c r="I33" s="457">
        <f t="shared" si="19"/>
        <v>0</v>
      </c>
      <c r="J33" s="457">
        <f t="shared" si="19"/>
        <v>345.24746230642683</v>
      </c>
      <c r="K33" s="457">
        <f t="shared" si="19"/>
        <v>0</v>
      </c>
      <c r="L33" s="457">
        <f t="shared" ca="1" si="19"/>
        <v>0</v>
      </c>
      <c r="M33" s="457">
        <f t="shared" si="19"/>
        <v>0</v>
      </c>
      <c r="N33" s="457">
        <f t="shared" ca="1" si="19"/>
        <v>0</v>
      </c>
      <c r="O33" s="457">
        <f t="shared" si="19"/>
        <v>0</v>
      </c>
      <c r="P33" s="457">
        <f t="shared" si="19"/>
        <v>0</v>
      </c>
      <c r="Q33" s="457">
        <f t="shared" ca="1" si="19"/>
        <v>61918.821674262304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5932.9878870938901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5976.6378870938897</v>
      </c>
      <c r="C10" s="1016">
        <f>SUM(C4:C9)</f>
        <v>0</v>
      </c>
      <c r="D10" s="1016">
        <f t="shared" ref="D10:H10" si="0">SUM(D8:D9)</f>
        <v>0</v>
      </c>
      <c r="E10" s="1016">
        <f t="shared" si="0"/>
        <v>0</v>
      </c>
      <c r="F10" s="1016">
        <f t="shared" si="0"/>
        <v>0</v>
      </c>
      <c r="G10" s="1016">
        <f t="shared" si="0"/>
        <v>0</v>
      </c>
      <c r="H10" s="1016">
        <f t="shared" si="0"/>
        <v>0</v>
      </c>
      <c r="I10" s="1016">
        <f>SUM(I8:I9)</f>
        <v>0</v>
      </c>
      <c r="J10" s="1016">
        <f>SUM(J8:J9)</f>
        <v>51.35294117647058</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0.19738474304149822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62.357142857142847</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62.357142857142847</v>
      </c>
      <c r="C20" s="1016">
        <f>SUM(C17:C19)</f>
        <v>0</v>
      </c>
      <c r="D20" s="1016">
        <f t="shared" ref="D20:H20" si="2">SUM(D17:D19)</f>
        <v>0</v>
      </c>
      <c r="E20" s="1016">
        <f t="shared" si="2"/>
        <v>0</v>
      </c>
      <c r="F20" s="1016">
        <f t="shared" si="2"/>
        <v>0</v>
      </c>
      <c r="G20" s="1016">
        <f t="shared" si="2"/>
        <v>0</v>
      </c>
      <c r="H20" s="1016">
        <f t="shared" si="2"/>
        <v>0</v>
      </c>
      <c r="I20" s="1016">
        <f>SUM(I17:I19)</f>
        <v>0</v>
      </c>
      <c r="J20" s="1016">
        <f>SUM(J17:J19)</f>
        <v>73.361344537815114</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0.19738474304149822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0.19738474304149822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0.19738474304149822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7026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2286.5300000000002</v>
      </c>
      <c r="C14" s="326"/>
      <c r="D14" s="326"/>
      <c r="E14" s="326"/>
      <c r="F14" s="326"/>
    </row>
    <row r="15" spans="1:6">
      <c r="A15" s="1310" t="s">
        <v>177</v>
      </c>
      <c r="B15" s="1311">
        <v>41</v>
      </c>
      <c r="C15" s="326"/>
      <c r="D15" s="326"/>
      <c r="E15" s="326"/>
      <c r="F15" s="326"/>
    </row>
    <row r="16" spans="1:6">
      <c r="A16" s="1310" t="s">
        <v>6</v>
      </c>
      <c r="B16" s="1311">
        <v>1334</v>
      </c>
      <c r="C16" s="326"/>
      <c r="D16" s="326"/>
      <c r="E16" s="326"/>
      <c r="F16" s="326"/>
    </row>
    <row r="17" spans="1:6">
      <c r="A17" s="1310" t="s">
        <v>7</v>
      </c>
      <c r="B17" s="1311">
        <v>482</v>
      </c>
      <c r="C17" s="326"/>
      <c r="D17" s="326"/>
      <c r="E17" s="326"/>
      <c r="F17" s="326"/>
    </row>
    <row r="18" spans="1:6">
      <c r="A18" s="1310" t="s">
        <v>8</v>
      </c>
      <c r="B18" s="1311">
        <v>946</v>
      </c>
      <c r="C18" s="326"/>
      <c r="D18" s="326"/>
      <c r="E18" s="326"/>
      <c r="F18" s="326"/>
    </row>
    <row r="19" spans="1:6">
      <c r="A19" s="1310" t="s">
        <v>9</v>
      </c>
      <c r="B19" s="1311">
        <v>889</v>
      </c>
      <c r="C19" s="326"/>
      <c r="D19" s="326"/>
      <c r="E19" s="326"/>
      <c r="F19" s="326"/>
    </row>
    <row r="20" spans="1:6">
      <c r="A20" s="1310" t="s">
        <v>10</v>
      </c>
      <c r="B20" s="1311">
        <v>606</v>
      </c>
      <c r="C20" s="326"/>
      <c r="D20" s="326"/>
      <c r="E20" s="326"/>
      <c r="F20" s="326"/>
    </row>
    <row r="21" spans="1:6">
      <c r="A21" s="1310" t="s">
        <v>11</v>
      </c>
      <c r="B21" s="1311">
        <v>304</v>
      </c>
      <c r="C21" s="326"/>
      <c r="D21" s="326"/>
      <c r="E21" s="326"/>
      <c r="F21" s="326"/>
    </row>
    <row r="22" spans="1:6">
      <c r="A22" s="1310" t="s">
        <v>12</v>
      </c>
      <c r="B22" s="1311">
        <v>2015</v>
      </c>
      <c r="C22" s="326"/>
      <c r="D22" s="326"/>
      <c r="E22" s="326"/>
      <c r="F22" s="326"/>
    </row>
    <row r="23" spans="1:6">
      <c r="A23" s="1310" t="s">
        <v>13</v>
      </c>
      <c r="B23" s="1311">
        <v>13</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382</v>
      </c>
      <c r="C26" s="326"/>
      <c r="D26" s="326"/>
      <c r="E26" s="326"/>
      <c r="F26" s="326"/>
    </row>
    <row r="27" spans="1:6">
      <c r="A27" s="1310" t="s">
        <v>17</v>
      </c>
      <c r="B27" s="1311">
        <v>5</v>
      </c>
      <c r="C27" s="326"/>
      <c r="D27" s="326"/>
      <c r="E27" s="326"/>
      <c r="F27" s="326"/>
    </row>
    <row r="28" spans="1:6">
      <c r="A28" s="1310" t="s">
        <v>18</v>
      </c>
      <c r="B28" s="1312">
        <v>127062</v>
      </c>
      <c r="C28" s="326"/>
      <c r="D28" s="326"/>
      <c r="E28" s="326"/>
      <c r="F28" s="326"/>
    </row>
    <row r="29" spans="1:6">
      <c r="A29" s="1310" t="s">
        <v>678</v>
      </c>
      <c r="B29" s="1312">
        <v>119</v>
      </c>
      <c r="C29" s="326"/>
      <c r="D29" s="326"/>
      <c r="E29" s="326"/>
      <c r="F29" s="326"/>
    </row>
    <row r="30" spans="1:6">
      <c r="A30" s="1305" t="s">
        <v>679</v>
      </c>
      <c r="B30" s="1313">
        <v>37</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8506.0014478866997</v>
      </c>
    </row>
    <row r="37" spans="1:6">
      <c r="A37" s="1310" t="s">
        <v>24</v>
      </c>
      <c r="B37" s="1310" t="s">
        <v>27</v>
      </c>
      <c r="C37" s="1311">
        <v>0</v>
      </c>
      <c r="D37" s="1311">
        <v>0</v>
      </c>
      <c r="E37" s="1311">
        <v>0</v>
      </c>
      <c r="F37" s="1311">
        <v>0</v>
      </c>
    </row>
    <row r="38" spans="1:6">
      <c r="A38" s="1310" t="s">
        <v>24</v>
      </c>
      <c r="B38" s="1310" t="s">
        <v>28</v>
      </c>
      <c r="C38" s="1311">
        <v>1</v>
      </c>
      <c r="D38" s="1311">
        <v>11949.1702262289</v>
      </c>
      <c r="E38" s="1311">
        <v>1</v>
      </c>
      <c r="F38" s="1311">
        <v>11839</v>
      </c>
    </row>
    <row r="39" spans="1:6">
      <c r="A39" s="1310" t="s">
        <v>29</v>
      </c>
      <c r="B39" s="1310" t="s">
        <v>30</v>
      </c>
      <c r="C39" s="1311">
        <v>3935</v>
      </c>
      <c r="D39" s="1311">
        <v>55934553.619419001</v>
      </c>
      <c r="E39" s="1311">
        <v>6950</v>
      </c>
      <c r="F39" s="1311">
        <v>26246673.516171101</v>
      </c>
    </row>
    <row r="40" spans="1:6">
      <c r="A40" s="1310" t="s">
        <v>29</v>
      </c>
      <c r="B40" s="1310" t="s">
        <v>28</v>
      </c>
      <c r="C40" s="1311">
        <v>0</v>
      </c>
      <c r="D40" s="1311">
        <v>0</v>
      </c>
      <c r="E40" s="1311">
        <v>0</v>
      </c>
      <c r="F40" s="1311">
        <v>0</v>
      </c>
    </row>
    <row r="41" spans="1:6">
      <c r="A41" s="1310" t="s">
        <v>31</v>
      </c>
      <c r="B41" s="1310" t="s">
        <v>32</v>
      </c>
      <c r="C41" s="1311">
        <v>81</v>
      </c>
      <c r="D41" s="1311">
        <v>704893.35561908095</v>
      </c>
      <c r="E41" s="1311">
        <v>139</v>
      </c>
      <c r="F41" s="1311">
        <v>2378638.1889460399</v>
      </c>
    </row>
    <row r="42" spans="1:6">
      <c r="A42" s="1310" t="s">
        <v>31</v>
      </c>
      <c r="B42" s="1310" t="s">
        <v>33</v>
      </c>
      <c r="C42" s="1311">
        <v>0</v>
      </c>
      <c r="D42" s="1311">
        <v>0</v>
      </c>
      <c r="E42" s="1311">
        <v>4</v>
      </c>
      <c r="F42" s="1311">
        <v>83927.161601440006</v>
      </c>
    </row>
    <row r="43" spans="1:6">
      <c r="A43" s="1310" t="s">
        <v>31</v>
      </c>
      <c r="B43" s="1310" t="s">
        <v>34</v>
      </c>
      <c r="C43" s="1311">
        <v>0</v>
      </c>
      <c r="D43" s="1311">
        <v>0</v>
      </c>
      <c r="E43" s="1311">
        <v>0</v>
      </c>
      <c r="F43" s="1311">
        <v>0</v>
      </c>
    </row>
    <row r="44" spans="1:6">
      <c r="A44" s="1310" t="s">
        <v>31</v>
      </c>
      <c r="B44" s="1310" t="s">
        <v>35</v>
      </c>
      <c r="C44" s="1311">
        <v>10</v>
      </c>
      <c r="D44" s="1311">
        <v>663440.39934819995</v>
      </c>
      <c r="E44" s="1311">
        <v>20</v>
      </c>
      <c r="F44" s="1311">
        <v>580713.58971160999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184482.74919074</v>
      </c>
      <c r="E47" s="1311">
        <v>9</v>
      </c>
      <c r="F47" s="1311">
        <v>392182.799377246</v>
      </c>
    </row>
    <row r="48" spans="1:6">
      <c r="A48" s="1310" t="s">
        <v>31</v>
      </c>
      <c r="B48" s="1310" t="s">
        <v>28</v>
      </c>
      <c r="C48" s="1311">
        <v>4</v>
      </c>
      <c r="D48" s="1311">
        <v>124427.16404068749</v>
      </c>
      <c r="E48" s="1311">
        <v>0</v>
      </c>
      <c r="F48" s="1311">
        <v>0</v>
      </c>
    </row>
    <row r="49" spans="1:6">
      <c r="A49" s="1310" t="s">
        <v>31</v>
      </c>
      <c r="B49" s="1310" t="s">
        <v>39</v>
      </c>
      <c r="C49" s="1311">
        <v>0</v>
      </c>
      <c r="D49" s="1311">
        <v>0</v>
      </c>
      <c r="E49" s="1311">
        <v>4</v>
      </c>
      <c r="F49" s="1311">
        <v>8204.1213230119993</v>
      </c>
    </row>
    <row r="50" spans="1:6">
      <c r="A50" s="1310" t="s">
        <v>31</v>
      </c>
      <c r="B50" s="1310" t="s">
        <v>40</v>
      </c>
      <c r="C50" s="1311">
        <v>13</v>
      </c>
      <c r="D50" s="1311">
        <v>579914.19055882702</v>
      </c>
      <c r="E50" s="1311">
        <v>17</v>
      </c>
      <c r="F50" s="1311">
        <v>727577.73724560405</v>
      </c>
    </row>
    <row r="51" spans="1:6">
      <c r="A51" s="1310" t="s">
        <v>41</v>
      </c>
      <c r="B51" s="1310" t="s">
        <v>42</v>
      </c>
      <c r="C51" s="1311">
        <v>9</v>
      </c>
      <c r="D51" s="1311">
        <v>1427502.36142379</v>
      </c>
      <c r="E51" s="1311">
        <v>101</v>
      </c>
      <c r="F51" s="1311">
        <v>2843234.1597134899</v>
      </c>
    </row>
    <row r="52" spans="1:6">
      <c r="A52" s="1310" t="s">
        <v>41</v>
      </c>
      <c r="B52" s="1310" t="s">
        <v>28</v>
      </c>
      <c r="C52" s="1311">
        <v>0</v>
      </c>
      <c r="D52" s="1311">
        <v>0</v>
      </c>
      <c r="E52" s="1311">
        <v>0</v>
      </c>
      <c r="F52" s="1311">
        <v>0</v>
      </c>
    </row>
    <row r="53" spans="1:6">
      <c r="A53" s="1310" t="s">
        <v>43</v>
      </c>
      <c r="B53" s="1310" t="s">
        <v>44</v>
      </c>
      <c r="C53" s="1311">
        <v>94</v>
      </c>
      <c r="D53" s="1311">
        <v>2013948.92876139</v>
      </c>
      <c r="E53" s="1311">
        <v>278</v>
      </c>
      <c r="F53" s="1311">
        <v>940818.67339713895</v>
      </c>
    </row>
    <row r="54" spans="1:6">
      <c r="A54" s="1310" t="s">
        <v>45</v>
      </c>
      <c r="B54" s="1310" t="s">
        <v>46</v>
      </c>
      <c r="C54" s="1311">
        <v>0</v>
      </c>
      <c r="D54" s="1311">
        <v>0</v>
      </c>
      <c r="E54" s="1311">
        <v>1</v>
      </c>
      <c r="F54" s="1311">
        <v>826860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53</v>
      </c>
      <c r="D57" s="1311">
        <v>2696998.7926027202</v>
      </c>
      <c r="E57" s="1311">
        <v>86</v>
      </c>
      <c r="F57" s="1311">
        <v>1960369.9956658301</v>
      </c>
    </row>
    <row r="58" spans="1:6">
      <c r="A58" s="1310" t="s">
        <v>48</v>
      </c>
      <c r="B58" s="1310" t="s">
        <v>50</v>
      </c>
      <c r="C58" s="1311">
        <v>25</v>
      </c>
      <c r="D58" s="1311">
        <v>1229371.5470523899</v>
      </c>
      <c r="E58" s="1311">
        <v>44</v>
      </c>
      <c r="F58" s="1311">
        <v>526124.35337032005</v>
      </c>
    </row>
    <row r="59" spans="1:6">
      <c r="A59" s="1310" t="s">
        <v>48</v>
      </c>
      <c r="B59" s="1310" t="s">
        <v>51</v>
      </c>
      <c r="C59" s="1311">
        <v>112</v>
      </c>
      <c r="D59" s="1311">
        <v>8421045.4857963603</v>
      </c>
      <c r="E59" s="1311">
        <v>239</v>
      </c>
      <c r="F59" s="1311">
        <v>7328186.2476081504</v>
      </c>
    </row>
    <row r="60" spans="1:6">
      <c r="A60" s="1310" t="s">
        <v>48</v>
      </c>
      <c r="B60" s="1310" t="s">
        <v>52</v>
      </c>
      <c r="C60" s="1311">
        <v>49</v>
      </c>
      <c r="D60" s="1311">
        <v>1677682.50609855</v>
      </c>
      <c r="E60" s="1311">
        <v>79</v>
      </c>
      <c r="F60" s="1311">
        <v>1409468.22024619</v>
      </c>
    </row>
    <row r="61" spans="1:6">
      <c r="A61" s="1310" t="s">
        <v>48</v>
      </c>
      <c r="B61" s="1310" t="s">
        <v>53</v>
      </c>
      <c r="C61" s="1311">
        <v>144</v>
      </c>
      <c r="D61" s="1311">
        <v>6669946.1496114703</v>
      </c>
      <c r="E61" s="1311">
        <v>451</v>
      </c>
      <c r="F61" s="1311">
        <v>4469707.7955827098</v>
      </c>
    </row>
    <row r="62" spans="1:6">
      <c r="A62" s="1310" t="s">
        <v>48</v>
      </c>
      <c r="B62" s="1310" t="s">
        <v>54</v>
      </c>
      <c r="C62" s="1311">
        <v>7</v>
      </c>
      <c r="D62" s="1311">
        <v>1020135.57163516</v>
      </c>
      <c r="E62" s="1311">
        <v>12</v>
      </c>
      <c r="F62" s="1311">
        <v>220660.51254663599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18412.575437268901</v>
      </c>
      <c r="E65" s="1311">
        <v>2</v>
      </c>
      <c r="F65" s="1311">
        <v>4566.1388231632</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8</v>
      </c>
      <c r="D68" s="1313">
        <v>313029.51022456598</v>
      </c>
      <c r="E68" s="1313">
        <v>19</v>
      </c>
      <c r="F68" s="1313">
        <v>111454.59883103801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32795993</v>
      </c>
      <c r="E73" s="445"/>
      <c r="F73" s="326"/>
    </row>
    <row r="74" spans="1:6">
      <c r="A74" s="1310" t="s">
        <v>63</v>
      </c>
      <c r="B74" s="1310" t="s">
        <v>632</v>
      </c>
      <c r="C74" s="1323" t="s">
        <v>634</v>
      </c>
      <c r="D74" s="1311">
        <v>928394.70694814343</v>
      </c>
      <c r="E74" s="445"/>
      <c r="F74" s="326"/>
    </row>
    <row r="75" spans="1:6">
      <c r="A75" s="1310" t="s">
        <v>64</v>
      </c>
      <c r="B75" s="1310" t="s">
        <v>631</v>
      </c>
      <c r="C75" s="1323" t="s">
        <v>635</v>
      </c>
      <c r="D75" s="1311">
        <v>52809876</v>
      </c>
      <c r="E75" s="445"/>
      <c r="F75" s="326"/>
    </row>
    <row r="76" spans="1:6">
      <c r="A76" s="1310" t="s">
        <v>64</v>
      </c>
      <c r="B76" s="1310" t="s">
        <v>632</v>
      </c>
      <c r="C76" s="1323" t="s">
        <v>636</v>
      </c>
      <c r="D76" s="1311">
        <v>1941818.7069481434</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403694.58610371302</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4774.0877771604873</v>
      </c>
      <c r="C91" s="326"/>
      <c r="D91" s="326"/>
      <c r="E91" s="326"/>
      <c r="F91" s="326"/>
    </row>
    <row r="92" spans="1:6">
      <c r="A92" s="1305" t="s">
        <v>68</v>
      </c>
      <c r="B92" s="1306">
        <v>1158.9001099334023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1490</v>
      </c>
      <c r="C97" s="326"/>
      <c r="D97" s="326"/>
      <c r="E97" s="326"/>
      <c r="F97" s="326"/>
    </row>
    <row r="98" spans="1:6">
      <c r="A98" s="1310" t="s">
        <v>71</v>
      </c>
      <c r="B98" s="1311">
        <v>2</v>
      </c>
      <c r="C98" s="326"/>
      <c r="D98" s="326"/>
      <c r="E98" s="326"/>
      <c r="F98" s="326"/>
    </row>
    <row r="99" spans="1:6">
      <c r="A99" s="1310" t="s">
        <v>72</v>
      </c>
      <c r="B99" s="1311">
        <v>41</v>
      </c>
      <c r="C99" s="326"/>
      <c r="D99" s="326"/>
      <c r="E99" s="326"/>
      <c r="F99" s="326"/>
    </row>
    <row r="100" spans="1:6">
      <c r="A100" s="1310" t="s">
        <v>73</v>
      </c>
      <c r="B100" s="1311">
        <v>697</v>
      </c>
      <c r="C100" s="326"/>
      <c r="D100" s="326"/>
      <c r="E100" s="326"/>
      <c r="F100" s="326"/>
    </row>
    <row r="101" spans="1:6">
      <c r="A101" s="1310" t="s">
        <v>74</v>
      </c>
      <c r="B101" s="1311">
        <v>39</v>
      </c>
      <c r="C101" s="326"/>
      <c r="D101" s="326"/>
      <c r="E101" s="326"/>
      <c r="F101" s="326"/>
    </row>
    <row r="102" spans="1:6">
      <c r="A102" s="1310" t="s">
        <v>75</v>
      </c>
      <c r="B102" s="1311">
        <v>62</v>
      </c>
      <c r="C102" s="326"/>
      <c r="D102" s="326"/>
      <c r="E102" s="326"/>
      <c r="F102" s="326"/>
    </row>
    <row r="103" spans="1:6">
      <c r="A103" s="1310" t="s">
        <v>76</v>
      </c>
      <c r="B103" s="1311">
        <v>137</v>
      </c>
      <c r="C103" s="326"/>
      <c r="D103" s="326"/>
      <c r="E103" s="326"/>
      <c r="F103" s="326"/>
    </row>
    <row r="104" spans="1:6">
      <c r="A104" s="1310" t="s">
        <v>77</v>
      </c>
      <c r="B104" s="1311">
        <v>3027</v>
      </c>
      <c r="C104" s="326"/>
      <c r="D104" s="326"/>
      <c r="E104" s="326"/>
      <c r="F104" s="326"/>
    </row>
    <row r="105" spans="1:6">
      <c r="A105" s="1305" t="s">
        <v>78</v>
      </c>
      <c r="B105" s="1313">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52</v>
      </c>
      <c r="C123" s="1311">
        <v>28</v>
      </c>
      <c r="D123" s="326"/>
      <c r="E123" s="326"/>
      <c r="F123" s="326"/>
    </row>
    <row r="124" spans="1:6">
      <c r="A124" s="1310" t="s">
        <v>88</v>
      </c>
      <c r="B124" s="1311">
        <v>1</v>
      </c>
      <c r="C124" s="1311">
        <v>1</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111</v>
      </c>
      <c r="C129" s="326"/>
      <c r="D129" s="326"/>
      <c r="E129" s="326"/>
      <c r="F129" s="326"/>
    </row>
    <row r="130" spans="1:6">
      <c r="A130" s="1310" t="s">
        <v>284</v>
      </c>
      <c r="B130" s="1311">
        <v>2</v>
      </c>
      <c r="C130" s="326"/>
      <c r="D130" s="326"/>
      <c r="E130" s="326"/>
      <c r="F130" s="326"/>
    </row>
    <row r="131" spans="1:6">
      <c r="A131" s="1310" t="s">
        <v>285</v>
      </c>
      <c r="B131" s="1311">
        <v>1</v>
      </c>
      <c r="C131" s="326"/>
      <c r="D131" s="326"/>
      <c r="E131" s="326"/>
      <c r="F131" s="326"/>
    </row>
    <row r="132" spans="1:6">
      <c r="A132" s="1305" t="s">
        <v>286</v>
      </c>
      <c r="B132" s="1306">
        <v>58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55931.509674817804</v>
      </c>
      <c r="C3" s="43" t="s">
        <v>163</v>
      </c>
      <c r="D3" s="43"/>
      <c r="E3" s="154"/>
      <c r="F3" s="43"/>
      <c r="G3" s="43"/>
      <c r="H3" s="43"/>
      <c r="I3" s="43"/>
      <c r="J3" s="43"/>
      <c r="K3" s="96"/>
    </row>
    <row r="4" spans="1:11">
      <c r="A4" s="352" t="s">
        <v>164</v>
      </c>
      <c r="B4" s="49">
        <f>IF(ISERROR('SEAP template'!B78+'SEAP template'!C78),0,'SEAP template'!B78+'SEAP template'!C78)</f>
        <v>5976.6378870938897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0.19738474304149822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826.86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826.86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0.19738474304149822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163.20954863129322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26246.6735161711</v>
      </c>
      <c r="C5" s="17">
        <f>IF(ISERROR('Eigen informatie GS &amp; warmtenet'!B59),0,'Eigen informatie GS &amp; warmtenet'!B59)</f>
        <v>0</v>
      </c>
      <c r="D5" s="30">
        <f>(SUM(HH_hh_gas_kWh,HH_rest_gas_kWh)/1000)*0.903</f>
        <v>50508.901918335359</v>
      </c>
      <c r="E5" s="17">
        <f>B32*B41</f>
        <v>2016.5064280643276</v>
      </c>
      <c r="F5" s="17">
        <f>B36*B45</f>
        <v>44174.810355129659</v>
      </c>
      <c r="G5" s="18"/>
      <c r="H5" s="17"/>
      <c r="I5" s="17"/>
      <c r="J5" s="17">
        <f>B35*B44+C35*C44</f>
        <v>251.75707577891237</v>
      </c>
      <c r="K5" s="17"/>
      <c r="L5" s="17"/>
      <c r="M5" s="17"/>
      <c r="N5" s="17">
        <f>B34*B43+C34*C43</f>
        <v>9544.193372737167</v>
      </c>
      <c r="O5" s="17">
        <f>B52*B53*B54</f>
        <v>277.75415071418445</v>
      </c>
      <c r="P5" s="17">
        <f>B60*B61*B62/1000-B60*B61*B62/1000/B63</f>
        <v>1169.2694831530375</v>
      </c>
    </row>
    <row r="6" spans="1:16">
      <c r="A6" s="16" t="s">
        <v>597</v>
      </c>
      <c r="B6" s="778">
        <f>kWh_PV_kleiner_dan_10kW</f>
        <v>4774.0877771604873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31020.761293331587</v>
      </c>
      <c r="C8" s="21">
        <f>C5</f>
        <v>0</v>
      </c>
      <c r="D8" s="21">
        <f>D5</f>
        <v>50508.901918335359</v>
      </c>
      <c r="E8" s="21">
        <f>E5</f>
        <v>2016.5064280643276</v>
      </c>
      <c r="F8" s="21">
        <f>F5</f>
        <v>44174.810355129659</v>
      </c>
      <c r="G8" s="21"/>
      <c r="H8" s="21"/>
      <c r="I8" s="21"/>
      <c r="J8" s="21">
        <f>J5</f>
        <v>251.75707577891237</v>
      </c>
      <c r="K8" s="21"/>
      <c r="L8" s="21">
        <f>L5</f>
        <v>0</v>
      </c>
      <c r="M8" s="21">
        <f>M5</f>
        <v>0</v>
      </c>
      <c r="N8" s="21">
        <f>N5</f>
        <v>9544.193372737167</v>
      </c>
      <c r="O8" s="21">
        <f>O5</f>
        <v>277.75415071418445</v>
      </c>
      <c r="P8" s="21">
        <f>P5</f>
        <v>1169.2694831530375</v>
      </c>
    </row>
    <row r="9" spans="1:16">
      <c r="B9" s="19"/>
      <c r="C9" s="19"/>
      <c r="D9" s="254"/>
      <c r="E9" s="19"/>
      <c r="F9" s="19"/>
      <c r="G9" s="19"/>
      <c r="H9" s="19"/>
      <c r="I9" s="19"/>
      <c r="J9" s="19"/>
      <c r="K9" s="19"/>
      <c r="L9" s="19"/>
      <c r="M9" s="19"/>
      <c r="N9" s="19"/>
      <c r="O9" s="19"/>
      <c r="P9" s="19"/>
    </row>
    <row r="10" spans="1:16">
      <c r="A10" s="24" t="s">
        <v>207</v>
      </c>
      <c r="B10" s="25">
        <f ca="1">'EF ele_warmte'!B12</f>
        <v>0.19738474304149822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6123.0249968359094</v>
      </c>
      <c r="C12" s="23">
        <f ca="1">C10*C8</f>
        <v>0</v>
      </c>
      <c r="D12" s="23">
        <f>D8*D10</f>
        <v>10202.798187503744</v>
      </c>
      <c r="E12" s="23">
        <f>E10*E8</f>
        <v>457.74695917060239</v>
      </c>
      <c r="F12" s="23">
        <f>F10*F8</f>
        <v>11794.674364819619</v>
      </c>
      <c r="G12" s="23"/>
      <c r="H12" s="23"/>
      <c r="I12" s="23"/>
      <c r="J12" s="23">
        <f>J10*J8</f>
        <v>89.122004825734976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7026</v>
      </c>
      <c r="C26" s="36"/>
      <c r="D26" s="225"/>
    </row>
    <row r="27" spans="1:5" s="15" customFormat="1">
      <c r="A27" s="227" t="s">
        <v>860</v>
      </c>
      <c r="B27" s="37">
        <f>SUM(HH_hh_gas_aantal,HH_rest_gas_aantal)</f>
        <v>3935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3738.25</v>
      </c>
      <c r="C31" s="34" t="s">
        <v>104</v>
      </c>
      <c r="D31" s="171"/>
    </row>
    <row r="32" spans="1:5">
      <c r="A32" s="168" t="s">
        <v>72</v>
      </c>
      <c r="B32" s="33">
        <f>IF((B21*($B$26-($B$27-0.05*$B$27)-$B$60))&lt;0,0,(B21*($B$26-($B$27-0.05*$B$27)-$B$60)))</f>
        <v>50.431537450957052</v>
      </c>
      <c r="C32" s="34" t="s">
        <v>104</v>
      </c>
      <c r="D32" s="171"/>
    </row>
    <row r="33" spans="1:6">
      <c r="A33" s="168" t="s">
        <v>73</v>
      </c>
      <c r="B33" s="33">
        <f>IF((B22*($B$26-($B$27-0.05*$B$27)-$B$60))&lt;0,0,B22*($B$26-($B$27-0.05*$B$27)-$B$60))</f>
        <v>818.90828744734085</v>
      </c>
      <c r="C33" s="34" t="s">
        <v>104</v>
      </c>
      <c r="D33" s="171"/>
    </row>
    <row r="34" spans="1:6">
      <c r="A34" s="168" t="s">
        <v>74</v>
      </c>
      <c r="B34" s="33">
        <f>IF((B24*($B$26-($B$27-0.05*$B$27)-$B$60))&lt;0,0,B24*($B$26-($B$27-0.05*$B$27)-$B$60))</f>
        <v>156.99567771440985</v>
      </c>
      <c r="C34" s="33">
        <f>B26*C24</f>
        <v>1439.6691330807794</v>
      </c>
      <c r="D34" s="230"/>
    </row>
    <row r="35" spans="1:6">
      <c r="A35" s="168" t="s">
        <v>76</v>
      </c>
      <c r="B35" s="33">
        <f>IF((B19*($B$26-($B$27-0.05*$B$27)-$B$60))&lt;0,0,B19*($B$26-($B$27-0.05*$B$27)-$B$60))</f>
        <v>21.92246909785483</v>
      </c>
      <c r="C35" s="33">
        <f>B35/2</f>
        <v>10.961234548927415</v>
      </c>
      <c r="D35" s="230"/>
    </row>
    <row r="36" spans="1:6">
      <c r="A36" s="168" t="s">
        <v>77</v>
      </c>
      <c r="B36" s="33">
        <f>IF((B18*($B$26-($B$27-0.05*$B$27)-$B$60))&lt;0,0,B18*($B$26-($B$27-0.05*$B$27)-$B$60))</f>
        <v>2128.4920282894368</v>
      </c>
      <c r="C36" s="34" t="s">
        <v>104</v>
      </c>
      <c r="D36" s="171"/>
    </row>
    <row r="37" spans="1:6">
      <c r="A37" s="168" t="s">
        <v>78</v>
      </c>
      <c r="B37" s="33">
        <f>B60</f>
        <v>111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140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111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15914.517125019838</v>
      </c>
      <c r="C5" s="17">
        <f>IF(ISERROR('Eigen informatie GS &amp; warmtenet'!B60),0,'Eigen informatie GS &amp; warmtenet'!B60)</f>
        <v>0</v>
      </c>
      <c r="D5" s="30">
        <f>SUM(D6:D12)</f>
        <v>19608.807587675376</v>
      </c>
      <c r="E5" s="17">
        <f>SUM(E6:E12)</f>
        <v>85.058923019848947</v>
      </c>
      <c r="F5" s="17">
        <f>SUM(F6:F12)</f>
        <v>3085.6392124275949</v>
      </c>
      <c r="G5" s="18"/>
      <c r="H5" s="17"/>
      <c r="I5" s="17"/>
      <c r="J5" s="17">
        <f>SUM(J6:J12)</f>
        <v>1.9827519550414813E-2</v>
      </c>
      <c r="K5" s="17"/>
      <c r="L5" s="17"/>
      <c r="M5" s="17"/>
      <c r="N5" s="17">
        <f>SUM(N6:N12)</f>
        <v>763.37551434451666</v>
      </c>
      <c r="O5" s="17">
        <f>B38*B39*B40</f>
        <v>9.7945215316823084</v>
      </c>
      <c r="P5" s="17">
        <f>B46*B47*B48/1000-B46*B47*B48/1000/B49</f>
        <v>105.07827661299004</v>
      </c>
      <c r="R5" s="32"/>
    </row>
    <row r="6" spans="1:18">
      <c r="A6" s="32" t="s">
        <v>53</v>
      </c>
      <c r="B6" s="37">
        <f>B26</f>
        <v>4469.7077955827099</v>
      </c>
      <c r="C6" s="33"/>
      <c r="D6" s="37">
        <f>IF(ISERROR(TER_kantoor_gas_kWh/1000),0,TER_kantoor_gas_kWh/1000)*0.903</f>
        <v>6022.9613730991578</v>
      </c>
      <c r="E6" s="33">
        <f>$C$26*'E Balans VL '!I12/100/3.6*1000000</f>
        <v>1.0649996244906008</v>
      </c>
      <c r="F6" s="33">
        <f>$C$26*('E Balans VL '!L12+'E Balans VL '!N12)/100/3.6*1000000</f>
        <v>388.23790796968495</v>
      </c>
      <c r="G6" s="34"/>
      <c r="H6" s="33"/>
      <c r="I6" s="33"/>
      <c r="J6" s="33">
        <f>$C$26*('E Balans VL '!D12+'E Balans VL '!E12)/100/3.6*1000000</f>
        <v>0</v>
      </c>
      <c r="K6" s="33"/>
      <c r="L6" s="33"/>
      <c r="M6" s="33"/>
      <c r="N6" s="33">
        <f>$C$26*'E Balans VL '!Y12/100/3.6*1000000</f>
        <v>5.9743897818065941</v>
      </c>
      <c r="O6" s="33"/>
      <c r="P6" s="33"/>
      <c r="R6" s="32"/>
    </row>
    <row r="7" spans="1:18">
      <c r="A7" s="32" t="s">
        <v>52</v>
      </c>
      <c r="B7" s="37">
        <f t="shared" ref="B7:B12" si="0">B27</f>
        <v>1409.46822024619</v>
      </c>
      <c r="C7" s="33"/>
      <c r="D7" s="37">
        <f>IF(ISERROR(TER_horeca_gas_kWh/1000),0,TER_horeca_gas_kWh/1000)*0.903</f>
        <v>1514.9473030069908</v>
      </c>
      <c r="E7" s="33">
        <f>$C$27*'E Balans VL '!I9/100/3.6*1000000</f>
        <v>0</v>
      </c>
      <c r="F7" s="33">
        <f>$C$27*('E Balans VL '!L9+'E Balans VL '!N9)/100/3.6*1000000</f>
        <v>114.84615221897465</v>
      </c>
      <c r="G7" s="34"/>
      <c r="H7" s="33"/>
      <c r="I7" s="33"/>
      <c r="J7" s="33">
        <f>$C$27*('E Balans VL '!D9+'E Balans VL '!E9)/100/3.6*1000000</f>
        <v>0</v>
      </c>
      <c r="K7" s="33"/>
      <c r="L7" s="33"/>
      <c r="M7" s="33"/>
      <c r="N7" s="33">
        <f>$C$27*'E Balans VL '!Y9/100/3.6*1000000</f>
        <v>0.39039645644393522</v>
      </c>
      <c r="O7" s="33"/>
      <c r="P7" s="33"/>
      <c r="R7" s="32"/>
    </row>
    <row r="8" spans="1:18">
      <c r="A8" s="6" t="s">
        <v>51</v>
      </c>
      <c r="B8" s="37">
        <f t="shared" si="0"/>
        <v>7328.1862476081506</v>
      </c>
      <c r="C8" s="33"/>
      <c r="D8" s="37">
        <f>IF(ISERROR(TER_handel_gas_kWh/1000),0,TER_handel_gas_kWh/1000)*0.903</f>
        <v>7604.2040736741128</v>
      </c>
      <c r="E8" s="33">
        <f>$C$28*'E Balans VL '!I13/100/3.6*1000000</f>
        <v>58.57869657028327</v>
      </c>
      <c r="F8" s="33">
        <f>$C$28*('E Balans VL '!L13+'E Balans VL '!N13)/100/3.6*1000000</f>
        <v>728.00974903627593</v>
      </c>
      <c r="G8" s="34"/>
      <c r="H8" s="33"/>
      <c r="I8" s="33"/>
      <c r="J8" s="33">
        <f>$C$28*('E Balans VL '!D13+'E Balans VL '!E13)/100/3.6*1000000</f>
        <v>0</v>
      </c>
      <c r="K8" s="33"/>
      <c r="L8" s="33"/>
      <c r="M8" s="33"/>
      <c r="N8" s="33">
        <f>$C$28*'E Balans VL '!Y13/100/3.6*1000000</f>
        <v>2.737513766162277</v>
      </c>
      <c r="O8" s="33"/>
      <c r="P8" s="33"/>
      <c r="R8" s="32"/>
    </row>
    <row r="9" spans="1:18">
      <c r="A9" s="32" t="s">
        <v>50</v>
      </c>
      <c r="B9" s="37">
        <f t="shared" si="0"/>
        <v>526.12435337032002</v>
      </c>
      <c r="C9" s="33"/>
      <c r="D9" s="37">
        <f>IF(ISERROR(TER_gezond_gas_kWh/1000),0,TER_gezond_gas_kWh/1000)*0.903</f>
        <v>1110.1225069883083</v>
      </c>
      <c r="E9" s="33">
        <f>$C$29*'E Balans VL '!I10/100/3.6*1000000</f>
        <v>0</v>
      </c>
      <c r="F9" s="33">
        <f>$C$29*('E Balans VL '!L10+'E Balans VL '!N10)/100/3.6*1000000</f>
        <v>47.964808372569301</v>
      </c>
      <c r="G9" s="34"/>
      <c r="H9" s="33"/>
      <c r="I9" s="33"/>
      <c r="J9" s="33">
        <f>$C$29*('E Balans VL '!D10+'E Balans VL '!E10)/100/3.6*1000000</f>
        <v>0</v>
      </c>
      <c r="K9" s="33"/>
      <c r="L9" s="33"/>
      <c r="M9" s="33"/>
      <c r="N9" s="33">
        <f>$C$29*'E Balans VL '!Y10/100/3.6*1000000</f>
        <v>3.8454975315135096</v>
      </c>
      <c r="O9" s="33"/>
      <c r="P9" s="33"/>
      <c r="R9" s="32"/>
    </row>
    <row r="10" spans="1:18">
      <c r="A10" s="32" t="s">
        <v>49</v>
      </c>
      <c r="B10" s="37">
        <f t="shared" si="0"/>
        <v>1960.3699956658302</v>
      </c>
      <c r="C10" s="33"/>
      <c r="D10" s="37">
        <f>IF(ISERROR(TER_ander_gas_kWh/1000),0,TER_ander_gas_kWh/1000)*0.903</f>
        <v>2435.3899097202566</v>
      </c>
      <c r="E10" s="33">
        <f>$C$30*'E Balans VL '!I14/100/3.6*1000000</f>
        <v>25.415226825075067</v>
      </c>
      <c r="F10" s="33">
        <f>$C$30*('E Balans VL '!L14+'E Balans VL '!N14)/100/3.6*1000000</f>
        <v>1797.9345271990189</v>
      </c>
      <c r="G10" s="34"/>
      <c r="H10" s="33"/>
      <c r="I10" s="33"/>
      <c r="J10" s="33">
        <f>$C$30*('E Balans VL '!D14+'E Balans VL '!E14)/100/3.6*1000000</f>
        <v>1.9827519550414813E-2</v>
      </c>
      <c r="K10" s="33"/>
      <c r="L10" s="33"/>
      <c r="M10" s="33"/>
      <c r="N10" s="33">
        <f>$C$30*'E Balans VL '!Y14/100/3.6*1000000</f>
        <v>749.73280233536457</v>
      </c>
      <c r="O10" s="33"/>
      <c r="P10" s="33"/>
      <c r="R10" s="32"/>
    </row>
    <row r="11" spans="1:18">
      <c r="A11" s="32" t="s">
        <v>54</v>
      </c>
      <c r="B11" s="37">
        <f t="shared" si="0"/>
        <v>220.660512546636</v>
      </c>
      <c r="C11" s="33"/>
      <c r="D11" s="37">
        <f>IF(ISERROR(TER_onderwijs_gas_kWh/1000),0,TER_onderwijs_gas_kWh/1000)*0.903</f>
        <v>921.1824211865495</v>
      </c>
      <c r="E11" s="33">
        <f>$C$31*'E Balans VL '!I11/100/3.6*1000000</f>
        <v>0</v>
      </c>
      <c r="F11" s="33">
        <f>$C$31*('E Balans VL '!L11+'E Balans VL '!N11)/100/3.6*1000000</f>
        <v>8.6460676310710696</v>
      </c>
      <c r="G11" s="34"/>
      <c r="H11" s="33"/>
      <c r="I11" s="33"/>
      <c r="J11" s="33">
        <f>$C$31*('E Balans VL '!D11+'E Balans VL '!E11)/100/3.6*1000000</f>
        <v>0</v>
      </c>
      <c r="K11" s="33"/>
      <c r="L11" s="33"/>
      <c r="M11" s="33"/>
      <c r="N11" s="33">
        <f>$C$31*'E Balans VL '!Y11/100/3.6*1000000</f>
        <v>0.69491447322586575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15914.517125019838</v>
      </c>
      <c r="C16" s="21">
        <f t="shared" ca="1" si="1"/>
        <v>0</v>
      </c>
      <c r="D16" s="21">
        <f t="shared" ca="1" si="1"/>
        <v>19608.807587675376</v>
      </c>
      <c r="E16" s="21">
        <f t="shared" si="1"/>
        <v>85.058923019848947</v>
      </c>
      <c r="F16" s="21">
        <f t="shared" ca="1" si="1"/>
        <v>3085.6392124275949</v>
      </c>
      <c r="G16" s="21">
        <f t="shared" si="1"/>
        <v>0</v>
      </c>
      <c r="H16" s="21">
        <f t="shared" si="1"/>
        <v>0</v>
      </c>
      <c r="I16" s="21">
        <f t="shared" si="1"/>
        <v>0</v>
      </c>
      <c r="J16" s="21">
        <f t="shared" si="1"/>
        <v>1.9827519550414813E-2</v>
      </c>
      <c r="K16" s="21">
        <f t="shared" si="1"/>
        <v>0</v>
      </c>
      <c r="L16" s="21">
        <f t="shared" ca="1" si="1"/>
        <v>0</v>
      </c>
      <c r="M16" s="21">
        <f t="shared" si="1"/>
        <v>0</v>
      </c>
      <c r="N16" s="21">
        <f t="shared" ca="1" si="1"/>
        <v>763.37551434451666</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0.19738474304149822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3141.2828733515639</v>
      </c>
      <c r="C20" s="23">
        <f t="shared" ref="C20:P20" ca="1" si="2">C16*C18</f>
        <v>0</v>
      </c>
      <c r="D20" s="23">
        <f t="shared" ca="1" si="2"/>
        <v>3960.9791327104263</v>
      </c>
      <c r="E20" s="23">
        <f t="shared" si="2"/>
        <v>19.308375525505713</v>
      </c>
      <c r="F20" s="23">
        <f t="shared" ca="1" si="2"/>
        <v>823.86566971816785</v>
      </c>
      <c r="G20" s="23">
        <f t="shared" si="2"/>
        <v>0</v>
      </c>
      <c r="H20" s="23">
        <f t="shared" si="2"/>
        <v>0</v>
      </c>
      <c r="I20" s="23">
        <f t="shared" si="2"/>
        <v>0</v>
      </c>
      <c r="J20" s="23">
        <f t="shared" si="2"/>
        <v>7.0189419208468431E-3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4469.7077955827099</v>
      </c>
      <c r="C26" s="39">
        <f>IF(ISERROR(B26*3.6/1000000/'E Balans VL '!Z12*100),0,B26*3.6/1000000/'E Balans VL '!Z12*100)</f>
        <v>0.12823549603294052</v>
      </c>
      <c r="D26" s="233" t="s">
        <v>835</v>
      </c>
      <c r="F26" s="6"/>
    </row>
    <row r="27" spans="1:18" ht="30">
      <c r="A27" s="228" t="s">
        <v>52</v>
      </c>
      <c r="B27" s="33">
        <f>IF(ISERROR(TER_horeca_ele_kWh/1000),0,TER_horeca_ele_kWh/1000)</f>
        <v>1409.46822024619</v>
      </c>
      <c r="C27" s="39">
        <f>IF(ISERROR(B27*3.6/1000000/'E Balans VL '!Z9*100),0,B27*3.6/1000000/'E Balans VL '!Z9*100)</f>
        <v>0.10325814081710658</v>
      </c>
      <c r="D27" s="233" t="s">
        <v>835</v>
      </c>
      <c r="F27" s="6"/>
    </row>
    <row r="28" spans="1:18" ht="30">
      <c r="A28" s="168" t="s">
        <v>51</v>
      </c>
      <c r="B28" s="33">
        <f>IF(ISERROR(TER_handel_ele_kWh/1000),0,TER_handel_ele_kWh/1000)</f>
        <v>7328.1862476081506</v>
      </c>
      <c r="C28" s="39">
        <f>IF(ISERROR(B28*3.6/1000000/'E Balans VL '!Z13*100),0,B28*3.6/1000000/'E Balans VL '!Z13*100)</f>
        <v>0.22644713601957794</v>
      </c>
      <c r="D28" s="233" t="s">
        <v>835</v>
      </c>
      <c r="F28" s="6"/>
    </row>
    <row r="29" spans="1:18" ht="30">
      <c r="A29" s="228" t="s">
        <v>50</v>
      </c>
      <c r="B29" s="33">
        <f>IF(ISERROR(TER_gezond_ele_kWh/1000),0,TER_gezond_ele_kWh/1000)</f>
        <v>526.12435337032002</v>
      </c>
      <c r="C29" s="39">
        <f>IF(ISERROR(B29*3.6/1000000/'E Balans VL '!Z10*100),0,B29*3.6/1000000/'E Balans VL '!Z10*100)</f>
        <v>5.1563421745263981E-2</v>
      </c>
      <c r="D29" s="233" t="s">
        <v>835</v>
      </c>
      <c r="F29" s="6"/>
    </row>
    <row r="30" spans="1:18" ht="30">
      <c r="A30" s="228" t="s">
        <v>49</v>
      </c>
      <c r="B30" s="33">
        <f>IF(ISERROR(TER_ander_ele_kWh/1000),0,TER_ander_ele_kWh/1000)</f>
        <v>1960.3699956658302</v>
      </c>
      <c r="C30" s="39">
        <f>IF(ISERROR(B30*3.6/1000000/'E Balans VL '!Z14*100),0,B30*3.6/1000000/'E Balans VL '!Z14*100)</f>
        <v>8.1204858226954862E-2</v>
      </c>
      <c r="D30" s="233" t="s">
        <v>835</v>
      </c>
      <c r="F30" s="6"/>
    </row>
    <row r="31" spans="1:18" ht="30">
      <c r="A31" s="228" t="s">
        <v>54</v>
      </c>
      <c r="B31" s="33">
        <f>IF(ISERROR(TER_onderwijs_ele_kWh/1000),0,TER_onderwijs_ele_kWh/1000)</f>
        <v>220.660512546636</v>
      </c>
      <c r="C31" s="39">
        <f>IF(ISERROR(B31*3.6/1000000/'E Balans VL '!Z11*100),0,B31*3.6/1000000/'E Balans VL '!Z11*100)</f>
        <v>6.7802266847850443E-2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4171.2435982049519</v>
      </c>
      <c r="C5" s="17">
        <f>IF(ISERROR('Eigen informatie GS &amp; warmtenet'!B61),0,'Eigen informatie GS &amp; warmtenet'!B61)</f>
        <v>0</v>
      </c>
      <c r="D5" s="30">
        <f>SUM(D6:D15)</f>
        <v>2038.2135464580547</v>
      </c>
      <c r="E5" s="17">
        <f>SUM(E6:E15)</f>
        <v>29.903062701250761</v>
      </c>
      <c r="F5" s="17">
        <f>SUM(F6:F15)</f>
        <v>1590.4020045741556</v>
      </c>
      <c r="G5" s="18"/>
      <c r="H5" s="17"/>
      <c r="I5" s="17"/>
      <c r="J5" s="17">
        <f>SUM(J6:J15)</f>
        <v>0.55325148981246297</v>
      </c>
      <c r="K5" s="17"/>
      <c r="L5" s="17"/>
      <c r="M5" s="17"/>
      <c r="N5" s="17">
        <f>SUM(N6:N15)</f>
        <v>137.63426692514847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580.71358971160998</v>
      </c>
      <c r="C8" s="33"/>
      <c r="D8" s="37">
        <f>IF( ISERROR(IND_metaal_Gas_kWH/1000),0,IND_metaal_Gas_kWH/1000)*0.903</f>
        <v>599.08668061142464</v>
      </c>
      <c r="E8" s="33">
        <f>C30*'E Balans VL '!I18/100/3.6*1000000</f>
        <v>3.1655603441414062</v>
      </c>
      <c r="F8" s="33">
        <f>C30*'E Balans VL '!L18/100/3.6*1000000+C30*'E Balans VL '!N18/100/3.6*1000000</f>
        <v>37.397999533900482</v>
      </c>
      <c r="G8" s="34"/>
      <c r="H8" s="33"/>
      <c r="I8" s="33"/>
      <c r="J8" s="40">
        <f>C30*'E Balans VL '!D18/100/3.6*1000000+C30*'E Balans VL '!E18/100/3.6*1000000</f>
        <v>0.47567526449299269</v>
      </c>
      <c r="K8" s="33"/>
      <c r="L8" s="33"/>
      <c r="M8" s="33"/>
      <c r="N8" s="33">
        <f>C30*'E Balans VL '!Y18/100/3.6*1000000</f>
        <v>12.545933371980931</v>
      </c>
      <c r="O8" s="33"/>
      <c r="P8" s="33"/>
      <c r="R8" s="32"/>
    </row>
    <row r="9" spans="1:18">
      <c r="A9" s="6" t="s">
        <v>32</v>
      </c>
      <c r="B9" s="37">
        <f t="shared" si="0"/>
        <v>2378.6381889460399</v>
      </c>
      <c r="C9" s="33"/>
      <c r="D9" s="37">
        <f>IF( ISERROR(IND_andere_gas_kWh/1000),0,IND_andere_gas_kWh/1000)*0.903</f>
        <v>636.51870012403003</v>
      </c>
      <c r="E9" s="33">
        <f>C31*'E Balans VL '!I19/100/3.6*1000000</f>
        <v>7.6786491573230551</v>
      </c>
      <c r="F9" s="33">
        <f>C31*'E Balans VL '!L19/100/3.6*1000000+C31*'E Balans VL '!N19/100/3.6*1000000</f>
        <v>1538.0461254283853</v>
      </c>
      <c r="G9" s="34"/>
      <c r="H9" s="33"/>
      <c r="I9" s="33"/>
      <c r="J9" s="40">
        <f>C31*'E Balans VL '!D19/100/3.6*1000000+C31*'E Balans VL '!E19/100/3.6*1000000</f>
        <v>0</v>
      </c>
      <c r="K9" s="33"/>
      <c r="L9" s="33"/>
      <c r="M9" s="33"/>
      <c r="N9" s="33">
        <f>C31*'E Balans VL '!Y19/100/3.6*1000000</f>
        <v>96.118021647239743</v>
      </c>
      <c r="O9" s="33"/>
      <c r="P9" s="33"/>
      <c r="R9" s="32"/>
    </row>
    <row r="10" spans="1:18">
      <c r="A10" s="6" t="s">
        <v>40</v>
      </c>
      <c r="B10" s="37">
        <f t="shared" si="0"/>
        <v>727.577737245604</v>
      </c>
      <c r="C10" s="33"/>
      <c r="D10" s="37">
        <f>IF( ISERROR(IND_voed_gas_kWh/1000),0,IND_voed_gas_kWh/1000)*0.903</f>
        <v>523.66251407462084</v>
      </c>
      <c r="E10" s="33">
        <f>C32*'E Balans VL '!I20/100/3.6*1000000</f>
        <v>1.5251812473325537</v>
      </c>
      <c r="F10" s="33">
        <f>C32*'E Balans VL '!L20/100/3.6*1000000+C32*'E Balans VL '!N20/100/3.6*1000000</f>
        <v>14.175728740825942</v>
      </c>
      <c r="G10" s="34"/>
      <c r="H10" s="33"/>
      <c r="I10" s="33"/>
      <c r="J10" s="40">
        <f>C32*'E Balans VL '!D20/100/3.6*1000000+C32*'E Balans VL '!E20/100/3.6*1000000</f>
        <v>0</v>
      </c>
      <c r="K10" s="33"/>
      <c r="L10" s="33"/>
      <c r="M10" s="33"/>
      <c r="N10" s="33">
        <f>C32*'E Balans VL '!Y20/100/3.6*1000000</f>
        <v>28.941025246514421</v>
      </c>
      <c r="O10" s="33"/>
      <c r="P10" s="33"/>
      <c r="R10" s="32"/>
    </row>
    <row r="11" spans="1:18">
      <c r="A11" s="6" t="s">
        <v>39</v>
      </c>
      <c r="B11" s="37">
        <f t="shared" si="0"/>
        <v>8.204121323012</v>
      </c>
      <c r="C11" s="33"/>
      <c r="D11" s="37">
        <f>IF( ISERROR(IND_textiel_gas_kWh/1000),0,IND_textiel_gas_kWh/1000)*0.903</f>
        <v>0</v>
      </c>
      <c r="E11" s="33">
        <f>C33*'E Balans VL '!I21/100/3.6*1000000</f>
        <v>7.049554833082592E-3</v>
      </c>
      <c r="F11" s="33">
        <f>C33*'E Balans VL '!L21/100/3.6*1000000+C33*'E Balans VL '!N21/100/3.6*1000000</f>
        <v>0.17200791844799324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392.182799377246</v>
      </c>
      <c r="C13" s="33"/>
      <c r="D13" s="37">
        <f>IF( ISERROR(IND_papier_gas_kWh/1000),0,IND_papier_gas_kWh/1000)*0.903</f>
        <v>166.58792251923822</v>
      </c>
      <c r="E13" s="33">
        <f>C35*'E Balans VL '!I23/100/3.6*1000000</f>
        <v>0</v>
      </c>
      <c r="F13" s="33">
        <f>C35*'E Balans VL '!L23/100/3.6*1000000+C35*'E Balans VL '!N23/100/3.6*1000000</f>
        <v>5.253412239762989E-2</v>
      </c>
      <c r="G13" s="34"/>
      <c r="H13" s="33"/>
      <c r="I13" s="33"/>
      <c r="J13" s="40">
        <f>C35*'E Balans VL '!D23/100/3.6*1000000+C35*'E Balans VL '!E23/100/3.6*1000000</f>
        <v>7.7576225319470268E-2</v>
      </c>
      <c r="K13" s="33"/>
      <c r="L13" s="33"/>
      <c r="M13" s="33"/>
      <c r="N13" s="33">
        <f>C35*'E Balans VL '!Y23/100/3.6*1000000</f>
        <v>0</v>
      </c>
      <c r="O13" s="33"/>
      <c r="P13" s="33"/>
      <c r="R13" s="32"/>
    </row>
    <row r="14" spans="1:18">
      <c r="A14" s="6" t="s">
        <v>33</v>
      </c>
      <c r="B14" s="37">
        <f t="shared" si="0"/>
        <v>83.927161601440005</v>
      </c>
      <c r="C14" s="33"/>
      <c r="D14" s="37">
        <f>IF( ISERROR(IND_chemie_gas_kWh/1000),0,IND_chemie_gas_kWh/1000)*0.903</f>
        <v>0</v>
      </c>
      <c r="E14" s="33">
        <f>C36*'E Balans VL '!I24/100/3.6*1000000</f>
        <v>17.52662239762066</v>
      </c>
      <c r="F14" s="33">
        <f>C36*'E Balans VL '!L24/100/3.6*1000000+C36*'E Balans VL '!N24/100/3.6*1000000</f>
        <v>0.55760883019833829</v>
      </c>
      <c r="G14" s="34"/>
      <c r="H14" s="33"/>
      <c r="I14" s="33"/>
      <c r="J14" s="40">
        <f>C36*'E Balans VL '!D24/100/3.6*1000000+C36*'E Balans VL '!E24/100/3.6*1000000</f>
        <v>0</v>
      </c>
      <c r="K14" s="33"/>
      <c r="L14" s="33"/>
      <c r="M14" s="33"/>
      <c r="N14" s="33">
        <f>C36*'E Balans VL '!Y24/100/3.6*1000000</f>
        <v>2.9286659413372523E-2</v>
      </c>
      <c r="O14" s="33"/>
      <c r="P14" s="33"/>
      <c r="R14" s="32"/>
    </row>
    <row r="15" spans="1:18">
      <c r="A15" s="6" t="s">
        <v>259</v>
      </c>
      <c r="B15" s="37">
        <f t="shared" si="0"/>
        <v>0</v>
      </c>
      <c r="C15" s="33"/>
      <c r="D15" s="37">
        <f>IF( ISERROR(IND_rest_gas_kWh/1000),0,IND_rest_gas_kWh/1000)*0.903</f>
        <v>112.35772912874081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4171.2435982049519</v>
      </c>
      <c r="C18" s="21">
        <f>C5+C16</f>
        <v>0</v>
      </c>
      <c r="D18" s="21">
        <f>MAX((D5+D16),0)</f>
        <v>2038.2135464580547</v>
      </c>
      <c r="E18" s="21">
        <f>MAX((E5+E16),0)</f>
        <v>29.903062701250761</v>
      </c>
      <c r="F18" s="21">
        <f>MAX((F5+F16),0)</f>
        <v>1590.4020045741556</v>
      </c>
      <c r="G18" s="21"/>
      <c r="H18" s="21"/>
      <c r="I18" s="21"/>
      <c r="J18" s="21">
        <f>MAX((J5+J16),0)</f>
        <v>0.55325148981246297</v>
      </c>
      <c r="K18" s="21"/>
      <c r="L18" s="21">
        <f>MAX((L5+L16),0)</f>
        <v>0</v>
      </c>
      <c r="M18" s="21"/>
      <c r="N18" s="21">
        <f>MAX((N5+N16),0)</f>
        <v>137.63426692514847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0.19738474304149822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823.33984579517892</v>
      </c>
      <c r="C22" s="23">
        <f ca="1">C18*C20</f>
        <v>0</v>
      </c>
      <c r="D22" s="23">
        <f>D18*D20</f>
        <v>411.71913638452708</v>
      </c>
      <c r="E22" s="23">
        <f>E18*E20</f>
        <v>6.7879952331839233</v>
      </c>
      <c r="F22" s="23">
        <f>F18*F20</f>
        <v>424.63733522129957</v>
      </c>
      <c r="G22" s="23"/>
      <c r="H22" s="23"/>
      <c r="I22" s="23"/>
      <c r="J22" s="23">
        <f>J18*J20</f>
        <v>0.19585102739361188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580.71358971160998</v>
      </c>
      <c r="C30" s="39">
        <f>IF(ISERROR(B30*3.6/1000000/'E Balans VL '!Z18*100),0,B30*3.6/1000000/'E Balans VL '!Z18*100)</f>
        <v>3.4968980032158037E-2</v>
      </c>
      <c r="D30" s="233" t="s">
        <v>835</v>
      </c>
    </row>
    <row r="31" spans="1:18" ht="30">
      <c r="A31" s="6" t="s">
        <v>32</v>
      </c>
      <c r="B31" s="37">
        <f>IF( ISERROR(IND_ander_ele_kWh/1000),0,IND_ander_ele_kWh/1000)</f>
        <v>2378.6381889460399</v>
      </c>
      <c r="C31" s="39">
        <f>IF(ISERROR(B31*3.6/1000000/'E Balans VL '!Z19*100),0,B31*3.6/1000000/'E Balans VL '!Z19*100)</f>
        <v>9.6910644165413007E-2</v>
      </c>
      <c r="D31" s="233" t="s">
        <v>835</v>
      </c>
    </row>
    <row r="32" spans="1:18" ht="30">
      <c r="A32" s="168" t="s">
        <v>40</v>
      </c>
      <c r="B32" s="37">
        <f>IF( ISERROR(IND_voed_ele_kWh/1000),0,IND_voed_ele_kWh/1000)</f>
        <v>727.577737245604</v>
      </c>
      <c r="C32" s="39">
        <f>IF(ISERROR(B32*3.6/1000000/'E Balans VL '!Z20*100),0,B32*3.6/1000000/'E Balans VL '!Z20*100)</f>
        <v>2.1037200375372742E-2</v>
      </c>
      <c r="D32" s="233" t="s">
        <v>835</v>
      </c>
    </row>
    <row r="33" spans="1:5" ht="30">
      <c r="A33" s="168" t="s">
        <v>39</v>
      </c>
      <c r="B33" s="37">
        <f>IF( ISERROR(IND_textiel_ele_kWh/1000),0,IND_textiel_ele_kWh/1000)</f>
        <v>8.204121323012</v>
      </c>
      <c r="C33" s="39">
        <f>IF(ISERROR(B33*3.6/1000000/'E Balans VL '!Z21*100),0,B33*3.6/1000000/'E Balans VL '!Z21*100)</f>
        <v>1.3491970972406874E-3</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392.182799377246</v>
      </c>
      <c r="C35" s="39">
        <f>IF(ISERROR(B35*3.6/1000000/'E Balans VL '!Z22*100),0,B35*3.6/1000000/'E Balans VL '!Z22*100)</f>
        <v>0.16745841107399978</v>
      </c>
      <c r="D35" s="233" t="s">
        <v>835</v>
      </c>
    </row>
    <row r="36" spans="1:5" ht="30">
      <c r="A36" s="168" t="s">
        <v>33</v>
      </c>
      <c r="B36" s="37">
        <f>IF( ISERROR(IND_chemie_ele_kWh/1000),0,IND_chemie_ele_kWh/1000)</f>
        <v>83.927161601440005</v>
      </c>
      <c r="C36" s="39">
        <f>IF(ISERROR(B36*3.6/1000000/'E Balans VL '!Z24*100),0,B36*3.6/1000000/'E Balans VL '!Z24*100)</f>
        <v>2.5466660359454506E-3</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2843.23415971349</v>
      </c>
      <c r="C5" s="17">
        <f>'Eigen informatie GS &amp; warmtenet'!B62</f>
        <v>0</v>
      </c>
      <c r="D5" s="30">
        <f>IF(ISERROR(SUM(LB_lb_gas_kWh,LB_rest_gas_kWh)/1000),0,SUM(LB_lb_gas_kWh,LB_rest_gas_kWh)/1000)*0.903</f>
        <v>1289.0346323656825</v>
      </c>
      <c r="E5" s="17">
        <f>B17*'E Balans VL '!I25/3.6*1000000/100</f>
        <v>81.435037967303757</v>
      </c>
      <c r="F5" s="17">
        <f>B17*('E Balans VL '!L25/3.6*1000000+'E Balans VL '!N25/3.6*1000000)/100</f>
        <v>9000.2106406101357</v>
      </c>
      <c r="G5" s="18"/>
      <c r="H5" s="17"/>
      <c r="I5" s="17"/>
      <c r="J5" s="17">
        <f>('E Balans VL '!D25+'E Balans VL '!E25)/3.6*1000000*landbouw!B17/100</f>
        <v>722.94516246151818</v>
      </c>
      <c r="K5" s="17"/>
      <c r="L5" s="17">
        <f>L6*(-1)</f>
        <v>0</v>
      </c>
      <c r="M5" s="17"/>
      <c r="N5" s="17">
        <f>N6*(-1)</f>
        <v>124.71428571428569</v>
      </c>
      <c r="O5" s="17"/>
      <c r="P5" s="17"/>
      <c r="R5" s="32"/>
    </row>
    <row r="6" spans="1:18">
      <c r="A6" s="16" t="s">
        <v>467</v>
      </c>
      <c r="B6" s="17" t="s">
        <v>204</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2843.23415971349</v>
      </c>
      <c r="C8" s="21">
        <f>C5+C6</f>
        <v>62.357142857142847</v>
      </c>
      <c r="D8" s="21">
        <f>MAX((D5+D6),0)</f>
        <v>1289.0346323656825</v>
      </c>
      <c r="E8" s="21">
        <f>MAX((E5+E6),0)</f>
        <v>81.435037967303757</v>
      </c>
      <c r="F8" s="21">
        <f>MAX((F5+F6),0)</f>
        <v>9000.2106406101357</v>
      </c>
      <c r="G8" s="21"/>
      <c r="H8" s="21"/>
      <c r="I8" s="21"/>
      <c r="J8" s="21">
        <f>MAX((J5+J6),0)</f>
        <v>722.94516246151818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0.19738474304149822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561.21104402185733</v>
      </c>
      <c r="C12" s="23">
        <f ca="1">C8*C10</f>
        <v>0</v>
      </c>
      <c r="D12" s="23">
        <f>D8*D10</f>
        <v>260.38499573786788</v>
      </c>
      <c r="E12" s="23">
        <f>E8*E10</f>
        <v>18.485753618577952</v>
      </c>
      <c r="F12" s="23">
        <f>F8*F10</f>
        <v>2403.0562410429065</v>
      </c>
      <c r="G12" s="23"/>
      <c r="H12" s="23"/>
      <c r="I12" s="23"/>
      <c r="J12" s="23">
        <f>J8*J10</f>
        <v>255.92258751137743</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0.39372343093248474</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320.09993995996854</v>
      </c>
      <c r="C26" s="243">
        <f>B26*'GWP N2O_CH4'!B5</f>
        <v>6722.0987391593389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66.945132828349116</v>
      </c>
      <c r="C27" s="243">
        <f>B27*'GWP N2O_CH4'!B5</f>
        <v>1405.8477893953313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4.0740369882771779</v>
      </c>
      <c r="C28" s="243">
        <f>B28*'GWP N2O_CH4'!B4</f>
        <v>1262.9514663659252</v>
      </c>
      <c r="D28" s="50"/>
    </row>
    <row r="29" spans="1:4">
      <c r="A29" s="41" t="s">
        <v>266</v>
      </c>
      <c r="B29" s="243">
        <f>B34*'ha_N2O bodem landbouw'!B4</f>
        <v>14.912068348632014</v>
      </c>
      <c r="C29" s="243">
        <f>B29*'GWP N2O_CH4'!B4</f>
        <v>4622.7411880759246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3.3877550433809933E-3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6.9275350975589467E-4</v>
      </c>
      <c r="C5" s="432" t="s">
        <v>204</v>
      </c>
      <c r="D5" s="417">
        <f>SUM(D6:D11)</f>
        <v>1.4385743622773286E-3</v>
      </c>
      <c r="E5" s="417">
        <f>SUM(E6:E11)</f>
        <v>5.5255262474981557E-4</v>
      </c>
      <c r="F5" s="430" t="s">
        <v>204</v>
      </c>
      <c r="G5" s="417">
        <f>SUM(G6:G11)</f>
        <v>0.18901532630060519</v>
      </c>
      <c r="H5" s="417">
        <f>SUM(H6:H11)</f>
        <v>7.006727235560184E-2</v>
      </c>
      <c r="I5" s="432" t="s">
        <v>204</v>
      </c>
      <c r="J5" s="432" t="s">
        <v>204</v>
      </c>
      <c r="K5" s="432" t="s">
        <v>204</v>
      </c>
      <c r="L5" s="432" t="s">
        <v>204</v>
      </c>
      <c r="M5" s="417">
        <f>SUM(M6:M11)</f>
        <v>1.5820129400372758E-2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2.2997223959571309E-4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3.8342955705963834E-4</v>
      </c>
      <c r="E6" s="884">
        <f>vkm_GW_PW*SUMIFS(TableVerdeelsleutelVkm[LPG],TableVerdeelsleutelVkm[Voertuigtype],"Lichte voertuigen")*SUMIFS(TableECFTransport[EnergieConsumptieFactor (PJ per km)],TableECFTransport[Index],CONCATENATE($A6,"_LPG_LPG"))</f>
        <v>1.5201422445805795E-4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4.5684093113887526E-2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1.8804056574307018E-2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3.9561578020923058E-3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2.2587683748324362E-7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8.9539002104306147E-3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6.6066823220285462E-8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5.1411780774655153E-4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4.6208295216678839E-4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1.0551448052176901E-3</v>
      </c>
      <c r="E8" s="420">
        <f>vkm_NGW_PW*SUMIFS(TableVerdeelsleutelVkm[LPG],TableVerdeelsleutelVkm[Voertuigtype],"Lichte voertuigen")*SUMIFS(TableECFTransport[EnergieConsumptieFactor (PJ per km)],TableECFTransport[Index],CONCATENATE($A8,"_LPG_LPG"))</f>
        <v>4.0053840029175762E-4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0.11026024348450918</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5.1262982922210695E-2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9.9650920883430742E-3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4.7244115590993697E-7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2.4117089491777891E-2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1.6679226090497108E-7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1.3847617021908256E-3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192.43153048774852</v>
      </c>
      <c r="C14" s="21"/>
      <c r="D14" s="21">
        <f t="shared" ref="D14:M14" si="0">((D5)*10^9/3600)+D12</f>
        <v>399.60398952148012</v>
      </c>
      <c r="E14" s="21">
        <f t="shared" si="0"/>
        <v>153.4868402082821</v>
      </c>
      <c r="F14" s="21"/>
      <c r="G14" s="21">
        <f t="shared" si="0"/>
        <v>52504.257305723659</v>
      </c>
      <c r="H14" s="21">
        <f t="shared" si="0"/>
        <v>19463.131209889398</v>
      </c>
      <c r="I14" s="21"/>
      <c r="J14" s="21"/>
      <c r="K14" s="21"/>
      <c r="L14" s="21"/>
      <c r="M14" s="21">
        <f t="shared" si="0"/>
        <v>4394.4803889924333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0.19738474304149822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37.983048198406472</v>
      </c>
      <c r="C18" s="23"/>
      <c r="D18" s="23">
        <f t="shared" ref="D18:M18" si="1">D14*D16</f>
        <v>80.720005883338985</v>
      </c>
      <c r="E18" s="23">
        <f t="shared" si="1"/>
        <v>34.84151272728004</v>
      </c>
      <c r="F18" s="23"/>
      <c r="G18" s="23">
        <f t="shared" si="1"/>
        <v>14018.636700628218</v>
      </c>
      <c r="H18" s="23">
        <f t="shared" si="1"/>
        <v>4846.3196712624604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7.7915860787013352E-5</v>
      </c>
      <c r="C50" s="315">
        <f t="shared" ref="C50:P50" si="2">SUM(C51:C52)</f>
        <v>0</v>
      </c>
      <c r="D50" s="315">
        <f t="shared" si="2"/>
        <v>0</v>
      </c>
      <c r="E50" s="315">
        <f t="shared" si="2"/>
        <v>0</v>
      </c>
      <c r="F50" s="315">
        <f t="shared" si="2"/>
        <v>0</v>
      </c>
      <c r="G50" s="315">
        <f t="shared" si="2"/>
        <v>4.8777684414116826E-3</v>
      </c>
      <c r="H50" s="315">
        <f t="shared" si="2"/>
        <v>0</v>
      </c>
      <c r="I50" s="315">
        <f t="shared" si="2"/>
        <v>0</v>
      </c>
      <c r="J50" s="315">
        <f t="shared" si="2"/>
        <v>0</v>
      </c>
      <c r="K50" s="315">
        <f t="shared" si="2"/>
        <v>0</v>
      </c>
      <c r="L50" s="315">
        <f t="shared" si="2"/>
        <v>0</v>
      </c>
      <c r="M50" s="315">
        <f t="shared" si="2"/>
        <v>2.8007066339077335E-4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7.7915860787013352E-5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4.8777684414116826E-3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2.8007066339077335E-4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21.643294663059265</v>
      </c>
      <c r="C54" s="21">
        <f t="shared" ref="C54:P54" si="3">(C50)*10^9/3600</f>
        <v>0</v>
      </c>
      <c r="D54" s="21">
        <f t="shared" si="3"/>
        <v>0</v>
      </c>
      <c r="E54" s="21">
        <f t="shared" si="3"/>
        <v>0</v>
      </c>
      <c r="F54" s="21">
        <f t="shared" si="3"/>
        <v>0</v>
      </c>
      <c r="G54" s="21">
        <f t="shared" si="3"/>
        <v>1354.9356781699119</v>
      </c>
      <c r="H54" s="21">
        <f t="shared" si="3"/>
        <v>0</v>
      </c>
      <c r="I54" s="21">
        <f t="shared" si="3"/>
        <v>0</v>
      </c>
      <c r="J54" s="21">
        <f t="shared" si="3"/>
        <v>0</v>
      </c>
      <c r="K54" s="21">
        <f t="shared" si="3"/>
        <v>0</v>
      </c>
      <c r="L54" s="21">
        <f t="shared" si="3"/>
        <v>0</v>
      </c>
      <c r="M54" s="21">
        <f t="shared" si="3"/>
        <v>77.797406497437038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0.19738474304149822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4.2720561556393832</v>
      </c>
      <c r="C58" s="23">
        <f t="shared" ref="C58:P58" ca="1" si="4">C54*C56</f>
        <v>0</v>
      </c>
      <c r="D58" s="23">
        <f t="shared" si="4"/>
        <v>0</v>
      </c>
      <c r="E58" s="23">
        <f t="shared" si="4"/>
        <v>0</v>
      </c>
      <c r="F58" s="23">
        <f t="shared" si="4"/>
        <v>0</v>
      </c>
      <c r="G58" s="23">
        <f t="shared" si="4"/>
        <v>361.76782607136647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5932.9878870938901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5976.6378870938897</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62.357142857142847</v>
      </c>
      <c r="C17" s="574">
        <f>B49</f>
        <v>0</v>
      </c>
      <c r="D17" s="575"/>
      <c r="E17" s="575">
        <f>E49</f>
        <v>0</v>
      </c>
      <c r="F17" s="576"/>
      <c r="G17" s="577"/>
      <c r="H17" s="574">
        <f>I49</f>
        <v>0</v>
      </c>
      <c r="I17" s="575">
        <f>G49+F49</f>
        <v>0</v>
      </c>
      <c r="J17" s="575">
        <f>H49+D49+C49</f>
        <v>73.361344537815114</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23052</v>
      </c>
      <c r="C28" s="785">
        <v>1785</v>
      </c>
      <c r="D28" s="635"/>
      <c r="E28" s="634"/>
      <c r="F28" s="634"/>
      <c r="G28" s="634" t="s">
        <v>868</v>
      </c>
      <c r="H28" s="634" t="s">
        <v>869</v>
      </c>
      <c r="I28" s="634"/>
      <c r="J28" s="784"/>
      <c r="K28" s="784"/>
      <c r="L28" s="634" t="s">
        <v>870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2021-11-11T12:14:39Z</dcterms:modified>
</cp:coreProperties>
</file>