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DE5B27AC-BC73-4B33-BF51-C92CB3BAFA2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5" i="13"/>
  <c r="B34" i="13"/>
  <c r="B36"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<sst xmlns="http://schemas.openxmlformats.org/spreadsheetml/2006/main" count="2417" uniqueCount="868">
  <si>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</si>
  <si>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</si>
  <si>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</si>
  <si>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</si>
  <si>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</si>
  <si>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</si>
  <si>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</si>
  <si>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</si>
  <si>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</si>
  <si>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</si>
  <si>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</si>
  <si>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</si>
  <si>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</si>
  <si>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</si>
  <si>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</si>
  <si>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</si>
  <si>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</si>
  <si>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</si>
  <si>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</si>
  <si>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</si>
  <si>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</si>
  <si>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</si>
  <si>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</si>
  <si>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</si>
  <si>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</si>
  <si>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</si>
  <si>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</si>
  <si>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</si>
  <si>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</si>
  <si>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</si>
  <si>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</si>
  <si>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</si>
  <si>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</si>
  <si>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</si>
  <si>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</si>
  <si>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</si>
  <si>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</si>
  <si>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</si>
  <si>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</si>
  <si>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</si>
  <si>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</si>
  <si>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</si>
  <si>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</si>
  <si>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</si>
  <si>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</si>
  <si>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</si>
  <si>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</si>
  <si>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</si>
  <si>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</si>
  <si>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</si>
  <si>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</si>
  <si>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</si>
  <si>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</si>
  <si>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</si>
  <si>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</si>
  <si>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</si>
  <si>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</si>
  <si>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</si>
  <si>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</si>
  <si>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</si>
  <si>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</si>
  <si>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</si>
  <si>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</si>
  <si>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</si>
  <si>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</si>
  <si>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</si>
  <si>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</si>
  <si>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</si>
  <si>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</si>
  <si>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</si>
  <si>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</si>
  <si>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</si>
  <si>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</si>
  <si>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</si>
  <si>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</si>
  <si>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</si>
  <si>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</si>
  <si>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</si>
  <si>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</si>
  <si>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</si>
  <si>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</si>
  <si>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</si>
  <si>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</si>
  <si>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</si>
  <si>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</si>
  <si>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</si>
  <si>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</si>
  <si>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</si>
  <si>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</si>
  <si>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</si>
  <si>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</si>
  <si>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</si>
  <si>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</si>
  <si>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</si>
  <si>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</si>
  <si>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</si>
  <si>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</si>
  <si>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</si>
  <si>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</si>
  <si>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</si>
  <si>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</si>
  <si>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</si>
  <si>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</si>
  <si>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</si>
  <si>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</si>
  <si>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</si>
  <si>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</si>
  <si>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</si>
  <si>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</si>
  <si>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</si>
  <si>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</si>
  <si>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</si>
  <si>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</si>
  <si>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</si>
  <si>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</si>
  <si>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</si>
  <si>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</si>
  <si>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</si>
  <si>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</si>
  <si>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</si>
  <si>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</si>
  <si>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</si>
  <si>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</si>
  <si>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</si>
  <si>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</si>
  <si>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</si>
  <si>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</si>
  <si>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</si>
  <si>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</si>
  <si>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</si>
  <si>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</si>
  <si>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</si>
  <si>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</si>
  <si>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</si>
  <si>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</si>
  <si>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</si>
  <si>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</si>
  <si>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</si>
  <si>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</si>
  <si>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</si>
  <si>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</si>
  <si>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</si>
  <si>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</si>
  <si>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</si>
  <si>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</si>
  <si>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</si>
  <si>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</si>
  <si>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</si>
  <si>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</si>
  <si>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</si>
  <si>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</si>
  <si>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</si>
  <si>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</si>
  <si>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</si>
  <si>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</si>
  <si>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</si>
  <si>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</si>
  <si>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</si>
  <si>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</si>
  <si>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</si>
  <si>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</si>
  <si>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</si>
  <si>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</si>
  <si>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</si>
  <si>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</si>
  <si>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</si>
  <si>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</si>
  <si>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</si>
  <si>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</si>
  <si>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</si>
  <si>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</si>
  <si>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</si>
  <si>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</si>
  <si>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</si>
  <si>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</si>
  <si>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</si>
  <si>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</si>
  <si>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</si>
  <si>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</si>
  <si>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</si>
  <si>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</si>
  <si>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</si>
  <si>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</si>
  <si>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</si>
  <si>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</si>
  <si>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</si>
  <si>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</si>
  <si>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</si>
  <si>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</si>
  <si>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</si>
  <si>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</si>
  <si>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</si>
  <si>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</si>
  <si>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</si>
  <si>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</si>
  <si>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</si>
  <si>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</si>
  <si>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</si>
  <si>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</si>
  <si>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</si>
  <si>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</si>
  <si>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</si>
  <si>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</si>
  <si>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</si>
  <si>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</si>
  <si>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</si>
  <si>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</si>
  <si>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</si>
  <si>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</si>
  <si>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</si>
  <si>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</si>
  <si>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</si>
  <si>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</si>
  <si>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</si>
  <si>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</si>
  <si>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</si>
  <si>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</si>
  <si>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</si>
  <si>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</si>
  <si>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</si>
  <si>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</si>
  <si>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</si>
  <si>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</si>
  <si>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</si>
  <si>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</si>
  <si>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</si>
  <si>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</si>
  <si>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</si>
  <si>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</si>
  <si>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</si>
  <si>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</si>
  <si>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</si>
  <si>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</si>
  <si>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</si>
  <si>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</si>
  <si>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</si>
  <si>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</si>
  <si>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</si>
  <si>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</si>
  <si>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</si>
  <si>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</si>
  <si>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</si>
  <si>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</si>
  <si>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</si>
  <si>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</si>
  <si>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</si>
  <si>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</si>
  <si>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</si>
  <si>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</si>
  <si>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</si>
  <si>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</si>
  <si>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</si>
  <si>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</si>
  <si>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</si>
  <si>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</si>
  <si>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</si>
  <si>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</si>
  <si>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</si>
  <si>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</si>
  <si>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</si>
  <si>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</si>
  <si>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</si>
  <si>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</si>
  <si>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</si>
  <si>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</si>
  <si>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</si>
  <si>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</si>
  <si>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</si>
  <si>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</si>
  <si>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</si>
  <si>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</si>
  <si>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</si>
  <si>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</si>
  <si>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</si>
  <si>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</si>
  <si>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</si>
  <si>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</si>
  <si>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</si>
  <si>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</si>
  <si>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</si>
  <si>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</si>
  <si>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</si>
  <si>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</si>
  <si>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</si>
  <si>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</si>
  <si>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</si>
  <si>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</si>
  <si>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</si>
  <si>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</si>
  <si>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</si>
  <si>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</si>
  <si>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</si>
  <si>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</si>
  <si>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</si>
  <si>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</si>
  <si>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</si>
  <si>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</si>
  <si>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</si>
  <si>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</si>
  <si>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</si>
  <si>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</si>
  <si>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</si>
  <si>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</si>
  <si>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</si>
  <si>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</si>
  <si>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</si>
  <si>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</si>
  <si>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</si>
  <si>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</si>
  <si>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</si>
  <si>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</si>
  <si>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</si>
  <si>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</si>
  <si>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</si>
  <si>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</si>
  <si>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</si>
  <si>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</si>
  <si>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</si>
  <si>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</si>
  <si>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</si>
  <si>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</si>
  <si>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</si>
  <si>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</si>
  <si>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</si>
  <si>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</si>
  <si>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</si>
  <si>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</si>
  <si>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</si>
  <si>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</si>
  <si>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</si>
  <si>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</si>
  <si>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</si>
  <si>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</si>
  <si>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</si>
  <si>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</si>
  <si>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</si>
  <si>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</si>
  <si>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</si>
  <si>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</si>
  <si>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</si>
  <si>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</si>
  <si>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</si>
  <si>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</si>
  <si>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</si>
  <si>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</si>
  <si>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</si>
  <si>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</si>
  <si>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</si>
  <si>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</si>
  <si>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</si>
  <si>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</si>
  <si>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</si>
  <si>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</si>
  <si>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</si>
  <si>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</si>
  <si>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</si>
  <si>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</si>
  <si>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</si>
  <si>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</si>
  <si>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</si>
  <si>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</si>
  <si>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</si>
  <si>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</si>
  <si>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</si>
  <si>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</si>
  <si>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</si>
  <si>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</si>
  <si>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</si>
  <si>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</si>
  <si>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</si>
  <si>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</si>
  <si>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</si>
  <si>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</si>
  <si>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</si>
  <si>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</si>
  <si>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</si>
  <si>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</si>
  <si>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</si>
  <si>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</si>
  <si>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</si>
  <si>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</si>
  <si>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</si>
  <si>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</si>
  <si>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</si>
  <si>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</si>
  <si>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</si>
  <si>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</si>
  <si>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</si>
  <si>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</si>
  <si>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</si>
  <si>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</si>
  <si>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</si>
  <si>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</si>
  <si>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</si>
  <si>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</si>
  <si>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</si>
  <si>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</si>
  <si>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</si>
  <si>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</si>
  <si>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</si>
  <si>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</si>
  <si>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</si>
  <si>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</si>
  <si>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</si>
  <si>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</si>
  <si>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</si>
  <si>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</si>
  <si>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</si>
  <si>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</si>
  <si>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</si>
  <si>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</si>
  <si>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</si>
  <si>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</si>
  <si>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</si>
  <si>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</si>
  <si>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</si>
  <si>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</si>
  <si>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</si>
  <si>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</si>
  <si>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</si>
  <si>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</si>
  <si>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</si>
  <si>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</si>
  <si>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</si>
  <si>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</si>
  <si>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</si>
  <si>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</si>
  <si>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</si>
  <si>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</si>
  <si>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</si>
  <si>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</si>
  <si>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</si>
  <si>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</si>
  <si>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</si>
  <si>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</si>
  <si>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</si>
  <si>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</si>
  <si>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</si>
  <si>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</si>
  <si>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</si>
  <si>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</si>
  <si>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</si>
  <si>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</si>
  <si>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</si>
  <si>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</si>
  <si>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</si>
  <si>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</si>
  <si>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</si>
  <si>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</si>
  <si>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</si>
  <si>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</si>
  <si>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</si>
  <si>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</si>
  <si>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</si>
  <si>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</si>
  <si>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</si>
  <si>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</si>
  <si>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</si>
  <si>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</si>
  <si>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</si>
  <si>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</si>
  <si>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</si>
  <si>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</si>
  <si>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</si>
  <si>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</si>
  <si>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</si>
  <si>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</si>
  <si>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</si>
  <si>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</si>
  <si>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</si>
  <si>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</si>
  <si>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</si>
  <si>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</si>
  <si>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</si>
  <si>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</si>
  <si>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</si>
  <si>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</si>
  <si>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</si>
  <si>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</si>
  <si>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</si>
  <si>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</si>
  <si>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</si>
  <si>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</si>
  <si>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</si>
  <si>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</si>
  <si>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</si>
  <si>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</si>
  <si>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</si>
  <si>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</si>
  <si>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</si>
  <si>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</si>
  <si>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</si>
  <si>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</si>
  <si>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</si>
  <si>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</si>
  <si>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</si>
  <si>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</si>
  <si>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</si>
  <si>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</si>
  <si>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</si>
  <si>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</si>
  <si>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</si>
  <si>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</si>
  <si>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</si>
  <si>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</si>
  <si>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</si>
  <si>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</si>
  <si>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</si>
  <si>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</si>
  <si>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</si>
  <si>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</si>
  <si>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</si>
  <si>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</si>
  <si>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</si>
  <si>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</si>
  <si>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</si>
  <si>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</si>
  <si>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</si>
  <si>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</si>
  <si>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</si>
  <si>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</si>
  <si>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</si>
  <si>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</si>
  <si>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</si>
  <si>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</si>
  <si>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</si>
  <si>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</si>
  <si>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</si>
  <si>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</si>
  <si>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</si>
  <si>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</si>
  <si>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</si>
  <si>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</si>
  <si>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</si>
  <si>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</si>
  <si>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</si>
  <si>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</si>
  <si>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</si>
  <si>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</si>
  <si>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</si>
  <si>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</si>
  <si>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</si>
  <si>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</si>
  <si>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</si>
  <si>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</si>
  <si>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</si>
  <si>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</si>
  <si>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</si>
  <si>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</si>
  <si>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</si>
  <si>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</si>
  <si>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</si>
  <si>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</si>
  <si>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</si>
  <si>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</si>
  <si>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</si>
  <si>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</si>
  <si>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</si>
  <si>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</si>
  <si>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</si>
  <si>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</si>
  <si>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</si>
  <si>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</si>
  <si>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</si>
  <si>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</si>
  <si>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</si>
  <si>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</si>
  <si>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</si>
  <si>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</si>
  <si>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</si>
  <si>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</si>
  <si>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</si>
  <si>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</si>
  <si>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</si>
  <si>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</si>
  <si>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</si>
  <si>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</si>
  <si>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</si>
  <si>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</si>
  <si>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</si>
  <si>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</si>
  <si>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</si>
  <si>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</si>
  <si>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</si>
  <si>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</si>
  <si>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</si>
  <si>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</si>
  <si>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</si>
  <si>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</si>
  <si>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</si>
  <si>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</si>
  <si>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</si>
  <si>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</si>
  <si>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</si>
  <si>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</si>
  <si>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</si>
  <si>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</si>
  <si>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</si>
  <si>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</si>
  <si>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</si>
  <si>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</si>
  <si>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</si>
  <si>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</si>
  <si>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</si>
  <si>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</si>
  <si>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</si>
  <si>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</si>
  <si>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</si>
  <si>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</si>
  <si>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</si>
  <si>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</si>
  <si>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</si>
  <si>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</si>
  <si>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</si>
  <si>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</si>
  <si>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</si>
  <si>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</si>
  <si>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</si>
  <si>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</si>
  <si>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</si>
  <si>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</si>
  <si>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</si>
  <si>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</si>
  <si>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</si>
  <si>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</si>
  <si>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</si>
  <si>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</si>
  <si>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</si>
  <si>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</si>
  <si>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</si>
  <si>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</si>
  <si>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</si>
  <si>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</si>
  <si>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</si>
  <si>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</si>
  <si>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</si>
  <si>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</si>
  <si>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</si>
  <si>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</si>
  <si>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</si>
  <si>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</si>
  <si>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</si>
  <si>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</si>
  <si>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</si>
  <si>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</si>
  <si>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</si>
  <si>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</si>
  <si>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</si>
  <si>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</si>
  <si>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</si>
  <si>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</si>
  <si>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</si>
  <si>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</si>
  <si>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</si>
  <si>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</si>
  <si>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</si>
  <si>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</si>
  <si>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</si>
  <si>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</si>
  <si>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</si>
  <si>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</si>
  <si>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</si>
  <si>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</si>
  <si>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</si>
  <si>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</si>
  <si>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</si>
  <si>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</si>
  <si>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</si>
  <si>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</si>
  <si>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</si>
  <si>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</si>
  <si>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</si>
  <si>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</si>
  <si>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</si>
  <si>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</si>
  <si>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</si>
  <si>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</si>
  <si>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</si>
  <si>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</si>
  <si>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</si>
  <si>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</si>
  <si>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</si>
  <si>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</si>
  <si>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</si>
  <si>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</si>
  <si>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</si>
  <si>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</si>
  <si>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</si>
  <si>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</si>
  <si>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</si>
  <si>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</si>
  <si>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</si>
  <si>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</si>
  <si>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</si>
  <si>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</si>
  <si>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</si>
  <si>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</si>
  <si>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</si>
  <si>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</si>
  <si>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</si>
  <si>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</si>
  <si>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</si>
  <si>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</si>
  <si>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</si>
  <si>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</si>
  <si>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</si>
  <si>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</si>
  <si>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</si>
  <si>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</si>
  <si>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</si>
  <si>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</si>
  <si>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</si>
  <si>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</si>
  <si>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</si>
  <si>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</si>
  <si>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</si>
  <si>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</si>
  <si>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</si>
  <si>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</si>
  <si>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</si>
  <si>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</si>
  <si>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</si>
  <si>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</si>
  <si>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</si>
  <si>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</si>
  <si>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</si>
  <si>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</si>
  <si>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</si>
  <si>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</si>
  <si>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</si>
  <si>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</si>
  <si>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</si>
  <si>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</si>
  <si>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</si>
  <si>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</si>
  <si>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</si>
  <si>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</si>
  <si>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</si>
  <si>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</si>
  <si>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</si>
  <si>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</si>
  <si>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</si>
  <si>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</si>
  <si>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</si>
  <si>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</si>
  <si>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</si>
  <si>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</si>
  <si>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</si>
  <si>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</si>
  <si>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</si>
  <si>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</si>
  <si>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</si>
  <si>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</si>
  <si>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</si>
  <si>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</si>
  <si>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</si>
  <si>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</si>
  <si>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</si>
  <si>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</si>
  <si>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</si>
  <si>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</si>
  <si>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</si>
  <si>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</si>
  <si>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</si>
  <si>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</si>
  <si>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</si>
  <si>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</si>
  <si>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</si>
  <si>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</si>
  <si>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</si>
  <si>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</si>
  <si>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</si>
  <si>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</si>
  <si>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</si>
  <si>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</si>
  <si>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</si>
  <si>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</si>
  <si>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</si>
  <si>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</si>
  <si>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</si>
  <si>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</si>
  <si>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</si>
  <si>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</si>
  <si>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</si>
  <si>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</si>
  <si>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</si>
  <si>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</si>
  <si>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</si>
  <si>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</si>
  <si>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</si>
  <si>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</si>
  <si>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</si>
  <si>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</si>
  <si>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</si>
  <si>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</si>
  <si>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</si>
  <si>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</si>
  <si>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</si>
  <si>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</si>
  <si>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</si>
  <si>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</si>
  <si>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</si>
  <si>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</si>
  <si>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</si>
  <si>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</si>
  <si>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</si>
  <si>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</si>
  <si>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</si>
  <si>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</si>
  <si>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</si>
  <si>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</si>
  <si>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</si>
  <si>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</si>
  <si>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</si>
  <si>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</si>
  <si>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</si>
  <si>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</si>
  <si>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</si>
  <si>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</si>
  <si>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</si>
  <si>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</si>
  <si>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</si>
  <si>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</si>
  <si>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</si>
  <si>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</si>
  <si>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</si>
  <si>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</si>
  <si>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</si>
  <si>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</si>
  <si>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</si>
  <si>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</si>
  <si>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</si>
  <si>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</si>
  <si>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</si>
  <si>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</si>
  <si>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</si>
  <si>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</si>
  <si>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</si>
  <si>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</si>
  <si>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</si>
  <si>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</si>
  <si>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</si>
  <si>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</si>
  <si>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</si>
  <si>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</si>
  <si>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</si>
  <si>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</si>
  <si>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</si>
  <si>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</si>
  <si>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</si>
  <si>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</si>
  <si>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</si>
  <si>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</si>
  <si>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</si>
  <si>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</si>
  <si>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</si>
  <si>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</si>
  <si>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</si>
  <si>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</si>
  <si>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</si>
  <si>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</si>
  <si>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</si>
  <si>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</si>
  <si>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</si>
  <si>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23038</t>
  </si>
  <si>
    <t>KAMPENHOUT</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</si>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</sst>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454C6BDF-9616-446D-AAF7-4AECFD86C5C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100797.64527725047</c:v>
                </c:pt>
                <c:pt idx="1">
                  <c:v>31122.776439162346</c:v>
                </c:pt>
                <c:pt idx="2">
                  <c:v>1133.9680000000001</c:v>
                </c:pt>
                <c:pt idx="3">
                  <c:v>7487.260851091627</c:v>
                </c:pt>
                <c:pt idx="4">
                  <c:v>6713.276536703188</c:v>
                </c:pt>
                <c:pt idx="5">
                  <c:v>75042.7892571415</c:v>
                </c:pt>
                <c:pt idx="6">
                  <c:v>2654.0277642905567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100797.64527725047</c:v>
                </c:pt>
                <c:pt idx="1">
                  <c:v>31122.776439162346</c:v>
                </c:pt>
                <c:pt idx="2">
                  <c:v>1133.9680000000001</c:v>
                </c:pt>
                <c:pt idx="3">
                  <c:v>7487.260851091627</c:v>
                </c:pt>
                <c:pt idx="4">
                  <c:v>6713.276536703188</c:v>
                </c:pt>
                <c:pt idx="5">
                  <c:v>75042.7892571415</c:v>
                </c:pt>
                <c:pt idx="6">
                  <c:v>2654.0277642905567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20598.936539826474</c:v>
                </c:pt>
                <c:pt idx="1">
                  <c:v>6137.2314956504761</c:v>
                </c:pt>
                <c:pt idx="2">
                  <c:v>218.12441833102338</c:v>
                </c:pt>
                <c:pt idx="3">
                  <c:v>1891.1015276388682</c:v>
                </c:pt>
                <c:pt idx="4">
                  <c:v>1328.0118714676389</c:v>
                </c:pt>
                <c:pt idx="5">
                  <c:v>18585.602069157801</c:v>
                </c:pt>
                <c:pt idx="6">
                  <c:v>667.77149727949359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20598.936539826474</c:v>
                </c:pt>
                <c:pt idx="1">
                  <c:v>6137.2314956504761</c:v>
                </c:pt>
                <c:pt idx="2">
                  <c:v>218.12441833102338</c:v>
                </c:pt>
                <c:pt idx="3">
                  <c:v>1891.1015276388682</c:v>
                </c:pt>
                <c:pt idx="4">
                  <c:v>1328.0118714676389</c:v>
                </c:pt>
                <c:pt idx="5">
                  <c:v>18585.602069157801</c:v>
                </c:pt>
                <c:pt idx="6">
                  <c:v>667.77149727949359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23038</v>
      </c>
      <c r="B6" s="384"/>
      <c r="C6" s="385"/>
    </row>
    <row r="7" spans="1:7" s="382" customFormat="1" ht="15.75" customHeight="1">
      <c r="A7" s="386" t="str">
        <f>txtMunicipality</f>
        <v>KAMPENHOUT</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16145.444973118651</v>
      </c>
      <c r="D10" s="681">
        <f ca="1">tertiair!C16</f>
        <v>0</v>
      </c>
      <c r="E10" s="681">
        <f ca="1">tertiair!D16</f>
        <v>12281.249897174999</v>
      </c>
      <c r="F10" s="681">
        <f>tertiair!E16</f>
        <v>87.079043053399602</v>
      </c>
      <c r="G10" s="681">
        <f ca="1">tertiair!F16</f>
        <v>2805.6675031507425</v>
      </c>
      <c r="H10" s="681">
        <f>tertiair!G16</f>
        <v>0</v>
      </c>
      <c r="I10" s="681">
        <f>tertiair!H16</f>
        <v>0</v>
      </c>
      <c r="J10" s="681">
        <f>tertiair!I16</f>
        <v>0</v>
      </c>
      <c r="K10" s="681">
        <f>tertiair!J16</f>
        <v>1.7368024642361885E-2</v>
      </c>
      <c r="L10" s="681">
        <f>tertiair!K16</f>
        <v>0</v>
      </c>
      <c r="M10" s="681">
        <f ca="1">tertiair!L16</f>
        <v>0</v>
      </c>
      <c r="N10" s="681">
        <f>tertiair!M16</f>
        <v>0</v>
      </c>
      <c r="O10" s="681">
        <f ca="1">tertiair!N16</f>
        <v>669.69270234159774</v>
      </c>
      <c r="P10" s="681">
        <f>tertiair!O16</f>
        <v>4.8972607658411542</v>
      </c>
      <c r="Q10" s="682">
        <f>tertiair!P16</f>
        <v>262.69569153247511</v>
      </c>
      <c r="R10" s="684">
        <f ca="1">SUM(C10:Q10)</f>
        <v>32256.744439162347</v>
      </c>
      <c r="S10" s="67"/>
    </row>
    <row r="11" spans="1:19" s="443" customFormat="1">
      <c r="A11" s="802" t="s">
        <v>214</v>
      </c>
      <c r="B11" s="807"/>
      <c r="C11" s="681">
        <f>huishoudens!B8</f>
        <v>21591.537718851556</v>
      </c>
      <c r="D11" s="681">
        <f>huishoudens!C8</f>
        <v>0</v>
      </c>
      <c r="E11" s="681">
        <f>huishoudens!D8</f>
        <v>39222.145039098003</v>
      </c>
      <c r="F11" s="681">
        <f>huishoudens!E8</f>
        <v>1392.5589995711093</v>
      </c>
      <c r="G11" s="681">
        <f>huishoudens!F8</f>
        <v>30506.240326460524</v>
      </c>
      <c r="H11" s="681">
        <f>huishoudens!G8</f>
        <v>0</v>
      </c>
      <c r="I11" s="681">
        <f>huishoudens!H8</f>
        <v>0</v>
      </c>
      <c r="J11" s="681">
        <f>huishoudens!I8</f>
        <v>0</v>
      </c>
      <c r="K11" s="681">
        <f>huishoudens!J8</f>
        <v>173.858400202653</v>
      </c>
      <c r="L11" s="681">
        <f>huishoudens!K8</f>
        <v>0</v>
      </c>
      <c r="M11" s="681">
        <f>huishoudens!L8</f>
        <v>0</v>
      </c>
      <c r="N11" s="681">
        <f>huishoudens!M8</f>
        <v>0</v>
      </c>
      <c r="O11" s="681">
        <f>huishoudens!N8</f>
        <v>6553.1349183104148</v>
      </c>
      <c r="P11" s="681">
        <f>huishoudens!O8</f>
        <v>283.70602537234555</v>
      </c>
      <c r="Q11" s="682">
        <f>huishoudens!P8</f>
        <v>1074.4638493838725</v>
      </c>
      <c r="R11" s="684">
        <f>SUM(C11:Q11)</f>
        <v>100797.64527725047</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4538.5036329999994</v>
      </c>
      <c r="D13" s="681">
        <f>industrie!C18</f>
        <v>0</v>
      </c>
      <c r="E13" s="681">
        <f>industrie!D18</f>
        <v>1628.4598769039999</v>
      </c>
      <c r="F13" s="681">
        <f>industrie!E18</f>
        <v>21.847896250572042</v>
      </c>
      <c r="G13" s="681">
        <f>industrie!F18</f>
        <v>450.49009209525178</v>
      </c>
      <c r="H13" s="681">
        <f>industrie!G18</f>
        <v>0</v>
      </c>
      <c r="I13" s="681">
        <f>industrie!H18</f>
        <v>0</v>
      </c>
      <c r="J13" s="681">
        <f>industrie!I18</f>
        <v>0</v>
      </c>
      <c r="K13" s="681">
        <f>industrie!J18</f>
        <v>2.312904509448714</v>
      </c>
      <c r="L13" s="681">
        <f>industrie!K18</f>
        <v>0</v>
      </c>
      <c r="M13" s="681">
        <f>industrie!L18</f>
        <v>0</v>
      </c>
      <c r="N13" s="681">
        <f>industrie!M18</f>
        <v>0</v>
      </c>
      <c r="O13" s="681">
        <f>industrie!N18</f>
        <v>71.662133943916785</v>
      </c>
      <c r="P13" s="681">
        <f>industrie!O18</f>
        <v>0</v>
      </c>
      <c r="Q13" s="682">
        <f>industrie!P18</f>
        <v>0</v>
      </c>
      <c r="R13" s="684">
        <f>SUM(C13:Q13)</f>
        <v>6713.276536703188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42275.486324970203</v>
      </c>
      <c r="D16" s="717">
        <f t="shared" ref="D16:R16" ca="1" si="0">SUM(D9:D15)</f>
        <v>0</v>
      </c>
      <c r="E16" s="717">
        <f t="shared" ca="1" si="0"/>
        <v>53131.854813177008</v>
      </c>
      <c r="F16" s="717">
        <f t="shared" si="0"/>
        <v>1501.485938875081</v>
      </c>
      <c r="G16" s="717">
        <f t="shared" ca="1" si="0"/>
        <v>33762.397921706513</v>
      </c>
      <c r="H16" s="717">
        <f t="shared" si="0"/>
        <v>0</v>
      </c>
      <c r="I16" s="717">
        <f t="shared" si="0"/>
        <v>0</v>
      </c>
      <c r="J16" s="717">
        <f t="shared" si="0"/>
        <v>0</v>
      </c>
      <c r="K16" s="717">
        <f t="shared" si="0"/>
        <v>176.18867273674408</v>
      </c>
      <c r="L16" s="717">
        <f t="shared" si="0"/>
        <v>0</v>
      </c>
      <c r="M16" s="717">
        <f t="shared" ca="1" si="0"/>
        <v>0</v>
      </c>
      <c r="N16" s="717">
        <f t="shared" si="0"/>
        <v>0</v>
      </c>
      <c r="O16" s="717">
        <f t="shared" ca="1" si="0"/>
        <v>7294.4897545959293</v>
      </c>
      <c r="P16" s="717">
        <f t="shared" si="0"/>
        <v>288.60328613818672</v>
      </c>
      <c r="Q16" s="717">
        <f t="shared" si="0"/>
        <v>1337.1595409163476</v>
      </c>
      <c r="R16" s="717">
        <f t="shared" ca="1" si="0"/>
        <v>139767.66625311601</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39.495900623005888</v>
      </c>
      <c r="D19" s="681">
        <f>transport!C54</f>
        <v>0</v>
      </c>
      <c r="E19" s="681">
        <f>transport!D54</f>
        <v>0</v>
      </c>
      <c r="F19" s="681">
        <f>transport!E54</f>
        <v>0</v>
      </c>
      <c r="G19" s="681">
        <f>transport!F54</f>
        <v>0</v>
      </c>
      <c r="H19" s="681">
        <f>transport!G54</f>
        <v>2472.5627834704028</v>
      </c>
      <c r="I19" s="681">
        <f>transport!H54</f>
        <v>0</v>
      </c>
      <c r="J19" s="681">
        <f>transport!I54</f>
        <v>0</v>
      </c>
      <c r="K19" s="681">
        <f>transport!J54</f>
        <v>0</v>
      </c>
      <c r="L19" s="681">
        <f>transport!K54</f>
        <v>0</v>
      </c>
      <c r="M19" s="681">
        <f>transport!L54</f>
        <v>0</v>
      </c>
      <c r="N19" s="681">
        <f>transport!M54</f>
        <v>141.969080197148</v>
      </c>
      <c r="O19" s="681">
        <f>transport!N54</f>
        <v>0</v>
      </c>
      <c r="P19" s="681">
        <f>transport!O54</f>
        <v>0</v>
      </c>
      <c r="Q19" s="682">
        <f>transport!P54</f>
        <v>0</v>
      </c>
      <c r="R19" s="684">
        <f>SUM(C19:Q19)</f>
        <v>2654.0277642905567</v>
      </c>
      <c r="S19" s="67"/>
    </row>
    <row r="20" spans="1:19" s="443" customFormat="1">
      <c r="A20" s="802" t="s">
        <v>296</v>
      </c>
      <c r="B20" s="807"/>
      <c r="C20" s="681">
        <f>transport!B14</f>
        <v>169.30716220431651</v>
      </c>
      <c r="D20" s="681">
        <f>transport!C14</f>
        <v>0</v>
      </c>
      <c r="E20" s="681">
        <f>transport!D14</f>
        <v>318.92132013654293</v>
      </c>
      <c r="F20" s="681">
        <f>transport!E14</f>
        <v>124.10372360034671</v>
      </c>
      <c r="G20" s="681">
        <f>transport!F14</f>
        <v>0</v>
      </c>
      <c r="H20" s="681">
        <f>transport!G14</f>
        <v>54613.234523419087</v>
      </c>
      <c r="I20" s="681">
        <f>transport!H14</f>
        <v>15577.139436719444</v>
      </c>
      <c r="J20" s="681">
        <f>transport!I14</f>
        <v>0</v>
      </c>
      <c r="K20" s="681">
        <f>transport!J14</f>
        <v>0</v>
      </c>
      <c r="L20" s="681">
        <f>transport!K14</f>
        <v>0</v>
      </c>
      <c r="M20" s="681">
        <f>transport!L14</f>
        <v>0</v>
      </c>
      <c r="N20" s="681">
        <f>transport!M14</f>
        <v>4240.0830910617588</v>
      </c>
      <c r="O20" s="681">
        <f>transport!N14</f>
        <v>0</v>
      </c>
      <c r="P20" s="681">
        <f>transport!O14</f>
        <v>0</v>
      </c>
      <c r="Q20" s="682">
        <f>transport!P14</f>
        <v>0</v>
      </c>
      <c r="R20" s="684">
        <f>SUM(C20:Q20)</f>
        <v>75042.7892571415</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208.80306282732241</v>
      </c>
      <c r="D22" s="805">
        <f t="shared" ref="D22:R22" si="1">SUM(D18:D21)</f>
        <v>0</v>
      </c>
      <c r="E22" s="805">
        <f t="shared" si="1"/>
        <v>318.92132013654293</v>
      </c>
      <c r="F22" s="805">
        <f t="shared" si="1"/>
        <v>124.10372360034671</v>
      </c>
      <c r="G22" s="805">
        <f t="shared" si="1"/>
        <v>0</v>
      </c>
      <c r="H22" s="805">
        <f t="shared" si="1"/>
        <v>57085.797306889493</v>
      </c>
      <c r="I22" s="805">
        <f t="shared" si="1"/>
        <v>15577.139436719444</v>
      </c>
      <c r="J22" s="805">
        <f t="shared" si="1"/>
        <v>0</v>
      </c>
      <c r="K22" s="805">
        <f t="shared" si="1"/>
        <v>0</v>
      </c>
      <c r="L22" s="805">
        <f t="shared" si="1"/>
        <v>0</v>
      </c>
      <c r="M22" s="805">
        <f t="shared" si="1"/>
        <v>0</v>
      </c>
      <c r="N22" s="805">
        <f t="shared" si="1"/>
        <v>4382.052171258907</v>
      </c>
      <c r="O22" s="805">
        <f t="shared" si="1"/>
        <v>0</v>
      </c>
      <c r="P22" s="805">
        <f t="shared" si="1"/>
        <v>0</v>
      </c>
      <c r="Q22" s="805">
        <f t="shared" si="1"/>
        <v>0</v>
      </c>
      <c r="R22" s="805">
        <f t="shared" si="1"/>
        <v>77696.817021432056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1608.1229509999998</v>
      </c>
      <c r="D24" s="681">
        <f>+landbouw!C8</f>
        <v>0</v>
      </c>
      <c r="E24" s="681">
        <f>+landbouw!D8</f>
        <v>333.69680345400002</v>
      </c>
      <c r="F24" s="681">
        <f>+landbouw!E8</f>
        <v>46.059362758913259</v>
      </c>
      <c r="G24" s="681">
        <f>+landbouw!F8</f>
        <v>5090.4865663467008</v>
      </c>
      <c r="H24" s="681">
        <f>+landbouw!G8</f>
        <v>0</v>
      </c>
      <c r="I24" s="681">
        <f>+landbouw!H8</f>
        <v>0</v>
      </c>
      <c r="J24" s="681">
        <f>+landbouw!I8</f>
        <v>0</v>
      </c>
      <c r="K24" s="681">
        <f>+landbouw!J8</f>
        <v>408.89516753201343</v>
      </c>
      <c r="L24" s="681">
        <f>+landbouw!K8</f>
        <v>0</v>
      </c>
      <c r="M24" s="681">
        <f>+landbouw!L8</f>
        <v>0</v>
      </c>
      <c r="N24" s="681">
        <f>+landbouw!M8</f>
        <v>0</v>
      </c>
      <c r="O24" s="681">
        <f>+landbouw!N8</f>
        <v>0</v>
      </c>
      <c r="P24" s="681">
        <f>+landbouw!O8</f>
        <v>0</v>
      </c>
      <c r="Q24" s="682">
        <f>+landbouw!P8</f>
        <v>0</v>
      </c>
      <c r="R24" s="684">
        <f>SUM(C24:Q24)</f>
        <v>7487.260851091627</v>
      </c>
      <c r="S24" s="67"/>
    </row>
    <row r="25" spans="1:19" s="443" customFormat="1" ht="15" thickBot="1">
      <c r="A25" s="824" t="s">
        <v>690</v>
      </c>
      <c r="B25" s="937"/>
      <c r="C25" s="938">
        <f>IF(Onbekend_ele_kWh="---",0,Onbekend_ele_kWh)/1000+IF(REST_rest_ele_kWh="---",0,REST_rest_ele_kWh)/1000</f>
        <v>917.47435999999993</v>
      </c>
      <c r="D25" s="938"/>
      <c r="E25" s="938">
        <f>IF(onbekend_gas_kWh="---",0,onbekend_gas_kWh)/1000+IF(REST_rest_gas_kWh="---",0,REST_rest_gas_kWh)/1000</f>
        <v>973.08754799999997</v>
      </c>
      <c r="F25" s="938"/>
      <c r="G25" s="938"/>
      <c r="H25" s="938"/>
      <c r="I25" s="938"/>
      <c r="J25" s="938"/>
      <c r="K25" s="938"/>
      <c r="L25" s="938"/>
      <c r="M25" s="938"/>
      <c r="N25" s="938"/>
      <c r="O25" s="938"/>
      <c r="P25" s="938"/>
      <c r="Q25" s="939"/>
      <c r="R25" s="684">
        <f>SUM(C25:Q25)</f>
        <v>1890.5619079999999</v>
      </c>
      <c r="S25" s="67"/>
    </row>
    <row r="26" spans="1:19" s="443" customFormat="1" ht="15.75" thickBot="1">
      <c r="A26" s="689" t="s">
        <v>691</v>
      </c>
      <c r="B26" s="810"/>
      <c r="C26" s="805">
        <f>SUM(C24:C25)</f>
        <v>2525.5973109999995</v>
      </c>
      <c r="D26" s="805">
        <f t="shared" ref="D26:R26" si="2">SUM(D24:D25)</f>
        <v>0</v>
      </c>
      <c r="E26" s="805">
        <f t="shared" si="2"/>
        <v>1306.784351454</v>
      </c>
      <c r="F26" s="805">
        <f t="shared" si="2"/>
        <v>46.059362758913259</v>
      </c>
      <c r="G26" s="805">
        <f t="shared" si="2"/>
        <v>5090.4865663467008</v>
      </c>
      <c r="H26" s="805">
        <f t="shared" si="2"/>
        <v>0</v>
      </c>
      <c r="I26" s="805">
        <f t="shared" si="2"/>
        <v>0</v>
      </c>
      <c r="J26" s="805">
        <f t="shared" si="2"/>
        <v>0</v>
      </c>
      <c r="K26" s="805">
        <f t="shared" si="2"/>
        <v>408.89516753201343</v>
      </c>
      <c r="L26" s="805">
        <f t="shared" si="2"/>
        <v>0</v>
      </c>
      <c r="M26" s="805">
        <f t="shared" si="2"/>
        <v>0</v>
      </c>
      <c r="N26" s="805">
        <f t="shared" si="2"/>
        <v>0</v>
      </c>
      <c r="O26" s="805">
        <f t="shared" si="2"/>
        <v>0</v>
      </c>
      <c r="P26" s="805">
        <f t="shared" si="2"/>
        <v>0</v>
      </c>
      <c r="Q26" s="805">
        <f t="shared" si="2"/>
        <v>0</v>
      </c>
      <c r="R26" s="805">
        <f t="shared" si="2"/>
        <v>9377.8227590916267</v>
      </c>
      <c r="S26" s="67"/>
    </row>
    <row r="27" spans="1:19" s="443" customFormat="1" ht="17.25" thickTop="1" thickBot="1">
      <c r="A27" s="690" t="s">
        <v>109</v>
      </c>
      <c r="B27" s="797"/>
      <c r="C27" s="691">
        <f ca="1">C22+C16+C26</f>
        <v>45009.88669879752</v>
      </c>
      <c r="D27" s="691">
        <f t="shared" ref="D27:R27" ca="1" si="3">D22+D16+D26</f>
        <v>0</v>
      </c>
      <c r="E27" s="691">
        <f t="shared" ca="1" si="3"/>
        <v>54757.560484767549</v>
      </c>
      <c r="F27" s="691">
        <f t="shared" si="3"/>
        <v>1671.649025234341</v>
      </c>
      <c r="G27" s="691">
        <f t="shared" ca="1" si="3"/>
        <v>38852.884488053212</v>
      </c>
      <c r="H27" s="691">
        <f t="shared" si="3"/>
        <v>57085.797306889493</v>
      </c>
      <c r="I27" s="691">
        <f t="shared" si="3"/>
        <v>15577.139436719444</v>
      </c>
      <c r="J27" s="691">
        <f t="shared" si="3"/>
        <v>0</v>
      </c>
      <c r="K27" s="691">
        <f t="shared" si="3"/>
        <v>585.08384026875751</v>
      </c>
      <c r="L27" s="691">
        <f t="shared" si="3"/>
        <v>0</v>
      </c>
      <c r="M27" s="691">
        <f t="shared" ca="1" si="3"/>
        <v>0</v>
      </c>
      <c r="N27" s="691">
        <f t="shared" si="3"/>
        <v>4382.052171258907</v>
      </c>
      <c r="O27" s="691">
        <f t="shared" ca="1" si="3"/>
        <v>7294.4897545959293</v>
      </c>
      <c r="P27" s="691">
        <f t="shared" si="3"/>
        <v>288.60328613818672</v>
      </c>
      <c r="Q27" s="691">
        <f t="shared" si="3"/>
        <v>1337.1595409163476</v>
      </c>
      <c r="R27" s="691">
        <f t="shared" ca="1" si="3"/>
        <v>226842.3060336397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3105.6571203570566</v>
      </c>
      <c r="D40" s="681">
        <f ca="1">tertiair!C20</f>
        <v>0</v>
      </c>
      <c r="E40" s="681">
        <f ca="1">tertiair!D20</f>
        <v>2480.8124792293502</v>
      </c>
      <c r="F40" s="681">
        <f>tertiair!E20</f>
        <v>19.766942773121709</v>
      </c>
      <c r="G40" s="681">
        <f ca="1">tertiair!F20</f>
        <v>749.11322334124827</v>
      </c>
      <c r="H40" s="681">
        <f>tertiair!G20</f>
        <v>0</v>
      </c>
      <c r="I40" s="681">
        <f>tertiair!H20</f>
        <v>0</v>
      </c>
      <c r="J40" s="681">
        <f>tertiair!I20</f>
        <v>0</v>
      </c>
      <c r="K40" s="681">
        <f>tertiair!J20</f>
        <v>6.1482807233961068E-3</v>
      </c>
      <c r="L40" s="681">
        <f>tertiair!K20</f>
        <v>0</v>
      </c>
      <c r="M40" s="681">
        <f ca="1">tertiair!L20</f>
        <v>0</v>
      </c>
      <c r="N40" s="681">
        <f>tertiair!M20</f>
        <v>0</v>
      </c>
      <c r="O40" s="681">
        <f ca="1">tertiair!N20</f>
        <v>0</v>
      </c>
      <c r="P40" s="681">
        <f>tertiair!O20</f>
        <v>0</v>
      </c>
      <c r="Q40" s="764">
        <f>tertiair!P20</f>
        <v>0</v>
      </c>
      <c r="R40" s="843">
        <f t="shared" ca="1" si="4"/>
        <v>6355.3559139814997</v>
      </c>
    </row>
    <row r="41" spans="1:18">
      <c r="A41" s="815" t="s">
        <v>214</v>
      </c>
      <c r="B41" s="822"/>
      <c r="C41" s="681">
        <f ca="1">huishoudens!B12</f>
        <v>4153.2403081893381</v>
      </c>
      <c r="D41" s="681">
        <f ca="1">huishoudens!C12</f>
        <v>0</v>
      </c>
      <c r="E41" s="681">
        <f>huishoudens!D12</f>
        <v>7922.8732978977969</v>
      </c>
      <c r="F41" s="681">
        <f>huishoudens!E12</f>
        <v>316.11089290264181</v>
      </c>
      <c r="G41" s="681">
        <f>huishoudens!F12</f>
        <v>8145.1661671649599</v>
      </c>
      <c r="H41" s="681">
        <f>huishoudens!G12</f>
        <v>0</v>
      </c>
      <c r="I41" s="681">
        <f>huishoudens!H12</f>
        <v>0</v>
      </c>
      <c r="J41" s="681">
        <f>huishoudens!I12</f>
        <v>0</v>
      </c>
      <c r="K41" s="681">
        <f>huishoudens!J12</f>
        <v>61.545873671739159</v>
      </c>
      <c r="L41" s="681">
        <f>huishoudens!K12</f>
        <v>0</v>
      </c>
      <c r="M41" s="681">
        <f>huishoudens!L12</f>
        <v>0</v>
      </c>
      <c r="N41" s="681">
        <f>huishoudens!M12</f>
        <v>0</v>
      </c>
      <c r="O41" s="681">
        <f>huishoudens!N12</f>
        <v>0</v>
      </c>
      <c r="P41" s="681">
        <f>huishoudens!O12</f>
        <v>0</v>
      </c>
      <c r="Q41" s="764">
        <f>huishoudens!P12</f>
        <v>0</v>
      </c>
      <c r="R41" s="843">
        <f t="shared" ca="1" si="4"/>
        <v>20598.936539826474</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873.00388109837422</v>
      </c>
      <c r="D43" s="681">
        <f ca="1">industrie!C22</f>
        <v>0</v>
      </c>
      <c r="E43" s="681">
        <f>industrie!D22</f>
        <v>328.94889513460799</v>
      </c>
      <c r="F43" s="681">
        <f>industrie!E22</f>
        <v>4.9594724488798541</v>
      </c>
      <c r="G43" s="681">
        <f>industrie!F22</f>
        <v>120.28085458943224</v>
      </c>
      <c r="H43" s="681">
        <f>industrie!G22</f>
        <v>0</v>
      </c>
      <c r="I43" s="681">
        <f>industrie!H22</f>
        <v>0</v>
      </c>
      <c r="J43" s="681">
        <f>industrie!I22</f>
        <v>0</v>
      </c>
      <c r="K43" s="681">
        <f>industrie!J22</f>
        <v>0.81876819634484466</v>
      </c>
      <c r="L43" s="681">
        <f>industrie!K22</f>
        <v>0</v>
      </c>
      <c r="M43" s="681">
        <f>industrie!L22</f>
        <v>0</v>
      </c>
      <c r="N43" s="681">
        <f>industrie!M22</f>
        <v>0</v>
      </c>
      <c r="O43" s="681">
        <f>industrie!N22</f>
        <v>0</v>
      </c>
      <c r="P43" s="681">
        <f>industrie!O22</f>
        <v>0</v>
      </c>
      <c r="Q43" s="764">
        <f>industrie!P22</f>
        <v>0</v>
      </c>
      <c r="R43" s="842">
        <f t="shared" ca="1" si="4"/>
        <v>1328.0118714676389</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8131.9013096447688</v>
      </c>
      <c r="D46" s="717">
        <f t="shared" ref="D46:Q46" ca="1" si="5">SUM(D39:D45)</f>
        <v>0</v>
      </c>
      <c r="E46" s="717">
        <f t="shared" ca="1" si="5"/>
        <v>10732.634672261755</v>
      </c>
      <c r="F46" s="717">
        <f t="shared" si="5"/>
        <v>340.83730812464336</v>
      </c>
      <c r="G46" s="717">
        <f t="shared" ca="1" si="5"/>
        <v>9014.5602450956394</v>
      </c>
      <c r="H46" s="717">
        <f t="shared" si="5"/>
        <v>0</v>
      </c>
      <c r="I46" s="717">
        <f t="shared" si="5"/>
        <v>0</v>
      </c>
      <c r="J46" s="717">
        <f t="shared" si="5"/>
        <v>0</v>
      </c>
      <c r="K46" s="717">
        <f t="shared" si="5"/>
        <v>62.370790148807394</v>
      </c>
      <c r="L46" s="717">
        <f t="shared" si="5"/>
        <v>0</v>
      </c>
      <c r="M46" s="717">
        <f t="shared" ca="1" si="5"/>
        <v>0</v>
      </c>
      <c r="N46" s="717">
        <f t="shared" si="5"/>
        <v>0</v>
      </c>
      <c r="O46" s="717">
        <f t="shared" ca="1" si="5"/>
        <v>0</v>
      </c>
      <c r="P46" s="717">
        <f t="shared" si="5"/>
        <v>0</v>
      </c>
      <c r="Q46" s="717">
        <f t="shared" si="5"/>
        <v>0</v>
      </c>
      <c r="R46" s="717">
        <f ca="1">SUM(R39:R45)</f>
        <v>28282.304325275614</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7.5972340928959747</v>
      </c>
      <c r="D49" s="681">
        <f ca="1">transport!C58</f>
        <v>0</v>
      </c>
      <c r="E49" s="681">
        <f>transport!D58</f>
        <v>0</v>
      </c>
      <c r="F49" s="681">
        <f>transport!E58</f>
        <v>0</v>
      </c>
      <c r="G49" s="681">
        <f>transport!F58</f>
        <v>0</v>
      </c>
      <c r="H49" s="681">
        <f>transport!G58</f>
        <v>660.17426318659761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667.77149727949359</v>
      </c>
    </row>
    <row r="50" spans="1:18">
      <c r="A50" s="818" t="s">
        <v>296</v>
      </c>
      <c r="B50" s="828"/>
      <c r="C50" s="687">
        <f ca="1">transport!B18</f>
        <v>32.567079736899778</v>
      </c>
      <c r="D50" s="687">
        <f>transport!C18</f>
        <v>0</v>
      </c>
      <c r="E50" s="687">
        <f>transport!D18</f>
        <v>64.422106667581673</v>
      </c>
      <c r="F50" s="687">
        <f>transport!E18</f>
        <v>28.171545257278705</v>
      </c>
      <c r="G50" s="687">
        <f>transport!F18</f>
        <v>0</v>
      </c>
      <c r="H50" s="687">
        <f>transport!G18</f>
        <v>14581.733617752898</v>
      </c>
      <c r="I50" s="687">
        <f>transport!H18</f>
        <v>3878.7077197431418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18585.602069157801</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40.164313829795752</v>
      </c>
      <c r="D52" s="717">
        <f t="shared" ref="D52:Q52" ca="1" si="6">SUM(D48:D51)</f>
        <v>0</v>
      </c>
      <c r="E52" s="717">
        <f t="shared" si="6"/>
        <v>64.422106667581673</v>
      </c>
      <c r="F52" s="717">
        <f t="shared" si="6"/>
        <v>28.171545257278705</v>
      </c>
      <c r="G52" s="717">
        <f t="shared" si="6"/>
        <v>0</v>
      </c>
      <c r="H52" s="717">
        <f t="shared" si="6"/>
        <v>15241.907880939496</v>
      </c>
      <c r="I52" s="717">
        <f t="shared" si="6"/>
        <v>3878.7077197431418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19253.373566437294</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309.33049547398497</v>
      </c>
      <c r="D54" s="687">
        <f ca="1">+landbouw!C12</f>
        <v>0</v>
      </c>
      <c r="E54" s="687">
        <f>+landbouw!D12</f>
        <v>67.406754297708005</v>
      </c>
      <c r="F54" s="687">
        <f>+landbouw!E12</f>
        <v>10.45547534627331</v>
      </c>
      <c r="G54" s="687">
        <f>+landbouw!F12</f>
        <v>1359.1599132145691</v>
      </c>
      <c r="H54" s="687">
        <f>+landbouw!G12</f>
        <v>0</v>
      </c>
      <c r="I54" s="687">
        <f>+landbouw!H12</f>
        <v>0</v>
      </c>
      <c r="J54" s="687">
        <f>+landbouw!I12</f>
        <v>0</v>
      </c>
      <c r="K54" s="687">
        <f>+landbouw!J12</f>
        <v>144.74888930633276</v>
      </c>
      <c r="L54" s="687">
        <f>+landbouw!K12</f>
        <v>0</v>
      </c>
      <c r="M54" s="687">
        <f>+landbouw!L12</f>
        <v>0</v>
      </c>
      <c r="N54" s="687">
        <f>+landbouw!M12</f>
        <v>0</v>
      </c>
      <c r="O54" s="687">
        <f>+landbouw!N12</f>
        <v>0</v>
      </c>
      <c r="P54" s="687">
        <f>+landbouw!O12</f>
        <v>0</v>
      </c>
      <c r="Q54" s="688">
        <f>+landbouw!P12</f>
        <v>0</v>
      </c>
      <c r="R54" s="716">
        <f ca="1">SUM(C54:Q54)</f>
        <v>1891.1015276388682</v>
      </c>
    </row>
    <row r="55" spans="1:18" ht="15" thickBot="1">
      <c r="A55" s="818" t="s">
        <v>690</v>
      </c>
      <c r="B55" s="828"/>
      <c r="C55" s="687">
        <f ca="1">C25*'EF ele_warmte'!B12</f>
        <v>176.48078350414465</v>
      </c>
      <c r="D55" s="687"/>
      <c r="E55" s="687">
        <f>E25*EF_CO2_aardgas</f>
        <v>196.563684696</v>
      </c>
      <c r="F55" s="687"/>
      <c r="G55" s="687"/>
      <c r="H55" s="687"/>
      <c r="I55" s="687"/>
      <c r="J55" s="687"/>
      <c r="K55" s="687"/>
      <c r="L55" s="687"/>
      <c r="M55" s="687"/>
      <c r="N55" s="687"/>
      <c r="O55" s="687"/>
      <c r="P55" s="687"/>
      <c r="Q55" s="688"/>
      <c r="R55" s="716">
        <f ca="1">SUM(C55:Q55)</f>
        <v>373.04446820014465</v>
      </c>
    </row>
    <row r="56" spans="1:18" ht="15.75" thickBot="1">
      <c r="A56" s="816" t="s">
        <v>691</v>
      </c>
      <c r="B56" s="829"/>
      <c r="C56" s="717">
        <f ca="1">SUM(C54:C55)</f>
        <v>485.81127897812962</v>
      </c>
      <c r="D56" s="717">
        <f t="shared" ref="D56:Q56" ca="1" si="7">SUM(D54:D55)</f>
        <v>0</v>
      </c>
      <c r="E56" s="717">
        <f t="shared" si="7"/>
        <v>263.970438993708</v>
      </c>
      <c r="F56" s="717">
        <f t="shared" si="7"/>
        <v>10.45547534627331</v>
      </c>
      <c r="G56" s="717">
        <f t="shared" si="7"/>
        <v>1359.1599132145691</v>
      </c>
      <c r="H56" s="717">
        <f t="shared" si="7"/>
        <v>0</v>
      </c>
      <c r="I56" s="717">
        <f t="shared" si="7"/>
        <v>0</v>
      </c>
      <c r="J56" s="717">
        <f t="shared" si="7"/>
        <v>0</v>
      </c>
      <c r="K56" s="717">
        <f t="shared" si="7"/>
        <v>144.74888930633276</v>
      </c>
      <c r="L56" s="717">
        <f t="shared" si="7"/>
        <v>0</v>
      </c>
      <c r="M56" s="717">
        <f t="shared" si="7"/>
        <v>0</v>
      </c>
      <c r="N56" s="717">
        <f t="shared" si="7"/>
        <v>0</v>
      </c>
      <c r="O56" s="717">
        <f t="shared" si="7"/>
        <v>0</v>
      </c>
      <c r="P56" s="717">
        <f t="shared" si="7"/>
        <v>0</v>
      </c>
      <c r="Q56" s="718">
        <f t="shared" si="7"/>
        <v>0</v>
      </c>
      <c r="R56" s="719">
        <f ca="1">SUM(R54:R55)</f>
        <v>2264.1459958390128</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8657.8769024526937</v>
      </c>
      <c r="D61" s="725">
        <f t="shared" ref="D61:Q61" ca="1" si="8">D46+D52+D56</f>
        <v>0</v>
      </c>
      <c r="E61" s="725">
        <f t="shared" ca="1" si="8"/>
        <v>11061.027217923045</v>
      </c>
      <c r="F61" s="725">
        <f t="shared" si="8"/>
        <v>379.46432872819537</v>
      </c>
      <c r="G61" s="725">
        <f t="shared" ca="1" si="8"/>
        <v>10373.720158310209</v>
      </c>
      <c r="H61" s="725">
        <f t="shared" si="8"/>
        <v>15241.907880939496</v>
      </c>
      <c r="I61" s="725">
        <f t="shared" si="8"/>
        <v>3878.7077197431418</v>
      </c>
      <c r="J61" s="725">
        <f t="shared" si="8"/>
        <v>0</v>
      </c>
      <c r="K61" s="725">
        <f t="shared" si="8"/>
        <v>207.11967945514016</v>
      </c>
      <c r="L61" s="725">
        <f t="shared" si="8"/>
        <v>0</v>
      </c>
      <c r="M61" s="725">
        <f t="shared" ca="1" si="8"/>
        <v>0</v>
      </c>
      <c r="N61" s="725">
        <f t="shared" si="8"/>
        <v>0</v>
      </c>
      <c r="O61" s="725">
        <f t="shared" ca="1" si="8"/>
        <v>0</v>
      </c>
      <c r="P61" s="725">
        <f t="shared" si="8"/>
        <v>0</v>
      </c>
      <c r="Q61" s="725">
        <f t="shared" si="8"/>
        <v>0</v>
      </c>
      <c r="R61" s="725">
        <f ca="1">R46+R52+R56</f>
        <v>49799.823887551924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0.19235500325496258</v>
      </c>
      <c r="D63" s="771">
        <f t="shared" ca="1" si="9"/>
        <v>0</v>
      </c>
      <c r="E63" s="963">
        <f t="shared" ca="1" si="9"/>
        <v>0.20200000000000001</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5833.9731130387272</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5833.9731130387272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21591.537718851556</v>
      </c>
      <c r="C4" s="447">
        <f>huishoudens!C8</f>
        <v>0</v>
      </c>
      <c r="D4" s="447">
        <f>huishoudens!D8</f>
        <v>39222.145039098003</v>
      </c>
      <c r="E4" s="447">
        <f>huishoudens!E8</f>
        <v>1392.5589995711093</v>
      </c>
      <c r="F4" s="447">
        <f>huishoudens!F8</f>
        <v>30506.240326460524</v>
      </c>
      <c r="G4" s="447">
        <f>huishoudens!G8</f>
        <v>0</v>
      </c>
      <c r="H4" s="447">
        <f>huishoudens!H8</f>
        <v>0</v>
      </c>
      <c r="I4" s="447">
        <f>huishoudens!I8</f>
        <v>0</v>
      </c>
      <c r="J4" s="447">
        <f>huishoudens!J8</f>
        <v>173.858400202653</v>
      </c>
      <c r="K4" s="447">
        <f>huishoudens!K8</f>
        <v>0</v>
      </c>
      <c r="L4" s="447">
        <f>huishoudens!L8</f>
        <v>0</v>
      </c>
      <c r="M4" s="447">
        <f>huishoudens!M8</f>
        <v>0</v>
      </c>
      <c r="N4" s="447">
        <f>huishoudens!N8</f>
        <v>6553.1349183104148</v>
      </c>
      <c r="O4" s="447">
        <f>huishoudens!O8</f>
        <v>283.70602537234555</v>
      </c>
      <c r="P4" s="448">
        <f>huishoudens!P8</f>
        <v>1074.4638493838725</v>
      </c>
      <c r="Q4" s="449">
        <f>SUM(B4:P4)</f>
        <v>100797.64527725047</v>
      </c>
    </row>
    <row r="5" spans="1:17">
      <c r="A5" s="446" t="s">
        <v>149</v>
      </c>
      <c r="B5" s="447">
        <f ca="1">tertiair!B16</f>
        <v>15011.47697311865</v>
      </c>
      <c r="C5" s="447">
        <f ca="1">tertiair!C16</f>
        <v>0</v>
      </c>
      <c r="D5" s="447">
        <f ca="1">tertiair!D16</f>
        <v>12281.249897174999</v>
      </c>
      <c r="E5" s="447">
        <f>tertiair!E16</f>
        <v>87.079043053399602</v>
      </c>
      <c r="F5" s="447">
        <f ca="1">tertiair!F16</f>
        <v>2805.6675031507425</v>
      </c>
      <c r="G5" s="447">
        <f>tertiair!G16</f>
        <v>0</v>
      </c>
      <c r="H5" s="447">
        <f>tertiair!H16</f>
        <v>0</v>
      </c>
      <c r="I5" s="447">
        <f>tertiair!I16</f>
        <v>0</v>
      </c>
      <c r="J5" s="447">
        <f>tertiair!J16</f>
        <v>1.7368024642361885E-2</v>
      </c>
      <c r="K5" s="447">
        <f>tertiair!K16</f>
        <v>0</v>
      </c>
      <c r="L5" s="447">
        <f ca="1">tertiair!L16</f>
        <v>0</v>
      </c>
      <c r="M5" s="447">
        <f>tertiair!M16</f>
        <v>0</v>
      </c>
      <c r="N5" s="447">
        <f ca="1">tertiair!N16</f>
        <v>669.69270234159774</v>
      </c>
      <c r="O5" s="447">
        <f>tertiair!O16</f>
        <v>4.8972607658411542</v>
      </c>
      <c r="P5" s="448">
        <f>tertiair!P16</f>
        <v>262.69569153247511</v>
      </c>
      <c r="Q5" s="446">
        <f t="shared" ref="Q5:Q14" ca="1" si="0">SUM(B5:P5)</f>
        <v>31122.776439162346</v>
      </c>
    </row>
    <row r="6" spans="1:17">
      <c r="A6" s="446" t="s">
        <v>187</v>
      </c>
      <c r="B6" s="447">
        <f>'openbare verlichting'!B8</f>
        <v>1133.9680000000001</v>
      </c>
      <c r="C6" s="447"/>
      <c r="D6" s="447"/>
      <c r="E6" s="447"/>
      <c r="F6" s="447"/>
      <c r="G6" s="447"/>
      <c r="H6" s="447"/>
      <c r="I6" s="447"/>
      <c r="J6" s="447"/>
      <c r="K6" s="447"/>
      <c r="L6" s="447"/>
      <c r="M6" s="447"/>
      <c r="N6" s="447"/>
      <c r="O6" s="447"/>
      <c r="P6" s="448"/>
      <c r="Q6" s="446">
        <f t="shared" si="0"/>
        <v>1133.9680000000001</v>
      </c>
    </row>
    <row r="7" spans="1:17">
      <c r="A7" s="446" t="s">
        <v>105</v>
      </c>
      <c r="B7" s="447">
        <f>landbouw!B8</f>
        <v>1608.1229509999998</v>
      </c>
      <c r="C7" s="447">
        <f>landbouw!C8</f>
        <v>0</v>
      </c>
      <c r="D7" s="447">
        <f>landbouw!D8</f>
        <v>333.69680345400002</v>
      </c>
      <c r="E7" s="447">
        <f>landbouw!E8</f>
        <v>46.059362758913259</v>
      </c>
      <c r="F7" s="447">
        <f>landbouw!F8</f>
        <v>5090.4865663467008</v>
      </c>
      <c r="G7" s="447">
        <f>landbouw!G8</f>
        <v>0</v>
      </c>
      <c r="H7" s="447">
        <f>landbouw!H8</f>
        <v>0</v>
      </c>
      <c r="I7" s="447">
        <f>landbouw!I8</f>
        <v>0</v>
      </c>
      <c r="J7" s="447">
        <f>landbouw!J8</f>
        <v>408.89516753201343</v>
      </c>
      <c r="K7" s="447">
        <f>landbouw!K8</f>
        <v>0</v>
      </c>
      <c r="L7" s="447">
        <f>landbouw!L8</f>
        <v>0</v>
      </c>
      <c r="M7" s="447">
        <f>landbouw!M8</f>
        <v>0</v>
      </c>
      <c r="N7" s="447">
        <f>landbouw!N8</f>
        <v>0</v>
      </c>
      <c r="O7" s="447">
        <f>landbouw!O8</f>
        <v>0</v>
      </c>
      <c r="P7" s="448">
        <f>landbouw!P8</f>
        <v>0</v>
      </c>
      <c r="Q7" s="446">
        <f t="shared" si="0"/>
        <v>7487.260851091627</v>
      </c>
    </row>
    <row r="8" spans="1:17">
      <c r="A8" s="446" t="s">
        <v>611</v>
      </c>
      <c r="B8" s="447">
        <f>industrie!B18</f>
        <v>4538.5036329999994</v>
      </c>
      <c r="C8" s="447">
        <f>industrie!C18</f>
        <v>0</v>
      </c>
      <c r="D8" s="447">
        <f>industrie!D18</f>
        <v>1628.4598769039999</v>
      </c>
      <c r="E8" s="447">
        <f>industrie!E18</f>
        <v>21.847896250572042</v>
      </c>
      <c r="F8" s="447">
        <f>industrie!F18</f>
        <v>450.49009209525178</v>
      </c>
      <c r="G8" s="447">
        <f>industrie!G18</f>
        <v>0</v>
      </c>
      <c r="H8" s="447">
        <f>industrie!H18</f>
        <v>0</v>
      </c>
      <c r="I8" s="447">
        <f>industrie!I18</f>
        <v>0</v>
      </c>
      <c r="J8" s="447">
        <f>industrie!J18</f>
        <v>2.312904509448714</v>
      </c>
      <c r="K8" s="447">
        <f>industrie!K18</f>
        <v>0</v>
      </c>
      <c r="L8" s="447">
        <f>industrie!L18</f>
        <v>0</v>
      </c>
      <c r="M8" s="447">
        <f>industrie!M18</f>
        <v>0</v>
      </c>
      <c r="N8" s="447">
        <f>industrie!N18</f>
        <v>71.662133943916785</v>
      </c>
      <c r="O8" s="447">
        <f>industrie!O18</f>
        <v>0</v>
      </c>
      <c r="P8" s="448">
        <f>industrie!P18</f>
        <v>0</v>
      </c>
      <c r="Q8" s="446">
        <f t="shared" si="0"/>
        <v>6713.276536703188</v>
      </c>
    </row>
    <row r="9" spans="1:17" s="452" customFormat="1">
      <c r="A9" s="450" t="s">
        <v>537</v>
      </c>
      <c r="B9" s="451">
        <f>transport!B14</f>
        <v>169.30716220431651</v>
      </c>
      <c r="C9" s="451">
        <f>transport!C14</f>
        <v>0</v>
      </c>
      <c r="D9" s="451">
        <f>transport!D14</f>
        <v>318.92132013654293</v>
      </c>
      <c r="E9" s="451">
        <f>transport!E14</f>
        <v>124.10372360034671</v>
      </c>
      <c r="F9" s="451">
        <f>transport!F14</f>
        <v>0</v>
      </c>
      <c r="G9" s="451">
        <f>transport!G14</f>
        <v>54613.234523419087</v>
      </c>
      <c r="H9" s="451">
        <f>transport!H14</f>
        <v>15577.139436719444</v>
      </c>
      <c r="I9" s="451">
        <f>transport!I14</f>
        <v>0</v>
      </c>
      <c r="J9" s="451">
        <f>transport!J14</f>
        <v>0</v>
      </c>
      <c r="K9" s="451">
        <f>transport!K14</f>
        <v>0</v>
      </c>
      <c r="L9" s="451">
        <f>transport!L14</f>
        <v>0</v>
      </c>
      <c r="M9" s="451">
        <f>transport!M14</f>
        <v>4240.0830910617588</v>
      </c>
      <c r="N9" s="451">
        <f>transport!N14</f>
        <v>0</v>
      </c>
      <c r="O9" s="451">
        <f>transport!O14</f>
        <v>0</v>
      </c>
      <c r="P9" s="451">
        <f>transport!P14</f>
        <v>0</v>
      </c>
      <c r="Q9" s="450">
        <f>SUM(B9:P9)</f>
        <v>75042.7892571415</v>
      </c>
    </row>
    <row r="10" spans="1:17">
      <c r="A10" s="446" t="s">
        <v>527</v>
      </c>
      <c r="B10" s="447">
        <f>transport!B54</f>
        <v>39.495900623005888</v>
      </c>
      <c r="C10" s="447">
        <f>transport!C54</f>
        <v>0</v>
      </c>
      <c r="D10" s="447">
        <f>transport!D54</f>
        <v>0</v>
      </c>
      <c r="E10" s="447">
        <f>transport!E54</f>
        <v>0</v>
      </c>
      <c r="F10" s="447">
        <f>transport!F54</f>
        <v>0</v>
      </c>
      <c r="G10" s="447">
        <f>transport!G54</f>
        <v>2472.5627834704028</v>
      </c>
      <c r="H10" s="447">
        <f>transport!H54</f>
        <v>0</v>
      </c>
      <c r="I10" s="447">
        <f>transport!I54</f>
        <v>0</v>
      </c>
      <c r="J10" s="447">
        <f>transport!J54</f>
        <v>0</v>
      </c>
      <c r="K10" s="447">
        <f>transport!K54</f>
        <v>0</v>
      </c>
      <c r="L10" s="447">
        <f>transport!L54</f>
        <v>0</v>
      </c>
      <c r="M10" s="447">
        <f>transport!M54</f>
        <v>141.969080197148</v>
      </c>
      <c r="N10" s="447">
        <f>transport!N54</f>
        <v>0</v>
      </c>
      <c r="O10" s="447">
        <f>transport!O54</f>
        <v>0</v>
      </c>
      <c r="P10" s="448">
        <f>transport!P54</f>
        <v>0</v>
      </c>
      <c r="Q10" s="446">
        <f t="shared" si="0"/>
        <v>2654.0277642905567</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917.47435999999993</v>
      </c>
      <c r="C14" s="454"/>
      <c r="D14" s="454">
        <f>'SEAP template'!E25</f>
        <v>973.08754799999997</v>
      </c>
      <c r="E14" s="454"/>
      <c r="F14" s="454"/>
      <c r="G14" s="454"/>
      <c r="H14" s="454"/>
      <c r="I14" s="454"/>
      <c r="J14" s="454"/>
      <c r="K14" s="454"/>
      <c r="L14" s="454"/>
      <c r="M14" s="454"/>
      <c r="N14" s="454"/>
      <c r="O14" s="454"/>
      <c r="P14" s="455"/>
      <c r="Q14" s="446">
        <f t="shared" si="0"/>
        <v>1890.5619079999999</v>
      </c>
    </row>
    <row r="15" spans="1:17" s="458" customFormat="1">
      <c r="A15" s="456" t="s">
        <v>531</v>
      </c>
      <c r="B15" s="457">
        <f ca="1">SUM(B4:B14)</f>
        <v>45009.886698797527</v>
      </c>
      <c r="C15" s="457">
        <f t="shared" ref="C15:Q15" ca="1" si="1">SUM(C4:C14)</f>
        <v>0</v>
      </c>
      <c r="D15" s="457">
        <f t="shared" ca="1" si="1"/>
        <v>54757.560484767549</v>
      </c>
      <c r="E15" s="457">
        <f t="shared" si="1"/>
        <v>1671.649025234341</v>
      </c>
      <c r="F15" s="457">
        <f t="shared" ca="1" si="1"/>
        <v>38852.884488053212</v>
      </c>
      <c r="G15" s="457">
        <f t="shared" si="1"/>
        <v>57085.797306889493</v>
      </c>
      <c r="H15" s="457">
        <f t="shared" si="1"/>
        <v>15577.139436719444</v>
      </c>
      <c r="I15" s="457">
        <f t="shared" si="1"/>
        <v>0</v>
      </c>
      <c r="J15" s="457">
        <f t="shared" si="1"/>
        <v>585.08384026875751</v>
      </c>
      <c r="K15" s="457">
        <f t="shared" si="1"/>
        <v>0</v>
      </c>
      <c r="L15" s="457">
        <f t="shared" ca="1" si="1"/>
        <v>0</v>
      </c>
      <c r="M15" s="457">
        <f t="shared" si="1"/>
        <v>4382.052171258907</v>
      </c>
      <c r="N15" s="457">
        <f t="shared" ca="1" si="1"/>
        <v>7294.4897545959293</v>
      </c>
      <c r="O15" s="457">
        <f t="shared" si="1"/>
        <v>288.60328613818672</v>
      </c>
      <c r="P15" s="457">
        <f t="shared" si="1"/>
        <v>1337.1595409163476</v>
      </c>
      <c r="Q15" s="457">
        <f t="shared" ca="1" si="1"/>
        <v>226842.30603363967</v>
      </c>
    </row>
    <row r="17" spans="1:17">
      <c r="A17" s="459" t="s">
        <v>532</v>
      </c>
      <c r="B17" s="776">
        <f ca="1">huishoudens!B10</f>
        <v>0.19235500325496255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4153.2403081893381</v>
      </c>
      <c r="C22" s="447">
        <f t="shared" ref="C22:C32" ca="1" si="3">C4*$C$17</f>
        <v>0</v>
      </c>
      <c r="D22" s="447">
        <f t="shared" ref="D22:D32" si="4">D4*$D$17</f>
        <v>7922.8732978977969</v>
      </c>
      <c r="E22" s="447">
        <f t="shared" ref="E22:E32" si="5">E4*$E$17</f>
        <v>316.11089290264181</v>
      </c>
      <c r="F22" s="447">
        <f t="shared" ref="F22:F32" si="6">F4*$F$17</f>
        <v>8145.1661671649599</v>
      </c>
      <c r="G22" s="447">
        <f t="shared" ref="G22:G32" si="7">G4*$G$17</f>
        <v>0</v>
      </c>
      <c r="H22" s="447">
        <f t="shared" ref="H22:H32" si="8">H4*$H$17</f>
        <v>0</v>
      </c>
      <c r="I22" s="447">
        <f t="shared" ref="I22:I32" si="9">I4*$I$17</f>
        <v>0</v>
      </c>
      <c r="J22" s="447">
        <f t="shared" ref="J22:J32" si="10">J4*$J$17</f>
        <v>61.545873671739159</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20598.936539826474</v>
      </c>
    </row>
    <row r="23" spans="1:17">
      <c r="A23" s="446" t="s">
        <v>149</v>
      </c>
      <c r="B23" s="447">
        <f t="shared" ca="1" si="2"/>
        <v>2887.5327020260333</v>
      </c>
      <c r="C23" s="447">
        <f t="shared" ca="1" si="3"/>
        <v>0</v>
      </c>
      <c r="D23" s="447">
        <f t="shared" ca="1" si="4"/>
        <v>2480.8124792293502</v>
      </c>
      <c r="E23" s="447">
        <f t="shared" si="5"/>
        <v>19.766942773121709</v>
      </c>
      <c r="F23" s="447">
        <f t="shared" ca="1" si="6"/>
        <v>749.11322334124827</v>
      </c>
      <c r="G23" s="447">
        <f t="shared" si="7"/>
        <v>0</v>
      </c>
      <c r="H23" s="447">
        <f t="shared" si="8"/>
        <v>0</v>
      </c>
      <c r="I23" s="447">
        <f t="shared" si="9"/>
        <v>0</v>
      </c>
      <c r="J23" s="447">
        <f t="shared" si="10"/>
        <v>6.1482807233961068E-3</v>
      </c>
      <c r="K23" s="447">
        <f t="shared" si="11"/>
        <v>0</v>
      </c>
      <c r="L23" s="447">
        <f t="shared" ca="1" si="12"/>
        <v>0</v>
      </c>
      <c r="M23" s="447">
        <f t="shared" si="13"/>
        <v>0</v>
      </c>
      <c r="N23" s="447">
        <f t="shared" ca="1" si="14"/>
        <v>0</v>
      </c>
      <c r="O23" s="447">
        <f t="shared" si="15"/>
        <v>0</v>
      </c>
      <c r="P23" s="448">
        <f t="shared" si="16"/>
        <v>0</v>
      </c>
      <c r="Q23" s="446">
        <f t="shared" ref="Q23:Q31" ca="1" si="17">SUM(B23:P23)</f>
        <v>6137.2314956504761</v>
      </c>
    </row>
    <row r="24" spans="1:17">
      <c r="A24" s="446" t="s">
        <v>187</v>
      </c>
      <c r="B24" s="447">
        <f t="shared" ca="1" si="2"/>
        <v>218.12441833102338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218.12441833102338</v>
      </c>
    </row>
    <row r="25" spans="1:17">
      <c r="A25" s="446" t="s">
        <v>105</v>
      </c>
      <c r="B25" s="447">
        <f t="shared" ca="1" si="2"/>
        <v>309.33049547398497</v>
      </c>
      <c r="C25" s="447">
        <f t="shared" ca="1" si="3"/>
        <v>0</v>
      </c>
      <c r="D25" s="447">
        <f t="shared" si="4"/>
        <v>67.406754297708005</v>
      </c>
      <c r="E25" s="447">
        <f t="shared" si="5"/>
        <v>10.45547534627331</v>
      </c>
      <c r="F25" s="447">
        <f t="shared" si="6"/>
        <v>1359.1599132145691</v>
      </c>
      <c r="G25" s="447">
        <f t="shared" si="7"/>
        <v>0</v>
      </c>
      <c r="H25" s="447">
        <f t="shared" si="8"/>
        <v>0</v>
      </c>
      <c r="I25" s="447">
        <f t="shared" si="9"/>
        <v>0</v>
      </c>
      <c r="J25" s="447">
        <f t="shared" si="10"/>
        <v>144.74888930633276</v>
      </c>
      <c r="K25" s="447">
        <f t="shared" si="11"/>
        <v>0</v>
      </c>
      <c r="L25" s="447">
        <f t="shared" si="12"/>
        <v>0</v>
      </c>
      <c r="M25" s="447">
        <f t="shared" si="13"/>
        <v>0</v>
      </c>
      <c r="N25" s="447">
        <f t="shared" si="14"/>
        <v>0</v>
      </c>
      <c r="O25" s="447">
        <f t="shared" si="15"/>
        <v>0</v>
      </c>
      <c r="P25" s="448">
        <f t="shared" si="16"/>
        <v>0</v>
      </c>
      <c r="Q25" s="446">
        <f t="shared" ca="1" si="17"/>
        <v>1891.1015276388682</v>
      </c>
    </row>
    <row r="26" spans="1:17">
      <c r="A26" s="446" t="s">
        <v>611</v>
      </c>
      <c r="B26" s="447">
        <f t="shared" ca="1" si="2"/>
        <v>873.00388109837422</v>
      </c>
      <c r="C26" s="447">
        <f t="shared" ca="1" si="3"/>
        <v>0</v>
      </c>
      <c r="D26" s="447">
        <f t="shared" si="4"/>
        <v>328.94889513460799</v>
      </c>
      <c r="E26" s="447">
        <f t="shared" si="5"/>
        <v>4.9594724488798541</v>
      </c>
      <c r="F26" s="447">
        <f t="shared" si="6"/>
        <v>120.28085458943224</v>
      </c>
      <c r="G26" s="447">
        <f t="shared" si="7"/>
        <v>0</v>
      </c>
      <c r="H26" s="447">
        <f t="shared" si="8"/>
        <v>0</v>
      </c>
      <c r="I26" s="447">
        <f t="shared" si="9"/>
        <v>0</v>
      </c>
      <c r="J26" s="447">
        <f t="shared" si="10"/>
        <v>0.81876819634484466</v>
      </c>
      <c r="K26" s="447">
        <f t="shared" si="11"/>
        <v>0</v>
      </c>
      <c r="L26" s="447">
        <f t="shared" si="12"/>
        <v>0</v>
      </c>
      <c r="M26" s="447">
        <f t="shared" si="13"/>
        <v>0</v>
      </c>
      <c r="N26" s="447">
        <f t="shared" si="14"/>
        <v>0</v>
      </c>
      <c r="O26" s="447">
        <f t="shared" si="15"/>
        <v>0</v>
      </c>
      <c r="P26" s="448">
        <f t="shared" si="16"/>
        <v>0</v>
      </c>
      <c r="Q26" s="446">
        <f t="shared" ca="1" si="17"/>
        <v>1328.0118714676389</v>
      </c>
    </row>
    <row r="27" spans="1:17" s="452" customFormat="1">
      <c r="A27" s="450" t="s">
        <v>537</v>
      </c>
      <c r="B27" s="770">
        <f t="shared" ca="1" si="2"/>
        <v>32.567079736899778</v>
      </c>
      <c r="C27" s="451">
        <f t="shared" ca="1" si="3"/>
        <v>0</v>
      </c>
      <c r="D27" s="451">
        <f t="shared" si="4"/>
        <v>64.422106667581673</v>
      </c>
      <c r="E27" s="451">
        <f t="shared" si="5"/>
        <v>28.171545257278705</v>
      </c>
      <c r="F27" s="451">
        <f t="shared" si="6"/>
        <v>0</v>
      </c>
      <c r="G27" s="451">
        <f t="shared" si="7"/>
        <v>14581.733617752898</v>
      </c>
      <c r="H27" s="451">
        <f t="shared" si="8"/>
        <v>3878.7077197431418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18585.602069157801</v>
      </c>
    </row>
    <row r="28" spans="1:17" ht="16.5" customHeight="1">
      <c r="A28" s="446" t="s">
        <v>527</v>
      </c>
      <c r="B28" s="447">
        <f t="shared" ca="1" si="2"/>
        <v>7.5972340928959747</v>
      </c>
      <c r="C28" s="447">
        <f t="shared" ca="1" si="3"/>
        <v>0</v>
      </c>
      <c r="D28" s="447">
        <f t="shared" si="4"/>
        <v>0</v>
      </c>
      <c r="E28" s="447">
        <f t="shared" si="5"/>
        <v>0</v>
      </c>
      <c r="F28" s="447">
        <f t="shared" si="6"/>
        <v>0</v>
      </c>
      <c r="G28" s="447">
        <f t="shared" si="7"/>
        <v>660.17426318659761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667.77149727949359</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176.48078350414465</v>
      </c>
      <c r="C32" s="447">
        <f t="shared" ca="1" si="3"/>
        <v>0</v>
      </c>
      <c r="D32" s="447">
        <f t="shared" si="4"/>
        <v>196.563684696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373.04446820014465</v>
      </c>
    </row>
    <row r="33" spans="1:17" s="458" customFormat="1">
      <c r="A33" s="456" t="s">
        <v>531</v>
      </c>
      <c r="B33" s="457">
        <f ca="1">SUM(B22:B32)</f>
        <v>8657.8769024526955</v>
      </c>
      <c r="C33" s="457">
        <f t="shared" ref="C33:Q33" ca="1" si="19">SUM(C22:C32)</f>
        <v>0</v>
      </c>
      <c r="D33" s="457">
        <f t="shared" ca="1" si="19"/>
        <v>11061.027217923045</v>
      </c>
      <c r="E33" s="457">
        <f t="shared" si="19"/>
        <v>379.46432872819537</v>
      </c>
      <c r="F33" s="457">
        <f t="shared" ca="1" si="19"/>
        <v>10373.720158310211</v>
      </c>
      <c r="G33" s="457">
        <f t="shared" si="19"/>
        <v>15241.907880939496</v>
      </c>
      <c r="H33" s="457">
        <f t="shared" si="19"/>
        <v>3878.7077197431418</v>
      </c>
      <c r="I33" s="457">
        <f t="shared" si="19"/>
        <v>0</v>
      </c>
      <c r="J33" s="457">
        <f t="shared" si="19"/>
        <v>207.11967945514016</v>
      </c>
      <c r="K33" s="457">
        <f t="shared" si="19"/>
        <v>0</v>
      </c>
      <c r="L33" s="457">
        <f t="shared" ca="1" si="19"/>
        <v>0</v>
      </c>
      <c r="M33" s="457">
        <f t="shared" si="19"/>
        <v>0</v>
      </c>
      <c r="N33" s="457">
        <f t="shared" ca="1" si="19"/>
        <v>0</v>
      </c>
      <c r="O33" s="457">
        <f t="shared" si="19"/>
        <v>0</v>
      </c>
      <c r="P33" s="457">
        <f t="shared" si="19"/>
        <v>0</v>
      </c>
      <c r="Q33" s="457">
        <f t="shared" ca="1" si="19"/>
        <v>49799.823887551924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5833.9731130387272</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5833.9731130387272</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0.19235500325496255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0.19235500325496255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0.19235500325496255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0.19235500325496255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4819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1441.18</v>
      </c>
      <c r="C14" s="326"/>
      <c r="D14" s="326"/>
      <c r="E14" s="326"/>
      <c r="F14" s="326"/>
    </row>
    <row r="15" spans="1:6">
      <c r="A15" s="1310" t="s">
        <v>177</v>
      </c>
      <c r="B15" s="1311">
        <v>0</v>
      </c>
      <c r="C15" s="326"/>
      <c r="D15" s="326"/>
      <c r="E15" s="326"/>
      <c r="F15" s="326"/>
    </row>
    <row r="16" spans="1:6">
      <c r="A16" s="1310" t="s">
        <v>6</v>
      </c>
      <c r="B16" s="1311">
        <v>0</v>
      </c>
      <c r="C16" s="326"/>
      <c r="D16" s="326"/>
      <c r="E16" s="326"/>
      <c r="F16" s="326"/>
    </row>
    <row r="17" spans="1:6">
      <c r="A17" s="1310" t="s">
        <v>7</v>
      </c>
      <c r="B17" s="1311">
        <v>46</v>
      </c>
      <c r="C17" s="326"/>
      <c r="D17" s="326"/>
      <c r="E17" s="326"/>
      <c r="F17" s="326"/>
    </row>
    <row r="18" spans="1:6">
      <c r="A18" s="1310" t="s">
        <v>8</v>
      </c>
      <c r="B18" s="1311">
        <v>46</v>
      </c>
      <c r="C18" s="326"/>
      <c r="D18" s="326"/>
      <c r="E18" s="326"/>
      <c r="F18" s="326"/>
    </row>
    <row r="19" spans="1:6">
      <c r="A19" s="1310" t="s">
        <v>9</v>
      </c>
      <c r="B19" s="1311">
        <v>45</v>
      </c>
      <c r="C19" s="326"/>
      <c r="D19" s="326"/>
      <c r="E19" s="326"/>
      <c r="F19" s="326"/>
    </row>
    <row r="20" spans="1:6">
      <c r="A20" s="1310" t="s">
        <v>10</v>
      </c>
      <c r="B20" s="1311">
        <v>22</v>
      </c>
      <c r="C20" s="326"/>
      <c r="D20" s="326"/>
      <c r="E20" s="326"/>
      <c r="F20" s="326"/>
    </row>
    <row r="21" spans="1:6">
      <c r="A21" s="1310" t="s">
        <v>11</v>
      </c>
      <c r="B21" s="1311">
        <v>13</v>
      </c>
      <c r="C21" s="326"/>
      <c r="D21" s="326"/>
      <c r="E21" s="326"/>
      <c r="F21" s="326"/>
    </row>
    <row r="22" spans="1:6">
      <c r="A22" s="1310" t="s">
        <v>12</v>
      </c>
      <c r="B22" s="1311">
        <v>38</v>
      </c>
      <c r="C22" s="326"/>
      <c r="D22" s="326"/>
      <c r="E22" s="326"/>
      <c r="F22" s="326"/>
    </row>
    <row r="23" spans="1:6">
      <c r="A23" s="1310" t="s">
        <v>13</v>
      </c>
      <c r="B23" s="1311">
        <v>0</v>
      </c>
      <c r="C23" s="326"/>
      <c r="D23" s="326"/>
      <c r="E23" s="326"/>
      <c r="F23" s="326"/>
    </row>
    <row r="24" spans="1:6">
      <c r="A24" s="1310" t="s">
        <v>14</v>
      </c>
      <c r="B24" s="1311">
        <v>1</v>
      </c>
      <c r="C24" s="326"/>
      <c r="D24" s="326"/>
      <c r="E24" s="326"/>
      <c r="F24" s="326"/>
    </row>
    <row r="25" spans="1:6">
      <c r="A25" s="1310" t="s">
        <v>15</v>
      </c>
      <c r="B25" s="1311">
        <v>8</v>
      </c>
      <c r="C25" s="326"/>
      <c r="D25" s="326"/>
      <c r="E25" s="326"/>
      <c r="F25" s="326"/>
    </row>
    <row r="26" spans="1:6">
      <c r="A26" s="1310" t="s">
        <v>16</v>
      </c>
      <c r="B26" s="1311">
        <v>0</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134</v>
      </c>
      <c r="C29" s="326"/>
      <c r="D29" s="326"/>
      <c r="E29" s="326"/>
      <c r="F29" s="326"/>
    </row>
    <row r="30" spans="1:6">
      <c r="A30" s="1305" t="s">
        <v>679</v>
      </c>
      <c r="B30" s="1313">
        <v>26</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3</v>
      </c>
      <c r="F38" s="1311">
        <v>26888.517000000003</v>
      </c>
    </row>
    <row r="39" spans="1:6">
      <c r="A39" s="1310" t="s">
        <v>29</v>
      </c>
      <c r="B39" s="1310" t="s">
        <v>30</v>
      </c>
      <c r="C39" s="1311">
        <v>2656</v>
      </c>
      <c r="D39" s="1311">
        <v>43435376.566</v>
      </c>
      <c r="E39" s="1311">
        <v>4826</v>
      </c>
      <c r="F39" s="1311">
        <v>17492564.074207</v>
      </c>
    </row>
    <row r="40" spans="1:6">
      <c r="A40" s="1310" t="s">
        <v>29</v>
      </c>
      <c r="B40" s="1310" t="s">
        <v>28</v>
      </c>
      <c r="C40" s="1311">
        <v>0</v>
      </c>
      <c r="D40" s="1311">
        <v>0</v>
      </c>
      <c r="E40" s="1311">
        <v>0</v>
      </c>
      <c r="F40" s="1311">
        <v>0</v>
      </c>
    </row>
    <row r="41" spans="1:6">
      <c r="A41" s="1310" t="s">
        <v>31</v>
      </c>
      <c r="B41" s="1310" t="s">
        <v>32</v>
      </c>
      <c r="C41" s="1311">
        <v>35</v>
      </c>
      <c r="D41" s="1311">
        <v>564918.23300000001</v>
      </c>
      <c r="E41" s="1311">
        <v>110</v>
      </c>
      <c r="F41" s="1311">
        <v>534967.82799999998</v>
      </c>
    </row>
    <row r="42" spans="1:6">
      <c r="A42" s="1310" t="s">
        <v>31</v>
      </c>
      <c r="B42" s="1310" t="s">
        <v>33</v>
      </c>
      <c r="C42" s="1311">
        <v>0</v>
      </c>
      <c r="D42" s="1311">
        <v>0</v>
      </c>
      <c r="E42" s="1311">
        <v>4</v>
      </c>
      <c r="F42" s="1311">
        <v>9747.268</v>
      </c>
    </row>
    <row r="43" spans="1:6">
      <c r="A43" s="1310" t="s">
        <v>31</v>
      </c>
      <c r="B43" s="1310" t="s">
        <v>34</v>
      </c>
      <c r="C43" s="1311">
        <v>0</v>
      </c>
      <c r="D43" s="1311">
        <v>0</v>
      </c>
      <c r="E43" s="1311">
        <v>0</v>
      </c>
      <c r="F43" s="1311">
        <v>0</v>
      </c>
    </row>
    <row r="44" spans="1:6">
      <c r="A44" s="1310" t="s">
        <v>31</v>
      </c>
      <c r="B44" s="1310" t="s">
        <v>35</v>
      </c>
      <c r="C44" s="1311">
        <v>6</v>
      </c>
      <c r="D44" s="1311">
        <v>418943.15</v>
      </c>
      <c r="E44" s="1311">
        <v>20</v>
      </c>
      <c r="F44" s="1311">
        <v>981563.196</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2246973.8369999998</v>
      </c>
    </row>
    <row r="48" spans="1:6">
      <c r="A48" s="1310" t="s">
        <v>31</v>
      </c>
      <c r="B48" s="1310" t="s">
        <v>28</v>
      </c>
      <c r="C48" s="1311">
        <v>5</v>
      </c>
      <c r="D48" s="1311">
        <v>819527.18499999994</v>
      </c>
      <c r="E48" s="1311">
        <v>1</v>
      </c>
      <c r="F48" s="1311">
        <v>196043</v>
      </c>
    </row>
    <row r="49" spans="1:6">
      <c r="A49" s="1310" t="s">
        <v>31</v>
      </c>
      <c r="B49" s="1310" t="s">
        <v>39</v>
      </c>
      <c r="C49" s="1311">
        <v>0</v>
      </c>
      <c r="D49" s="1311">
        <v>0</v>
      </c>
      <c r="E49" s="1311">
        <v>0</v>
      </c>
      <c r="F49" s="1311">
        <v>0</v>
      </c>
    </row>
    <row r="50" spans="1:6">
      <c r="A50" s="1310" t="s">
        <v>31</v>
      </c>
      <c r="B50" s="1310" t="s">
        <v>40</v>
      </c>
      <c r="C50" s="1311">
        <v>0</v>
      </c>
      <c r="D50" s="1311">
        <v>0</v>
      </c>
      <c r="E50" s="1311">
        <v>8</v>
      </c>
      <c r="F50" s="1311">
        <v>569208.50399999996</v>
      </c>
    </row>
    <row r="51" spans="1:6">
      <c r="A51" s="1310" t="s">
        <v>41</v>
      </c>
      <c r="B51" s="1310" t="s">
        <v>42</v>
      </c>
      <c r="C51" s="1311">
        <v>7</v>
      </c>
      <c r="D51" s="1311">
        <v>369542.41800000001</v>
      </c>
      <c r="E51" s="1311">
        <v>40</v>
      </c>
      <c r="F51" s="1311">
        <v>1608122.9509999999</v>
      </c>
    </row>
    <row r="52" spans="1:6">
      <c r="A52" s="1310" t="s">
        <v>41</v>
      </c>
      <c r="B52" s="1310" t="s">
        <v>28</v>
      </c>
      <c r="C52" s="1311">
        <v>0</v>
      </c>
      <c r="D52" s="1311">
        <v>0</v>
      </c>
      <c r="E52" s="1311">
        <v>0</v>
      </c>
      <c r="F52" s="1311">
        <v>0</v>
      </c>
    </row>
    <row r="53" spans="1:6">
      <c r="A53" s="1310" t="s">
        <v>43</v>
      </c>
      <c r="B53" s="1310" t="s">
        <v>44</v>
      </c>
      <c r="C53" s="1311">
        <v>31</v>
      </c>
      <c r="D53" s="1311">
        <v>973087.54799999995</v>
      </c>
      <c r="E53" s="1311">
        <v>90</v>
      </c>
      <c r="F53" s="1311">
        <v>917474.36</v>
      </c>
    </row>
    <row r="54" spans="1:6">
      <c r="A54" s="1310" t="s">
        <v>45</v>
      </c>
      <c r="B54" s="1310" t="s">
        <v>46</v>
      </c>
      <c r="C54" s="1311">
        <v>0</v>
      </c>
      <c r="D54" s="1311">
        <v>0</v>
      </c>
      <c r="E54" s="1311">
        <v>1</v>
      </c>
      <c r="F54" s="1311">
        <v>1133968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17</v>
      </c>
      <c r="D57" s="1311">
        <v>666151.16200000001</v>
      </c>
      <c r="E57" s="1311">
        <v>58</v>
      </c>
      <c r="F57" s="1311">
        <v>1717196.8640000001</v>
      </c>
    </row>
    <row r="58" spans="1:6">
      <c r="A58" s="1310" t="s">
        <v>48</v>
      </c>
      <c r="B58" s="1310" t="s">
        <v>50</v>
      </c>
      <c r="C58" s="1311">
        <v>21</v>
      </c>
      <c r="D58" s="1311">
        <v>1823338.429</v>
      </c>
      <c r="E58" s="1311">
        <v>32</v>
      </c>
      <c r="F58" s="1311">
        <v>577423.15099999995</v>
      </c>
    </row>
    <row r="59" spans="1:6">
      <c r="A59" s="1310" t="s">
        <v>48</v>
      </c>
      <c r="B59" s="1310" t="s">
        <v>51</v>
      </c>
      <c r="C59" s="1311">
        <v>54</v>
      </c>
      <c r="D59" s="1311">
        <v>4334759.9400000004</v>
      </c>
      <c r="E59" s="1311">
        <v>169</v>
      </c>
      <c r="F59" s="1311">
        <v>8017402.0120000001</v>
      </c>
    </row>
    <row r="60" spans="1:6">
      <c r="A60" s="1310" t="s">
        <v>48</v>
      </c>
      <c r="B60" s="1310" t="s">
        <v>52</v>
      </c>
      <c r="C60" s="1311">
        <v>20</v>
      </c>
      <c r="D60" s="1311">
        <v>1347662.9909999999</v>
      </c>
      <c r="E60" s="1311">
        <v>37</v>
      </c>
      <c r="F60" s="1311">
        <v>1223331.32552397</v>
      </c>
    </row>
    <row r="61" spans="1:6">
      <c r="A61" s="1310" t="s">
        <v>48</v>
      </c>
      <c r="B61" s="1310" t="s">
        <v>53</v>
      </c>
      <c r="C61" s="1311">
        <v>90</v>
      </c>
      <c r="D61" s="1311">
        <v>4860956.4460000005</v>
      </c>
      <c r="E61" s="1311">
        <v>217</v>
      </c>
      <c r="F61" s="1311">
        <v>3057087.1875946801</v>
      </c>
    </row>
    <row r="62" spans="1:6">
      <c r="A62" s="1310" t="s">
        <v>48</v>
      </c>
      <c r="B62" s="1310" t="s">
        <v>54</v>
      </c>
      <c r="C62" s="1311">
        <v>6</v>
      </c>
      <c r="D62" s="1311">
        <v>567629.25699999998</v>
      </c>
      <c r="E62" s="1311">
        <v>44</v>
      </c>
      <c r="F62" s="1311">
        <v>419036.43300000002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33012.650999999998</v>
      </c>
      <c r="E65" s="1311">
        <v>0</v>
      </c>
      <c r="F65" s="1311">
        <v>0</v>
      </c>
    </row>
    <row r="66" spans="1:6">
      <c r="A66" s="1310" t="s">
        <v>55</v>
      </c>
      <c r="B66" s="1310" t="s">
        <v>57</v>
      </c>
      <c r="C66" s="1311">
        <v>0</v>
      </c>
      <c r="D66" s="1311">
        <v>0</v>
      </c>
      <c r="E66" s="1311">
        <v>10</v>
      </c>
      <c r="F66" s="1311">
        <v>310762.89199999999</v>
      </c>
    </row>
    <row r="67" spans="1:6">
      <c r="A67" s="1310" t="s">
        <v>55</v>
      </c>
      <c r="B67" s="1310" t="s">
        <v>58</v>
      </c>
      <c r="C67" s="1311">
        <v>0</v>
      </c>
      <c r="D67" s="1311">
        <v>0</v>
      </c>
      <c r="E67" s="1311">
        <v>0</v>
      </c>
      <c r="F67" s="1311">
        <v>0</v>
      </c>
    </row>
    <row r="68" spans="1:6">
      <c r="A68" s="1305" t="s">
        <v>55</v>
      </c>
      <c r="B68" s="1305" t="s">
        <v>59</v>
      </c>
      <c r="C68" s="1313">
        <v>0</v>
      </c>
      <c r="D68" s="1313">
        <v>0</v>
      </c>
      <c r="E68" s="1313">
        <v>14</v>
      </c>
      <c r="F68" s="1313">
        <v>738346.85499999998</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55531470</v>
      </c>
      <c r="E73" s="445"/>
      <c r="F73" s="326"/>
    </row>
    <row r="74" spans="1:6">
      <c r="A74" s="1310" t="s">
        <v>63</v>
      </c>
      <c r="B74" s="1310" t="s">
        <v>632</v>
      </c>
      <c r="C74" s="1323" t="s">
        <v>634</v>
      </c>
      <c r="D74" s="1311">
        <v>5835848.7142478358</v>
      </c>
      <c r="E74" s="445"/>
      <c r="F74" s="326"/>
    </row>
    <row r="75" spans="1:6">
      <c r="A75" s="1310" t="s">
        <v>64</v>
      </c>
      <c r="B75" s="1310" t="s">
        <v>631</v>
      </c>
      <c r="C75" s="1323" t="s">
        <v>635</v>
      </c>
      <c r="D75" s="1311">
        <v>24968821</v>
      </c>
      <c r="E75" s="445"/>
      <c r="F75" s="326"/>
    </row>
    <row r="76" spans="1:6">
      <c r="A76" s="1310" t="s">
        <v>64</v>
      </c>
      <c r="B76" s="1310" t="s">
        <v>632</v>
      </c>
      <c r="C76" s="1323" t="s">
        <v>636</v>
      </c>
      <c r="D76" s="1311">
        <v>872636.71424783557</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736684.57150432898</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4098.9736446445559</v>
      </c>
      <c r="C91" s="326"/>
      <c r="D91" s="326"/>
      <c r="E91" s="326"/>
      <c r="F91" s="326"/>
    </row>
    <row r="92" spans="1:6">
      <c r="A92" s="1305" t="s">
        <v>68</v>
      </c>
      <c r="B92" s="1306">
        <v>1734.9994683941713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921</v>
      </c>
      <c r="C97" s="326"/>
      <c r="D97" s="326"/>
      <c r="E97" s="326"/>
      <c r="F97" s="326"/>
    </row>
    <row r="98" spans="1:6">
      <c r="A98" s="1310" t="s">
        <v>71</v>
      </c>
      <c r="B98" s="1311">
        <v>2</v>
      </c>
      <c r="C98" s="326"/>
      <c r="D98" s="326"/>
      <c r="E98" s="326"/>
      <c r="F98" s="326"/>
    </row>
    <row r="99" spans="1:6">
      <c r="A99" s="1310" t="s">
        <v>72</v>
      </c>
      <c r="B99" s="1311">
        <v>104</v>
      </c>
      <c r="C99" s="326"/>
      <c r="D99" s="326"/>
      <c r="E99" s="326"/>
      <c r="F99" s="326"/>
    </row>
    <row r="100" spans="1:6">
      <c r="A100" s="1310" t="s">
        <v>73</v>
      </c>
      <c r="B100" s="1311">
        <v>359</v>
      </c>
      <c r="C100" s="326"/>
      <c r="D100" s="326"/>
      <c r="E100" s="326"/>
      <c r="F100" s="326"/>
    </row>
    <row r="101" spans="1:6">
      <c r="A101" s="1310" t="s">
        <v>74</v>
      </c>
      <c r="B101" s="1311">
        <v>35</v>
      </c>
      <c r="C101" s="326"/>
      <c r="D101" s="326"/>
      <c r="E101" s="326"/>
      <c r="F101" s="326"/>
    </row>
    <row r="102" spans="1:6">
      <c r="A102" s="1310" t="s">
        <v>75</v>
      </c>
      <c r="B102" s="1311">
        <v>49</v>
      </c>
      <c r="C102" s="326"/>
      <c r="D102" s="326"/>
      <c r="E102" s="326"/>
      <c r="F102" s="326"/>
    </row>
    <row r="103" spans="1:6">
      <c r="A103" s="1310" t="s">
        <v>76</v>
      </c>
      <c r="B103" s="1311">
        <v>118</v>
      </c>
      <c r="C103" s="326"/>
      <c r="D103" s="326"/>
      <c r="E103" s="326"/>
      <c r="F103" s="326"/>
    </row>
    <row r="104" spans="1:6">
      <c r="A104" s="1310" t="s">
        <v>77</v>
      </c>
      <c r="B104" s="1311">
        <v>2384</v>
      </c>
      <c r="C104" s="326"/>
      <c r="D104" s="326"/>
      <c r="E104" s="326"/>
      <c r="F104" s="326"/>
    </row>
    <row r="105" spans="1:6">
      <c r="A105" s="1305" t="s">
        <v>78</v>
      </c>
      <c r="B105" s="131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2</v>
      </c>
      <c r="C121" s="1311">
        <v>0</v>
      </c>
      <c r="D121" s="326"/>
      <c r="E121" s="326"/>
      <c r="F121" s="326"/>
    </row>
    <row r="122" spans="1:6">
      <c r="A122" s="1310" t="s">
        <v>86</v>
      </c>
      <c r="B122" s="1311">
        <v>0</v>
      </c>
      <c r="C122" s="1311">
        <v>0</v>
      </c>
      <c r="D122" s="326"/>
      <c r="E122" s="326"/>
      <c r="F122" s="326"/>
    </row>
    <row r="123" spans="1:6">
      <c r="A123" s="1310" t="s">
        <v>87</v>
      </c>
      <c r="B123" s="1311">
        <v>49</v>
      </c>
      <c r="C123" s="1311">
        <v>31</v>
      </c>
      <c r="D123" s="326"/>
      <c r="E123" s="326"/>
      <c r="F123" s="326"/>
    </row>
    <row r="124" spans="1:6">
      <c r="A124" s="1310" t="s">
        <v>88</v>
      </c>
      <c r="B124" s="1311">
        <v>1</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112</v>
      </c>
      <c r="C129" s="326"/>
      <c r="D129" s="326"/>
      <c r="E129" s="326"/>
      <c r="F129" s="326"/>
    </row>
    <row r="130" spans="1:6">
      <c r="A130" s="1310" t="s">
        <v>284</v>
      </c>
      <c r="B130" s="1311">
        <v>1</v>
      </c>
      <c r="C130" s="326"/>
      <c r="D130" s="326"/>
      <c r="E130" s="326"/>
      <c r="F130" s="326"/>
    </row>
    <row r="131" spans="1:6">
      <c r="A131" s="1310" t="s">
        <v>285</v>
      </c>
      <c r="B131" s="1311">
        <v>3</v>
      </c>
      <c r="C131" s="326"/>
      <c r="D131" s="326"/>
      <c r="E131" s="326"/>
      <c r="F131" s="326"/>
    </row>
    <row r="132" spans="1:6">
      <c r="A132" s="1305" t="s">
        <v>286</v>
      </c>
      <c r="B132" s="1306">
        <v>52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45009.88669879752</v>
      </c>
      <c r="C3" s="43" t="s">
        <v>163</v>
      </c>
      <c r="D3" s="43"/>
      <c r="E3" s="154"/>
      <c r="F3" s="43"/>
      <c r="G3" s="43"/>
      <c r="H3" s="43"/>
      <c r="I3" s="43"/>
      <c r="J3" s="43"/>
      <c r="K3" s="96"/>
    </row>
    <row r="4" spans="1:11">
      <c r="A4" s="352" t="s">
        <v>164</v>
      </c>
      <c r="B4" s="49">
        <f>IF(ISERROR('SEAP template'!B78+'SEAP template'!C78),0,'SEAP template'!B78+'SEAP template'!C78)</f>
        <v>5833.9731130387272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0.19235500325496255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1133.9680000000001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1133.9680000000001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0.19235500325496255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218.12441833102338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17492.564074206999</v>
      </c>
      <c r="C5" s="17">
        <f>IF(ISERROR('Eigen informatie GS &amp; warmtenet'!B59),0,'Eigen informatie GS &amp; warmtenet'!B59)</f>
        <v>0</v>
      </c>
      <c r="D5" s="30">
        <f>(SUM(HH_hh_gas_kWh,HH_rest_gas_kWh)/1000)*0.903</f>
        <v>39222.145039098003</v>
      </c>
      <c r="E5" s="17">
        <f>B32*B41</f>
        <v>1392.5589995711093</v>
      </c>
      <c r="F5" s="17">
        <f>B36*B45</f>
        <v>30506.240326460524</v>
      </c>
      <c r="G5" s="18"/>
      <c r="H5" s="17"/>
      <c r="I5" s="17"/>
      <c r="J5" s="17">
        <f>B35*B44+C35*C44</f>
        <v>173.858400202653</v>
      </c>
      <c r="K5" s="17"/>
      <c r="L5" s="17"/>
      <c r="M5" s="17"/>
      <c r="N5" s="17">
        <f>B34*B43+C34*C43</f>
        <v>6553.1349183104148</v>
      </c>
      <c r="O5" s="17">
        <f>B52*B53*B54</f>
        <v>283.70602537234555</v>
      </c>
      <c r="P5" s="17">
        <f>B60*B61*B62/1000-B60*B61*B62/1000/B63</f>
        <v>1074.4638493838725</v>
      </c>
    </row>
    <row r="6" spans="1:16">
      <c r="A6" s="16" t="s">
        <v>597</v>
      </c>
      <c r="B6" s="778">
        <f>kWh_PV_kleiner_dan_10kW</f>
        <v>4098.9736446445559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21591.537718851556</v>
      </c>
      <c r="C8" s="21">
        <f>C5</f>
        <v>0</v>
      </c>
      <c r="D8" s="21">
        <f>D5</f>
        <v>39222.145039098003</v>
      </c>
      <c r="E8" s="21">
        <f>E5</f>
        <v>1392.5589995711093</v>
      </c>
      <c r="F8" s="21">
        <f>F5</f>
        <v>30506.240326460524</v>
      </c>
      <c r="G8" s="21"/>
      <c r="H8" s="21"/>
      <c r="I8" s="21"/>
      <c r="J8" s="21">
        <f>J5</f>
        <v>173.858400202653</v>
      </c>
      <c r="K8" s="21"/>
      <c r="L8" s="21">
        <f>L5</f>
        <v>0</v>
      </c>
      <c r="M8" s="21">
        <f>M5</f>
        <v>0</v>
      </c>
      <c r="N8" s="21">
        <f>N5</f>
        <v>6553.1349183104148</v>
      </c>
      <c r="O8" s="21">
        <f>O5</f>
        <v>283.70602537234555</v>
      </c>
      <c r="P8" s="21">
        <f>P5</f>
        <v>1074.4638493838725</v>
      </c>
    </row>
    <row r="9" spans="1:16">
      <c r="B9" s="19"/>
      <c r="C9" s="19"/>
      <c r="D9" s="254"/>
      <c r="E9" s="19"/>
      <c r="F9" s="19"/>
      <c r="G9" s="19"/>
      <c r="H9" s="19"/>
      <c r="I9" s="19"/>
      <c r="J9" s="19"/>
      <c r="K9" s="19"/>
      <c r="L9" s="19"/>
      <c r="M9" s="19"/>
      <c r="N9" s="19"/>
      <c r="O9" s="19"/>
      <c r="P9" s="19"/>
    </row>
    <row r="10" spans="1:16">
      <c r="A10" s="24" t="s">
        <v>207</v>
      </c>
      <c r="B10" s="25">
        <f ca="1">'EF ele_warmte'!B12</f>
        <v>0.19235500325496255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4153.2403081893381</v>
      </c>
      <c r="C12" s="23">
        <f ca="1">C10*C8</f>
        <v>0</v>
      </c>
      <c r="D12" s="23">
        <f>D8*D10</f>
        <v>7922.8732978977969</v>
      </c>
      <c r="E12" s="23">
        <f>E10*E8</f>
        <v>316.11089290264181</v>
      </c>
      <c r="F12" s="23">
        <f>F10*F8</f>
        <v>8145.1661671649599</v>
      </c>
      <c r="G12" s="23"/>
      <c r="H12" s="23"/>
      <c r="I12" s="23"/>
      <c r="J12" s="23">
        <f>J10*J8</f>
        <v>61.545873671739159</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4819</v>
      </c>
      <c r="C26" s="36"/>
      <c r="D26" s="225"/>
    </row>
    <row r="27" spans="1:5" s="15" customFormat="1">
      <c r="A27" s="227" t="s">
        <v>860</v>
      </c>
      <c r="B27" s="37">
        <f>SUM(HH_hh_gas_aantal,HH_rest_gas_aantal)</f>
        <v>2656</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2523.1999999999998</v>
      </c>
      <c r="C31" s="34" t="s">
        <v>104</v>
      </c>
      <c r="D31" s="171"/>
    </row>
    <row r="32" spans="1:5">
      <c r="A32" s="168" t="s">
        <v>72</v>
      </c>
      <c r="B32" s="33">
        <f>IF((B21*($B$26-($B$27-0.05*$B$27)-$B$60))&lt;0,0,(B21*($B$26-($B$27-0.05*$B$27)-$B$60)))</f>
        <v>34.82701089475394</v>
      </c>
      <c r="C32" s="34" t="s">
        <v>104</v>
      </c>
      <c r="D32" s="171"/>
    </row>
    <row r="33" spans="1:6">
      <c r="A33" s="168" t="s">
        <v>73</v>
      </c>
      <c r="B33" s="33">
        <f>IF((B22*($B$26-($B$27-0.05*$B$27)-$B$60))&lt;0,0,B22*($B$26-($B$27-0.05*$B$27)-$B$60))</f>
        <v>565.52168127865798</v>
      </c>
      <c r="C33" s="34" t="s">
        <v>104</v>
      </c>
      <c r="D33" s="171"/>
    </row>
    <row r="34" spans="1:6">
      <c r="A34" s="168" t="s">
        <v>74</v>
      </c>
      <c r="B34" s="33">
        <f>IF((B24*($B$26-($B$27-0.05*$B$27)-$B$60))&lt;0,0,B24*($B$26-($B$27-0.05*$B$27)-$B$60))</f>
        <v>108.4180743747139</v>
      </c>
      <c r="C34" s="33">
        <f>B26*C24</f>
        <v>987.44172392773635</v>
      </c>
      <c r="D34" s="230"/>
    </row>
    <row r="35" spans="1:6">
      <c r="A35" s="168" t="s">
        <v>76</v>
      </c>
      <c r="B35" s="33">
        <f>IF((B19*($B$26-($B$27-0.05*$B$27)-$B$60))&lt;0,0,B19*($B$26-($B$27-0.05*$B$27)-$B$60))</f>
        <v>15.139218606082922</v>
      </c>
      <c r="C35" s="33">
        <f>B35/2</f>
        <v>7.5696093030414611</v>
      </c>
      <c r="D35" s="230"/>
    </row>
    <row r="36" spans="1:6">
      <c r="A36" s="168" t="s">
        <v>77</v>
      </c>
      <c r="B36" s="33">
        <f>IF((B18*($B$26-($B$27-0.05*$B$27)-$B$60))&lt;0,0,B18*($B$26-($B$27-0.05*$B$27)-$B$60))</f>
        <v>1469.8940148457912</v>
      </c>
      <c r="C36" s="34" t="s">
        <v>104</v>
      </c>
      <c r="D36" s="171"/>
    </row>
    <row r="37" spans="1:6">
      <c r="A37" s="168" t="s">
        <v>78</v>
      </c>
      <c r="B37" s="33">
        <f>B60</f>
        <v>102</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143</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102</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15011.47697311865</v>
      </c>
      <c r="C5" s="17">
        <f>IF(ISERROR('Eigen informatie GS &amp; warmtenet'!B60),0,'Eigen informatie GS &amp; warmtenet'!B60)</f>
        <v>0</v>
      </c>
      <c r="D5" s="30">
        <f>SUM(D6:D12)</f>
        <v>12281.249897174999</v>
      </c>
      <c r="E5" s="17">
        <f>SUM(E6:E12)</f>
        <v>87.079043053399602</v>
      </c>
      <c r="F5" s="17">
        <f>SUM(F6:F12)</f>
        <v>2805.6675031507425</v>
      </c>
      <c r="G5" s="18"/>
      <c r="H5" s="17"/>
      <c r="I5" s="17"/>
      <c r="J5" s="17">
        <f>SUM(J6:J12)</f>
        <v>1.7368024642361885E-2</v>
      </c>
      <c r="K5" s="17"/>
      <c r="L5" s="17"/>
      <c r="M5" s="17"/>
      <c r="N5" s="17">
        <f>SUM(N6:N12)</f>
        <v>669.69270234159774</v>
      </c>
      <c r="O5" s="17">
        <f>B38*B39*B40</f>
        <v>4.8972607658411542</v>
      </c>
      <c r="P5" s="17">
        <f>B46*B47*B48/1000-B46*B47*B48/1000/B49</f>
        <v>262.69569153247511</v>
      </c>
      <c r="R5" s="32"/>
    </row>
    <row r="6" spans="1:18">
      <c r="A6" s="32" t="s">
        <v>53</v>
      </c>
      <c r="B6" s="37">
        <f>B26</f>
        <v>3057.08718759468</v>
      </c>
      <c r="C6" s="33"/>
      <c r="D6" s="37">
        <f>IF(ISERROR(TER_kantoor_gas_kWh/1000),0,TER_kantoor_gas_kWh/1000)*0.903</f>
        <v>4389.443670738</v>
      </c>
      <c r="E6" s="33">
        <f>$C$26*'E Balans VL '!I12/100/3.6*1000000</f>
        <v>0.72841377014420861</v>
      </c>
      <c r="F6" s="33">
        <f>$C$26*('E Balans VL '!L12+'E Balans VL '!N12)/100/3.6*1000000</f>
        <v>265.53796992403943</v>
      </c>
      <c r="G6" s="34"/>
      <c r="H6" s="33"/>
      <c r="I6" s="33"/>
      <c r="J6" s="33">
        <f>$C$26*('E Balans VL '!D12+'E Balans VL '!E12)/100/3.6*1000000</f>
        <v>0</v>
      </c>
      <c r="K6" s="33"/>
      <c r="L6" s="33"/>
      <c r="M6" s="33"/>
      <c r="N6" s="33">
        <f>$C$26*'E Balans VL '!Y12/100/3.6*1000000</f>
        <v>4.0862247133263505</v>
      </c>
      <c r="O6" s="33"/>
      <c r="P6" s="33"/>
      <c r="R6" s="32"/>
    </row>
    <row r="7" spans="1:18">
      <c r="A7" s="32" t="s">
        <v>52</v>
      </c>
      <c r="B7" s="37">
        <f t="shared" ref="B7:B12" si="0">B27</f>
        <v>1223.33132552397</v>
      </c>
      <c r="C7" s="33"/>
      <c r="D7" s="37">
        <f>IF(ISERROR(TER_horeca_gas_kWh/1000),0,TER_horeca_gas_kWh/1000)*0.903</f>
        <v>1216.939680873</v>
      </c>
      <c r="E7" s="33">
        <f>$C$27*'E Balans VL '!I9/100/3.6*1000000</f>
        <v>0</v>
      </c>
      <c r="F7" s="33">
        <f>$C$27*('E Balans VL '!L9+'E Balans VL '!N9)/100/3.6*1000000</f>
        <v>99.679363895715113</v>
      </c>
      <c r="G7" s="34"/>
      <c r="H7" s="33"/>
      <c r="I7" s="33"/>
      <c r="J7" s="33">
        <f>$C$27*('E Balans VL '!D9+'E Balans VL '!E9)/100/3.6*1000000</f>
        <v>0</v>
      </c>
      <c r="K7" s="33"/>
      <c r="L7" s="33"/>
      <c r="M7" s="33"/>
      <c r="N7" s="33">
        <f>$C$27*'E Balans VL '!Y9/100/3.6*1000000</f>
        <v>0.33884000198174113</v>
      </c>
      <c r="O7" s="33"/>
      <c r="P7" s="33"/>
      <c r="R7" s="32"/>
    </row>
    <row r="8" spans="1:18">
      <c r="A8" s="6" t="s">
        <v>51</v>
      </c>
      <c r="B8" s="37">
        <f t="shared" si="0"/>
        <v>8017.4020120000005</v>
      </c>
      <c r="C8" s="33"/>
      <c r="D8" s="37">
        <f>IF(ISERROR(TER_handel_gas_kWh/1000),0,TER_handel_gas_kWh/1000)*0.903</f>
        <v>3914.2882258200007</v>
      </c>
      <c r="E8" s="33">
        <f>$C$28*'E Balans VL '!I13/100/3.6*1000000</f>
        <v>64.088021766124683</v>
      </c>
      <c r="F8" s="33">
        <f>$C$28*('E Balans VL '!L13+'E Balans VL '!N13)/100/3.6*1000000</f>
        <v>796.4790508134414</v>
      </c>
      <c r="G8" s="34"/>
      <c r="H8" s="33"/>
      <c r="I8" s="33"/>
      <c r="J8" s="33">
        <f>$C$28*('E Balans VL '!D13+'E Balans VL '!E13)/100/3.6*1000000</f>
        <v>0</v>
      </c>
      <c r="K8" s="33"/>
      <c r="L8" s="33"/>
      <c r="M8" s="33"/>
      <c r="N8" s="33">
        <f>$C$28*'E Balans VL '!Y13/100/3.6*1000000</f>
        <v>2.9949768790156877</v>
      </c>
      <c r="O8" s="33"/>
      <c r="P8" s="33"/>
      <c r="R8" s="32"/>
    </row>
    <row r="9" spans="1:18">
      <c r="A9" s="32" t="s">
        <v>50</v>
      </c>
      <c r="B9" s="37">
        <f t="shared" si="0"/>
        <v>577.42315099999996</v>
      </c>
      <c r="C9" s="33"/>
      <c r="D9" s="37">
        <f>IF(ISERROR(TER_gezond_gas_kWh/1000),0,TER_gezond_gas_kWh/1000)*0.903</f>
        <v>1646.4746013869999</v>
      </c>
      <c r="E9" s="33">
        <f>$C$29*'E Balans VL '!I10/100/3.6*1000000</f>
        <v>0</v>
      </c>
      <c r="F9" s="33">
        <f>$C$29*('E Balans VL '!L10+'E Balans VL '!N10)/100/3.6*1000000</f>
        <v>52.641529726159497</v>
      </c>
      <c r="G9" s="34"/>
      <c r="H9" s="33"/>
      <c r="I9" s="33"/>
      <c r="J9" s="33">
        <f>$C$29*('E Balans VL '!D10+'E Balans VL '!E10)/100/3.6*1000000</f>
        <v>0</v>
      </c>
      <c r="K9" s="33"/>
      <c r="L9" s="33"/>
      <c r="M9" s="33"/>
      <c r="N9" s="33">
        <f>$C$29*'E Balans VL '!Y10/100/3.6*1000000</f>
        <v>4.2204457702537432</v>
      </c>
      <c r="O9" s="33"/>
      <c r="P9" s="33"/>
      <c r="R9" s="32"/>
    </row>
    <row r="10" spans="1:18">
      <c r="A10" s="32" t="s">
        <v>49</v>
      </c>
      <c r="B10" s="37">
        <f t="shared" si="0"/>
        <v>1717.196864</v>
      </c>
      <c r="C10" s="33"/>
      <c r="D10" s="37">
        <f>IF(ISERROR(TER_ander_gas_kWh/1000),0,TER_ander_gas_kWh/1000)*0.903</f>
        <v>601.53449928600003</v>
      </c>
      <c r="E10" s="33">
        <f>$C$30*'E Balans VL '!I14/100/3.6*1000000</f>
        <v>22.262607517130697</v>
      </c>
      <c r="F10" s="33">
        <f>$C$30*('E Balans VL '!L14+'E Balans VL '!N14)/100/3.6*1000000</f>
        <v>1574.9106233055027</v>
      </c>
      <c r="G10" s="34"/>
      <c r="H10" s="33"/>
      <c r="I10" s="33"/>
      <c r="J10" s="33">
        <f>$C$30*('E Balans VL '!D14+'E Balans VL '!E14)/100/3.6*1000000</f>
        <v>1.7368024642361885E-2</v>
      </c>
      <c r="K10" s="33"/>
      <c r="L10" s="33"/>
      <c r="M10" s="33"/>
      <c r="N10" s="33">
        <f>$C$30*'E Balans VL '!Y14/100/3.6*1000000</f>
        <v>656.73256571698732</v>
      </c>
      <c r="O10" s="33"/>
      <c r="P10" s="33"/>
      <c r="R10" s="32"/>
    </row>
    <row r="11" spans="1:18">
      <c r="A11" s="32" t="s">
        <v>54</v>
      </c>
      <c r="B11" s="37">
        <f t="shared" si="0"/>
        <v>419.03643300000005</v>
      </c>
      <c r="C11" s="33"/>
      <c r="D11" s="37">
        <f>IF(ISERROR(TER_onderwijs_gas_kWh/1000),0,TER_onderwijs_gas_kWh/1000)*0.903</f>
        <v>512.56921907099991</v>
      </c>
      <c r="E11" s="33">
        <f>$C$31*'E Balans VL '!I11/100/3.6*1000000</f>
        <v>0</v>
      </c>
      <c r="F11" s="33">
        <f>$C$31*('E Balans VL '!L11+'E Balans VL '!N11)/100/3.6*1000000</f>
        <v>16.41896548588441</v>
      </c>
      <c r="G11" s="34"/>
      <c r="H11" s="33"/>
      <c r="I11" s="33"/>
      <c r="J11" s="33">
        <f>$C$31*('E Balans VL '!D11+'E Balans VL '!E11)/100/3.6*1000000</f>
        <v>0</v>
      </c>
      <c r="K11" s="33"/>
      <c r="L11" s="33"/>
      <c r="M11" s="33"/>
      <c r="N11" s="33">
        <f>$C$31*'E Balans VL '!Y11/100/3.6*1000000</f>
        <v>1.3196492600328642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15011.47697311865</v>
      </c>
      <c r="C16" s="21">
        <f t="shared" ca="1" si="1"/>
        <v>0</v>
      </c>
      <c r="D16" s="21">
        <f t="shared" ca="1" si="1"/>
        <v>12281.249897174999</v>
      </c>
      <c r="E16" s="21">
        <f t="shared" si="1"/>
        <v>87.079043053399602</v>
      </c>
      <c r="F16" s="21">
        <f t="shared" ca="1" si="1"/>
        <v>2805.6675031507425</v>
      </c>
      <c r="G16" s="21">
        <f t="shared" si="1"/>
        <v>0</v>
      </c>
      <c r="H16" s="21">
        <f t="shared" si="1"/>
        <v>0</v>
      </c>
      <c r="I16" s="21">
        <f t="shared" si="1"/>
        <v>0</v>
      </c>
      <c r="J16" s="21">
        <f t="shared" si="1"/>
        <v>1.7368024642361885E-2</v>
      </c>
      <c r="K16" s="21">
        <f t="shared" si="1"/>
        <v>0</v>
      </c>
      <c r="L16" s="21">
        <f t="shared" ca="1" si="1"/>
        <v>0</v>
      </c>
      <c r="M16" s="21">
        <f t="shared" si="1"/>
        <v>0</v>
      </c>
      <c r="N16" s="21">
        <f t="shared" ca="1" si="1"/>
        <v>669.69270234159774</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0.19235500325496255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2887.5327020260333</v>
      </c>
      <c r="C20" s="23">
        <f t="shared" ref="C20:P20" ca="1" si="2">C16*C18</f>
        <v>0</v>
      </c>
      <c r="D20" s="23">
        <f t="shared" ca="1" si="2"/>
        <v>2480.8124792293502</v>
      </c>
      <c r="E20" s="23">
        <f t="shared" si="2"/>
        <v>19.766942773121709</v>
      </c>
      <c r="F20" s="23">
        <f t="shared" ca="1" si="2"/>
        <v>749.11322334124827</v>
      </c>
      <c r="G20" s="23">
        <f t="shared" si="2"/>
        <v>0</v>
      </c>
      <c r="H20" s="23">
        <f t="shared" si="2"/>
        <v>0</v>
      </c>
      <c r="I20" s="23">
        <f t="shared" si="2"/>
        <v>0</v>
      </c>
      <c r="J20" s="23">
        <f t="shared" si="2"/>
        <v>6.1482807233961068E-3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3057.08718759468</v>
      </c>
      <c r="C26" s="39">
        <f>IF(ISERROR(B26*3.6/1000000/'E Balans VL '!Z12*100),0,B26*3.6/1000000/'E Balans VL '!Z12*100)</f>
        <v>8.7707543724576481E-2</v>
      </c>
      <c r="D26" s="233" t="s">
        <v>835</v>
      </c>
      <c r="F26" s="6"/>
    </row>
    <row r="27" spans="1:18" ht="30">
      <c r="A27" s="228" t="s">
        <v>52</v>
      </c>
      <c r="B27" s="33">
        <f>IF(ISERROR(TER_horeca_ele_kWh/1000),0,TER_horeca_ele_kWh/1000)</f>
        <v>1223.33132552397</v>
      </c>
      <c r="C27" s="39">
        <f>IF(ISERROR(B27*3.6/1000000/'E Balans VL '!Z9*100),0,B27*3.6/1000000/'E Balans VL '!Z9*100)</f>
        <v>8.9621686010676979E-2</v>
      </c>
      <c r="D27" s="233" t="s">
        <v>835</v>
      </c>
      <c r="F27" s="6"/>
    </row>
    <row r="28" spans="1:18" ht="30">
      <c r="A28" s="168" t="s">
        <v>51</v>
      </c>
      <c r="B28" s="33">
        <f>IF(ISERROR(TER_handel_ele_kWh/1000),0,TER_handel_ele_kWh/1000)</f>
        <v>8017.4020120000005</v>
      </c>
      <c r="C28" s="39">
        <f>IF(ISERROR(B28*3.6/1000000/'E Balans VL '!Z13*100),0,B28*3.6/1000000/'E Balans VL '!Z13*100)</f>
        <v>0.24774448445924385</v>
      </c>
      <c r="D28" s="233" t="s">
        <v>835</v>
      </c>
      <c r="F28" s="6"/>
    </row>
    <row r="29" spans="1:18" ht="30">
      <c r="A29" s="228" t="s">
        <v>50</v>
      </c>
      <c r="B29" s="33">
        <f>IF(ISERROR(TER_gezond_ele_kWh/1000),0,TER_gezond_ele_kWh/1000)</f>
        <v>577.42315099999996</v>
      </c>
      <c r="C29" s="39">
        <f>IF(ISERROR(B29*3.6/1000000/'E Balans VL '!Z10*100),0,B29*3.6/1000000/'E Balans VL '!Z10*100)</f>
        <v>5.6591019346970736E-2</v>
      </c>
      <c r="D29" s="233" t="s">
        <v>835</v>
      </c>
      <c r="F29" s="6"/>
    </row>
    <row r="30" spans="1:18" ht="30">
      <c r="A30" s="228" t="s">
        <v>49</v>
      </c>
      <c r="B30" s="33">
        <f>IF(ISERROR(TER_ander_ele_kWh/1000),0,TER_ander_ele_kWh/1000)</f>
        <v>1717.196864</v>
      </c>
      <c r="C30" s="39">
        <f>IF(ISERROR(B30*3.6/1000000/'E Balans VL '!Z14*100),0,B30*3.6/1000000/'E Balans VL '!Z14*100)</f>
        <v>7.1131841538683502E-2</v>
      </c>
      <c r="D30" s="233" t="s">
        <v>835</v>
      </c>
      <c r="F30" s="6"/>
    </row>
    <row r="31" spans="1:18" ht="30">
      <c r="A31" s="228" t="s">
        <v>54</v>
      </c>
      <c r="B31" s="33">
        <f>IF(ISERROR(TER_onderwijs_ele_kWh/1000),0,TER_onderwijs_ele_kWh/1000)</f>
        <v>419.03643300000005</v>
      </c>
      <c r="C31" s="39">
        <f>IF(ISERROR(B31*3.6/1000000/'E Balans VL '!Z11*100),0,B31*3.6/1000000/'E Balans VL '!Z11*100)</f>
        <v>0.12875715605542556</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5</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4538.5036329999994</v>
      </c>
      <c r="C5" s="17">
        <f>IF(ISERROR('Eigen informatie GS &amp; warmtenet'!B61),0,'Eigen informatie GS &amp; warmtenet'!B61)</f>
        <v>0</v>
      </c>
      <c r="D5" s="30">
        <f>SUM(D6:D15)</f>
        <v>1628.4598769039999</v>
      </c>
      <c r="E5" s="17">
        <f>SUM(E6:E15)</f>
        <v>21.847896250572042</v>
      </c>
      <c r="F5" s="17">
        <f>SUM(F6:F15)</f>
        <v>450.49009209525178</v>
      </c>
      <c r="G5" s="18"/>
      <c r="H5" s="17"/>
      <c r="I5" s="17"/>
      <c r="J5" s="17">
        <f>SUM(J6:J15)</f>
        <v>2.312904509448714</v>
      </c>
      <c r="K5" s="17"/>
      <c r="L5" s="17"/>
      <c r="M5" s="17"/>
      <c r="N5" s="17">
        <f>SUM(N6:N15)</f>
        <v>71.662133943916785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981.56319599999995</v>
      </c>
      <c r="C8" s="33"/>
      <c r="D8" s="37">
        <f>IF( ISERROR(IND_metaal_Gas_kWH/1000),0,IND_metaal_Gas_kWH/1000)*0.903</f>
        <v>378.30566444999999</v>
      </c>
      <c r="E8" s="33">
        <f>C30*'E Balans VL '!I18/100/3.6*1000000</f>
        <v>5.3506540635106772</v>
      </c>
      <c r="F8" s="33">
        <f>C30*'E Balans VL '!L18/100/3.6*1000000+C30*'E Balans VL '!N18/100/3.6*1000000</f>
        <v>63.212744796848632</v>
      </c>
      <c r="G8" s="34"/>
      <c r="H8" s="33"/>
      <c r="I8" s="33"/>
      <c r="J8" s="40">
        <f>C30*'E Balans VL '!D18/100/3.6*1000000+C30*'E Balans VL '!E18/100/3.6*1000000</f>
        <v>0.80401998704001154</v>
      </c>
      <c r="K8" s="33"/>
      <c r="L8" s="33"/>
      <c r="M8" s="33"/>
      <c r="N8" s="33">
        <f>C30*'E Balans VL '!Y18/100/3.6*1000000</f>
        <v>21.206024235665407</v>
      </c>
      <c r="O8" s="33"/>
      <c r="P8" s="33"/>
      <c r="R8" s="32"/>
    </row>
    <row r="9" spans="1:18">
      <c r="A9" s="6" t="s">
        <v>32</v>
      </c>
      <c r="B9" s="37">
        <f t="shared" si="0"/>
        <v>534.96782799999994</v>
      </c>
      <c r="C9" s="33"/>
      <c r="D9" s="37">
        <f>IF( ISERROR(IND_andere_gas_kWh/1000),0,IND_andere_gas_kWh/1000)*0.903</f>
        <v>510.12116439900001</v>
      </c>
      <c r="E9" s="33">
        <f>C31*'E Balans VL '!I19/100/3.6*1000000</f>
        <v>1.7269672541023562</v>
      </c>
      <c r="F9" s="33">
        <f>C31*'E Balans VL '!L19/100/3.6*1000000+C31*'E Balans VL '!N19/100/3.6*1000000</f>
        <v>345.91439711510674</v>
      </c>
      <c r="G9" s="34"/>
      <c r="H9" s="33"/>
      <c r="I9" s="33"/>
      <c r="J9" s="40">
        <f>C31*'E Balans VL '!D19/100/3.6*1000000+C31*'E Balans VL '!E19/100/3.6*1000000</f>
        <v>0</v>
      </c>
      <c r="K9" s="33"/>
      <c r="L9" s="33"/>
      <c r="M9" s="33"/>
      <c r="N9" s="33">
        <f>C31*'E Balans VL '!Y19/100/3.6*1000000</f>
        <v>21.617431987445194</v>
      </c>
      <c r="O9" s="33"/>
      <c r="P9" s="33"/>
      <c r="R9" s="32"/>
    </row>
    <row r="10" spans="1:18">
      <c r="A10" s="6" t="s">
        <v>40</v>
      </c>
      <c r="B10" s="37">
        <f t="shared" si="0"/>
        <v>569.20850399999995</v>
      </c>
      <c r="C10" s="33"/>
      <c r="D10" s="37">
        <f>IF( ISERROR(IND_voed_gas_kWh/1000),0,IND_voed_gas_kWh/1000)*0.903</f>
        <v>0</v>
      </c>
      <c r="E10" s="33">
        <f>C32*'E Balans VL '!I20/100/3.6*1000000</f>
        <v>1.1932005223380857</v>
      </c>
      <c r="F10" s="33">
        <f>C32*'E Balans VL '!L20/100/3.6*1000000+C32*'E Balans VL '!N20/100/3.6*1000000</f>
        <v>11.090148772586144</v>
      </c>
      <c r="G10" s="34"/>
      <c r="H10" s="33"/>
      <c r="I10" s="33"/>
      <c r="J10" s="40">
        <f>C32*'E Balans VL '!D20/100/3.6*1000000+C32*'E Balans VL '!E20/100/3.6*1000000</f>
        <v>0</v>
      </c>
      <c r="K10" s="33"/>
      <c r="L10" s="33"/>
      <c r="M10" s="33"/>
      <c r="N10" s="33">
        <f>C32*'E Balans VL '!Y20/100/3.6*1000000</f>
        <v>22.641536211867155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2246.973837</v>
      </c>
      <c r="C13" s="33"/>
      <c r="D13" s="37">
        <f>IF( ISERROR(IND_papier_gas_kWh/1000),0,IND_papier_gas_kWh/1000)*0.903</f>
        <v>0</v>
      </c>
      <c r="E13" s="33">
        <f>C35*'E Balans VL '!I23/100/3.6*1000000</f>
        <v>0</v>
      </c>
      <c r="F13" s="33">
        <f>C35*'E Balans VL '!L23/100/3.6*1000000+C35*'E Balans VL '!N23/100/3.6*1000000</f>
        <v>0.30098922942228046</v>
      </c>
      <c r="G13" s="34"/>
      <c r="H13" s="33"/>
      <c r="I13" s="33"/>
      <c r="J13" s="40">
        <f>C35*'E Balans VL '!D23/100/3.6*1000000+C35*'E Balans VL '!E23/100/3.6*1000000</f>
        <v>0.44446556285196437</v>
      </c>
      <c r="K13" s="33"/>
      <c r="L13" s="33"/>
      <c r="M13" s="33"/>
      <c r="N13" s="33">
        <f>C35*'E Balans VL '!Y23/100/3.6*1000000</f>
        <v>0</v>
      </c>
      <c r="O13" s="33"/>
      <c r="P13" s="33"/>
      <c r="R13" s="32"/>
    </row>
    <row r="14" spans="1:18">
      <c r="A14" s="6" t="s">
        <v>33</v>
      </c>
      <c r="B14" s="37">
        <f t="shared" si="0"/>
        <v>9.747268</v>
      </c>
      <c r="C14" s="33"/>
      <c r="D14" s="37">
        <f>IF( ISERROR(IND_chemie_gas_kWh/1000),0,IND_chemie_gas_kWh/1000)*0.903</f>
        <v>0</v>
      </c>
      <c r="E14" s="33">
        <f>C36*'E Balans VL '!I24/100/3.6*1000000</f>
        <v>2.0355351281352045</v>
      </c>
      <c r="F14" s="33">
        <f>C36*'E Balans VL '!L24/100/3.6*1000000+C36*'E Balans VL '!N24/100/3.6*1000000</f>
        <v>6.4760473288976841E-2</v>
      </c>
      <c r="G14" s="34"/>
      <c r="H14" s="33"/>
      <c r="I14" s="33"/>
      <c r="J14" s="40">
        <f>C36*'E Balans VL '!D24/100/3.6*1000000+C36*'E Balans VL '!E24/100/3.6*1000000</f>
        <v>0</v>
      </c>
      <c r="K14" s="33"/>
      <c r="L14" s="33"/>
      <c r="M14" s="33"/>
      <c r="N14" s="33">
        <f>C36*'E Balans VL '!Y24/100/3.6*1000000</f>
        <v>3.401341266400779E-3</v>
      </c>
      <c r="O14" s="33"/>
      <c r="P14" s="33"/>
      <c r="R14" s="32"/>
    </row>
    <row r="15" spans="1:18">
      <c r="A15" s="6" t="s">
        <v>259</v>
      </c>
      <c r="B15" s="37">
        <f t="shared" si="0"/>
        <v>196.04300000000001</v>
      </c>
      <c r="C15" s="33"/>
      <c r="D15" s="37">
        <f>IF( ISERROR(IND_rest_gas_kWh/1000),0,IND_rest_gas_kWh/1000)*0.903</f>
        <v>740.03304805499999</v>
      </c>
      <c r="E15" s="33">
        <f>C37*'E Balans VL '!I15/100/3.6*1000000</f>
        <v>11.541539282485717</v>
      </c>
      <c r="F15" s="33">
        <f>C37*'E Balans VL '!L15/100/3.6*1000000+C37*'E Balans VL '!N15/100/3.6*1000000</f>
        <v>29.907051707999027</v>
      </c>
      <c r="G15" s="34"/>
      <c r="H15" s="33"/>
      <c r="I15" s="33"/>
      <c r="J15" s="40">
        <f>C37*'E Balans VL '!D15/100/3.6*1000000+C37*'E Balans VL '!E15/100/3.6*1000000</f>
        <v>1.0644189595567379</v>
      </c>
      <c r="K15" s="33"/>
      <c r="L15" s="33"/>
      <c r="M15" s="33"/>
      <c r="N15" s="33">
        <f>C37*'E Balans VL '!Y15/100/3.6*1000000</f>
        <v>6.1937401676726402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4538.5036329999994</v>
      </c>
      <c r="C18" s="21">
        <f>C5+C16</f>
        <v>0</v>
      </c>
      <c r="D18" s="21">
        <f>MAX((D5+D16),0)</f>
        <v>1628.4598769039999</v>
      </c>
      <c r="E18" s="21">
        <f>MAX((E5+E16),0)</f>
        <v>21.847896250572042</v>
      </c>
      <c r="F18" s="21">
        <f>MAX((F5+F16),0)</f>
        <v>450.49009209525178</v>
      </c>
      <c r="G18" s="21"/>
      <c r="H18" s="21"/>
      <c r="I18" s="21"/>
      <c r="J18" s="21">
        <f>MAX((J5+J16),0)</f>
        <v>2.312904509448714</v>
      </c>
      <c r="K18" s="21"/>
      <c r="L18" s="21">
        <f>MAX((L5+L16),0)</f>
        <v>0</v>
      </c>
      <c r="M18" s="21"/>
      <c r="N18" s="21">
        <f>MAX((N5+N16),0)</f>
        <v>71.662133943916785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0.19235500325496255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873.00388109837422</v>
      </c>
      <c r="C22" s="23">
        <f ca="1">C18*C20</f>
        <v>0</v>
      </c>
      <c r="D22" s="23">
        <f>D18*D20</f>
        <v>328.94889513460799</v>
      </c>
      <c r="E22" s="23">
        <f>E18*E20</f>
        <v>4.9594724488798541</v>
      </c>
      <c r="F22" s="23">
        <f>F18*F20</f>
        <v>120.28085458943224</v>
      </c>
      <c r="G22" s="23"/>
      <c r="H22" s="23"/>
      <c r="I22" s="23"/>
      <c r="J22" s="23">
        <f>J18*J20</f>
        <v>0.81876819634484466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981.56319599999995</v>
      </c>
      <c r="C30" s="39">
        <f>IF(ISERROR(B30*3.6/1000000/'E Balans VL '!Z18*100),0,B30*3.6/1000000/'E Balans VL '!Z18*100)</f>
        <v>5.910704417692568E-2</v>
      </c>
      <c r="D30" s="233" t="s">
        <v>835</v>
      </c>
    </row>
    <row r="31" spans="1:18" ht="30">
      <c r="A31" s="6" t="s">
        <v>32</v>
      </c>
      <c r="B31" s="37">
        <f>IF( ISERROR(IND_ander_ele_kWh/1000),0,IND_ander_ele_kWh/1000)</f>
        <v>534.96782799999994</v>
      </c>
      <c r="C31" s="39">
        <f>IF(ISERROR(B31*3.6/1000000/'E Balans VL '!Z19*100),0,B31*3.6/1000000/'E Balans VL '!Z19*100)</f>
        <v>2.179569682357772E-2</v>
      </c>
      <c r="D31" s="233" t="s">
        <v>835</v>
      </c>
    </row>
    <row r="32" spans="1:18" ht="30">
      <c r="A32" s="168" t="s">
        <v>40</v>
      </c>
      <c r="B32" s="37">
        <f>IF( ISERROR(IND_voed_ele_kWh/1000),0,IND_voed_ele_kWh/1000)</f>
        <v>569.20850399999995</v>
      </c>
      <c r="C32" s="39">
        <f>IF(ISERROR(B32*3.6/1000000/'E Balans VL '!Z20*100),0,B32*3.6/1000000/'E Balans VL '!Z20*100)</f>
        <v>1.645810851682503E-2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2246.973837</v>
      </c>
      <c r="C35" s="39">
        <f>IF(ISERROR(B35*3.6/1000000/'E Balans VL '!Z22*100),0,B35*3.6/1000000/'E Balans VL '!Z22*100)</f>
        <v>0.95943694895941833</v>
      </c>
      <c r="D35" s="233" t="s">
        <v>835</v>
      </c>
    </row>
    <row r="36" spans="1:5" ht="30">
      <c r="A36" s="168" t="s">
        <v>33</v>
      </c>
      <c r="B36" s="37">
        <f>IF( ISERROR(IND_chemie_ele_kWh/1000),0,IND_chemie_ele_kWh/1000)</f>
        <v>9.747268</v>
      </c>
      <c r="C36" s="39">
        <f>IF(ISERROR(B36*3.6/1000000/'E Balans VL '!Z24*100),0,B36*3.6/1000000/'E Balans VL '!Z24*100)</f>
        <v>2.9576880577398244E-4</v>
      </c>
      <c r="D36" s="233" t="s">
        <v>835</v>
      </c>
    </row>
    <row r="37" spans="1:5" ht="30">
      <c r="A37" s="168" t="s">
        <v>259</v>
      </c>
      <c r="B37" s="37">
        <f>IF( ISERROR(IND_rest_ele_kWh/1000),0,IND_rest_ele_kWh/1000)</f>
        <v>196.04300000000001</v>
      </c>
      <c r="C37" s="39">
        <f>IF(ISERROR(B37*3.6/1000000/'E Balans VL '!Z15*100),0,B37*3.6/1000000/'E Balans VL '!Z15*100)</f>
        <v>1.6096615171970862E-3</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1608.1229509999998</v>
      </c>
      <c r="C5" s="17">
        <f>'Eigen informatie GS &amp; warmtenet'!B62</f>
        <v>0</v>
      </c>
      <c r="D5" s="30">
        <f>IF(ISERROR(SUM(LB_lb_gas_kWh,LB_rest_gas_kWh)/1000),0,SUM(LB_lb_gas_kWh,LB_rest_gas_kWh)/1000)*0.903</f>
        <v>333.69680345400002</v>
      </c>
      <c r="E5" s="17">
        <f>B17*'E Balans VL '!I25/3.6*1000000/100</f>
        <v>46.059362758913259</v>
      </c>
      <c r="F5" s="17">
        <f>B17*('E Balans VL '!L25/3.6*1000000+'E Balans VL '!N25/3.6*1000000)/100</f>
        <v>5090.4865663467008</v>
      </c>
      <c r="G5" s="18"/>
      <c r="H5" s="17"/>
      <c r="I5" s="17"/>
      <c r="J5" s="17">
        <f>('E Balans VL '!D25+'E Balans VL '!E25)/3.6*1000000*landbouw!B17/100</f>
        <v>408.89516753201343</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1608.1229509999998</v>
      </c>
      <c r="C8" s="21">
        <f>C5+C6</f>
        <v>0</v>
      </c>
      <c r="D8" s="21">
        <f>MAX((D5+D6),0)</f>
        <v>333.69680345400002</v>
      </c>
      <c r="E8" s="21">
        <f>MAX((E5+E6),0)</f>
        <v>46.059362758913259</v>
      </c>
      <c r="F8" s="21">
        <f>MAX((F5+F6),0)</f>
        <v>5090.4865663467008</v>
      </c>
      <c r="G8" s="21"/>
      <c r="H8" s="21"/>
      <c r="I8" s="21"/>
      <c r="J8" s="21">
        <f>MAX((J5+J6),0)</f>
        <v>408.89516753201343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0.19235500325496255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309.33049547398497</v>
      </c>
      <c r="C12" s="23">
        <f ca="1">C8*C10</f>
        <v>0</v>
      </c>
      <c r="D12" s="23">
        <f>D8*D10</f>
        <v>67.406754297708005</v>
      </c>
      <c r="E12" s="23">
        <f>E8*E10</f>
        <v>10.45547534627331</v>
      </c>
      <c r="F12" s="23">
        <f>F8*F10</f>
        <v>1359.1599132145691</v>
      </c>
      <c r="G12" s="23"/>
      <c r="H12" s="23"/>
      <c r="I12" s="23"/>
      <c r="J12" s="23">
        <f>J8*J10</f>
        <v>144.74888930633276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0.22268854764068904</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10.483825131406526</v>
      </c>
      <c r="C26" s="243">
        <f>B26*'GWP N2O_CH4'!B5</f>
        <v>220.16032775953704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0.98232075478157643</v>
      </c>
      <c r="C27" s="243">
        <f>B27*'GWP N2O_CH4'!B5</f>
        <v>20.628735850413104</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0.15758938780139464</v>
      </c>
      <c r="C28" s="243">
        <f>B28*'GWP N2O_CH4'!B4</f>
        <v>48.852710218432343</v>
      </c>
      <c r="D28" s="50"/>
    </row>
    <row r="29" spans="1:4">
      <c r="A29" s="41" t="s">
        <v>266</v>
      </c>
      <c r="B29" s="243">
        <f>B34*'ha_N2O bodem landbouw'!B4</f>
        <v>9.3989471656534072</v>
      </c>
      <c r="C29" s="243">
        <f>B29*'GWP N2O_CH4'!B4</f>
        <v>2913.6736213525564</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2.1352725804690163E-3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6.0950578393553941E-4</v>
      </c>
      <c r="C5" s="432" t="s">
        <v>204</v>
      </c>
      <c r="D5" s="417">
        <f>SUM(D6:D11)</f>
        <v>1.1481167524915546E-3</v>
      </c>
      <c r="E5" s="417">
        <f>SUM(E6:E11)</f>
        <v>4.4677340496124816E-4</v>
      </c>
      <c r="F5" s="430" t="s">
        <v>204</v>
      </c>
      <c r="G5" s="417">
        <f>SUM(G6:G11)</f>
        <v>0.19660764428430871</v>
      </c>
      <c r="H5" s="417">
        <f>SUM(H6:H11)</f>
        <v>5.6077701972190003E-2</v>
      </c>
      <c r="I5" s="432" t="s">
        <v>204</v>
      </c>
      <c r="J5" s="432" t="s">
        <v>204</v>
      </c>
      <c r="K5" s="432" t="s">
        <v>204</v>
      </c>
      <c r="L5" s="432" t="s">
        <v>204</v>
      </c>
      <c r="M5" s="417">
        <f>SUM(M6:M11)</f>
        <v>1.5264299127822329E-2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3.8939807445202685E-4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6.492380622526232E-4</v>
      </c>
      <c r="E6" s="884">
        <f>vkm_GW_PW*SUMIFS(TableVerdeelsleutelVkm[LPG],TableVerdeelsleutelVkm[Voertuigtype],"Lichte voertuigen")*SUMIFS(TableECFTransport[EnergieConsumptieFactor (PJ per km)],TableECFTransport[Index],CONCATENATE($A6,"_LPG_LPG"))</f>
        <v>2.5739648575561993E-4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7.7354109882602176E-2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3.1839770899281299E-2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6.6987225635203309E-3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1.4198519678533489E-6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5.6283826953640322E-2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4.1529317483073241E-7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3.2317221596107337E-3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2.1847554650202363E-4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4.9887869023893135E-4</v>
      </c>
      <c r="E8" s="420">
        <f>vkm_NGW_PW*SUMIFS(TableVerdeelsleutelVkm[LPG],TableVerdeelsleutelVkm[Voertuigtype],"Lichte voertuigen")*SUMIFS(TableECFTransport[EnergieConsumptieFactor (PJ per km)],TableECFTransport[Index],CONCATENATE($A8,"_LPG_LPG"))</f>
        <v>1.893769192056282E-4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5.2131693757075388E-2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2.4237440824718764E-2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4.7115543426451967E-3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2.1231101363558266E-7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1.0838013690990815E-2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7.4955015108920046E-8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6.2230006204606642E-4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169.30716220431651</v>
      </c>
      <c r="C14" s="21"/>
      <c r="D14" s="21">
        <f t="shared" ref="D14:M14" si="0">((D5)*10^9/3600)+D12</f>
        <v>318.92132013654293</v>
      </c>
      <c r="E14" s="21">
        <f t="shared" si="0"/>
        <v>124.10372360034671</v>
      </c>
      <c r="F14" s="21"/>
      <c r="G14" s="21">
        <f t="shared" si="0"/>
        <v>54613.234523419087</v>
      </c>
      <c r="H14" s="21">
        <f t="shared" si="0"/>
        <v>15577.139436719444</v>
      </c>
      <c r="I14" s="21"/>
      <c r="J14" s="21"/>
      <c r="K14" s="21"/>
      <c r="L14" s="21"/>
      <c r="M14" s="21">
        <f t="shared" si="0"/>
        <v>4240.0830910617588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0.19235500325496255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32.567079736899778</v>
      </c>
      <c r="C18" s="23"/>
      <c r="D18" s="23">
        <f t="shared" ref="D18:M18" si="1">D14*D16</f>
        <v>64.422106667581673</v>
      </c>
      <c r="E18" s="23">
        <f t="shared" si="1"/>
        <v>28.171545257278705</v>
      </c>
      <c r="F18" s="23"/>
      <c r="G18" s="23">
        <f t="shared" si="1"/>
        <v>14581.733617752898</v>
      </c>
      <c r="H18" s="23">
        <f t="shared" si="1"/>
        <v>3878.7077197431418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1.421852422428212E-4</v>
      </c>
      <c r="C50" s="315">
        <f t="shared" ref="C50:P50" si="2">SUM(C51:C52)</f>
        <v>0</v>
      </c>
      <c r="D50" s="315">
        <f t="shared" si="2"/>
        <v>0</v>
      </c>
      <c r="E50" s="315">
        <f t="shared" si="2"/>
        <v>0</v>
      </c>
      <c r="F50" s="315">
        <f t="shared" si="2"/>
        <v>0</v>
      </c>
      <c r="G50" s="315">
        <f t="shared" si="2"/>
        <v>8.9012260204934489E-3</v>
      </c>
      <c r="H50" s="315">
        <f t="shared" si="2"/>
        <v>0</v>
      </c>
      <c r="I50" s="315">
        <f t="shared" si="2"/>
        <v>0</v>
      </c>
      <c r="J50" s="315">
        <f t="shared" si="2"/>
        <v>0</v>
      </c>
      <c r="K50" s="315">
        <f t="shared" si="2"/>
        <v>0</v>
      </c>
      <c r="L50" s="315">
        <f t="shared" si="2"/>
        <v>0</v>
      </c>
      <c r="M50" s="315">
        <f t="shared" si="2"/>
        <v>5.1108868870973284E-4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1.421852422428212E-4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8.9012260204934489E-3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5.1108868870973284E-4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39.495900623005888</v>
      </c>
      <c r="C54" s="21">
        <f t="shared" ref="C54:P54" si="3">(C50)*10^9/3600</f>
        <v>0</v>
      </c>
      <c r="D54" s="21">
        <f t="shared" si="3"/>
        <v>0</v>
      </c>
      <c r="E54" s="21">
        <f t="shared" si="3"/>
        <v>0</v>
      </c>
      <c r="F54" s="21">
        <f t="shared" si="3"/>
        <v>0</v>
      </c>
      <c r="G54" s="21">
        <f t="shared" si="3"/>
        <v>2472.5627834704028</v>
      </c>
      <c r="H54" s="21">
        <f t="shared" si="3"/>
        <v>0</v>
      </c>
      <c r="I54" s="21">
        <f t="shared" si="3"/>
        <v>0</v>
      </c>
      <c r="J54" s="21">
        <f t="shared" si="3"/>
        <v>0</v>
      </c>
      <c r="K54" s="21">
        <f t="shared" si="3"/>
        <v>0</v>
      </c>
      <c r="L54" s="21">
        <f t="shared" si="3"/>
        <v>0</v>
      </c>
      <c r="M54" s="21">
        <f t="shared" si="3"/>
        <v>141.969080197148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0.19235500325496255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7.5972340928959747</v>
      </c>
      <c r="C58" s="23">
        <f t="shared" ref="C58:P58" ca="1" si="4">C54*C56</f>
        <v>0</v>
      </c>
      <c r="D58" s="23">
        <f t="shared" si="4"/>
        <v>0</v>
      </c>
      <c r="E58" s="23">
        <f t="shared" si="4"/>
        <v>0</v>
      </c>
      <c r="F58" s="23">
        <f t="shared" si="4"/>
        <v>0</v>
      </c>
      <c r="G58" s="23">
        <f t="shared" si="4"/>
        <v>660.17426318659761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5833.9731130387272</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5833.9731130387272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2021-11-11T12:14:28Z</dcterms:modified>
</cp:coreProperties>
</file>