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34E26BF-F527-4BDF-80C5-285B9890DF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<sst xmlns="http://schemas.openxmlformats.org/spreadsheetml/2006/main" count="2417" uniqueCount="868">
  <si>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</si>
  <si>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</si>
  <si>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</si>
  <si>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</si>
  <si>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</si>
  <si>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</si>
  <si>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</si>
  <si>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</si>
  <si>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</si>
  <si>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</si>
  <si>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</si>
  <si>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</si>
  <si>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</si>
  <si>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</si>
  <si>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</si>
  <si>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</si>
  <si>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</si>
  <si>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</si>
  <si>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</si>
  <si>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</si>
  <si>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</si>
  <si>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</si>
  <si>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</si>
  <si>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</si>
  <si>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</si>
  <si>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</si>
  <si>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</si>
  <si>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</si>
  <si>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</si>
  <si>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</si>
  <si>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</si>
  <si>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</si>
  <si>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</si>
  <si>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</si>
  <si>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</si>
  <si>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</si>
  <si>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</si>
  <si>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</si>
  <si>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</si>
  <si>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</si>
  <si>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</si>
  <si>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</si>
  <si>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</si>
  <si>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</si>
  <si>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</si>
  <si>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</si>
  <si>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</si>
  <si>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</si>
  <si>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</si>
  <si>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</si>
  <si>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</si>
  <si>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</si>
  <si>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</si>
  <si>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</si>
  <si>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</si>
  <si>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</si>
  <si>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</si>
  <si>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</si>
  <si>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</si>
  <si>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</si>
  <si>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</si>
  <si>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</si>
  <si>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</si>
  <si>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</si>
  <si>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</si>
  <si>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</si>
  <si>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</si>
  <si>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</si>
  <si>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</si>
  <si>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</si>
  <si>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</si>
  <si>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</si>
  <si>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</si>
  <si>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</si>
  <si>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</si>
  <si>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</si>
  <si>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</si>
  <si>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</si>
  <si>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</si>
  <si>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</si>
  <si>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</si>
  <si>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</si>
  <si>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</si>
  <si>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</si>
  <si>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</si>
  <si>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</si>
  <si>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</si>
  <si>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</si>
  <si>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</si>
  <si>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</si>
  <si>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</si>
  <si>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</si>
  <si>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</si>
  <si>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</si>
  <si>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</si>
  <si>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</si>
  <si>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</si>
  <si>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</si>
  <si>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</si>
  <si>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</si>
  <si>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</si>
  <si>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</si>
  <si>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</si>
  <si>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</si>
  <si>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</si>
  <si>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</si>
  <si>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</si>
  <si>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</si>
  <si>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</si>
  <si>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</si>
  <si>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</si>
  <si>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</si>
  <si>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</si>
  <si>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</si>
  <si>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</si>
  <si>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</si>
  <si>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</si>
  <si>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</si>
  <si>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</si>
  <si>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</si>
  <si>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</si>
  <si>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</si>
  <si>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</si>
  <si>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</si>
  <si>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</si>
  <si>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</si>
  <si>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</si>
  <si>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</si>
  <si>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</si>
  <si>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</si>
  <si>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</si>
  <si>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</si>
  <si>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</si>
  <si>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</si>
  <si>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</si>
  <si>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</si>
  <si>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</si>
  <si>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</si>
  <si>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</si>
  <si>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</si>
  <si>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</si>
  <si>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</si>
  <si>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</si>
  <si>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</si>
  <si>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</si>
  <si>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</si>
  <si>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</si>
  <si>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</si>
  <si>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</si>
  <si>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</si>
  <si>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</si>
  <si>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</si>
  <si>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</si>
  <si>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</si>
  <si>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</si>
  <si>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</si>
  <si>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</si>
  <si>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</si>
  <si>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</si>
  <si>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</si>
  <si>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</si>
  <si>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</si>
  <si>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</si>
  <si>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</si>
  <si>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</si>
  <si>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</si>
  <si>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</si>
  <si>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</si>
  <si>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</si>
  <si>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</si>
  <si>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</si>
  <si>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</si>
  <si>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</si>
  <si>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</si>
  <si>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</si>
  <si>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</si>
  <si>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</si>
  <si>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</si>
  <si>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</si>
  <si>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</si>
  <si>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</si>
  <si>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</si>
  <si>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</si>
  <si>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</si>
  <si>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</si>
  <si>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</si>
  <si>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</si>
  <si>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</si>
  <si>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</si>
  <si>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</si>
  <si>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</si>
  <si>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</si>
  <si>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</si>
  <si>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</si>
  <si>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</si>
  <si>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</si>
  <si>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</si>
  <si>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</si>
  <si>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</si>
  <si>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</si>
  <si>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</si>
  <si>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</si>
  <si>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</si>
  <si>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</si>
  <si>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</si>
  <si>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</si>
  <si>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</si>
  <si>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</si>
  <si>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</si>
  <si>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</si>
  <si>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</si>
  <si>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</si>
  <si>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</si>
  <si>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</si>
  <si>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</si>
  <si>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</si>
  <si>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</si>
  <si>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</si>
  <si>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</si>
  <si>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</si>
  <si>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</si>
  <si>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</si>
  <si>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</si>
  <si>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</si>
  <si>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</si>
  <si>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</si>
  <si>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</si>
  <si>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</si>
  <si>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</si>
  <si>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</si>
  <si>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</si>
  <si>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</si>
  <si>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</si>
  <si>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</si>
  <si>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</si>
  <si>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</si>
  <si>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</si>
  <si>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</si>
  <si>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</si>
  <si>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</si>
  <si>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</si>
  <si>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</si>
  <si>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</si>
  <si>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</si>
  <si>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</si>
  <si>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</si>
  <si>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</si>
  <si>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</si>
  <si>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</si>
  <si>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</si>
  <si>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</si>
  <si>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</si>
  <si>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</si>
  <si>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</si>
  <si>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</si>
  <si>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</si>
  <si>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</si>
  <si>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</si>
  <si>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</si>
  <si>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</si>
  <si>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</si>
  <si>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</si>
  <si>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</si>
  <si>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</si>
  <si>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</si>
  <si>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</si>
  <si>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</si>
  <si>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</si>
  <si>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</si>
  <si>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</si>
  <si>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</si>
  <si>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</si>
  <si>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</si>
  <si>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</si>
  <si>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</si>
  <si>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</si>
  <si>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</si>
  <si>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</si>
  <si>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</si>
  <si>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</si>
  <si>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</si>
  <si>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</si>
  <si>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</si>
  <si>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</si>
  <si>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</si>
  <si>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</si>
  <si>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</si>
  <si>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</si>
  <si>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</si>
  <si>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</si>
  <si>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</si>
  <si>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</si>
  <si>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</si>
  <si>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</si>
  <si>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</si>
  <si>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</si>
  <si>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</si>
  <si>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</si>
  <si>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</si>
  <si>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</si>
  <si>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</si>
  <si>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</si>
  <si>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</si>
  <si>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</si>
  <si>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</si>
  <si>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</si>
  <si>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</si>
  <si>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</si>
  <si>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</si>
  <si>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</si>
  <si>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</si>
  <si>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</si>
  <si>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</si>
  <si>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</si>
  <si>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</si>
  <si>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</si>
  <si>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</si>
  <si>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</si>
  <si>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</si>
  <si>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</si>
  <si>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</si>
  <si>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</si>
  <si>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</si>
  <si>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</si>
  <si>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</si>
  <si>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</si>
  <si>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</si>
  <si>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</si>
  <si>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</si>
  <si>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</si>
  <si>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</si>
  <si>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</si>
  <si>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</si>
  <si>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</si>
  <si>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</si>
  <si>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</si>
  <si>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</si>
  <si>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</si>
  <si>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</si>
  <si>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</si>
  <si>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</si>
  <si>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</si>
  <si>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</si>
  <si>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</si>
  <si>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</si>
  <si>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</si>
  <si>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</si>
  <si>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</si>
  <si>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</si>
  <si>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</si>
  <si>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</si>
  <si>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</si>
  <si>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</si>
  <si>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</si>
  <si>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</si>
  <si>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</si>
  <si>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</si>
  <si>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</si>
  <si>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</si>
  <si>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</si>
  <si>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</si>
  <si>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</si>
  <si>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</si>
  <si>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</si>
  <si>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</si>
  <si>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</si>
  <si>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</si>
  <si>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</si>
  <si>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</si>
  <si>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</si>
  <si>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</si>
  <si>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</si>
  <si>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</si>
  <si>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</si>
  <si>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</si>
  <si>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</si>
  <si>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</si>
  <si>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</si>
  <si>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</si>
  <si>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</si>
  <si>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</si>
  <si>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</si>
  <si>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</si>
  <si>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</si>
  <si>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</si>
  <si>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</si>
  <si>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</si>
  <si>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</si>
  <si>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</si>
  <si>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</si>
  <si>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</si>
  <si>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</si>
  <si>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</si>
  <si>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</si>
  <si>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</si>
  <si>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</si>
  <si>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</si>
  <si>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</si>
  <si>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</si>
  <si>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</si>
  <si>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</si>
  <si>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</si>
  <si>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</si>
  <si>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</si>
  <si>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</si>
  <si>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</si>
  <si>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</si>
  <si>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</si>
  <si>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</si>
  <si>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</si>
  <si>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</si>
  <si>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</si>
  <si>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</si>
  <si>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</si>
  <si>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</si>
  <si>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</si>
  <si>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</si>
  <si>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</si>
  <si>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</si>
  <si>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</si>
  <si>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</si>
  <si>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</si>
  <si>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</si>
  <si>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</si>
  <si>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</si>
  <si>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</si>
  <si>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</si>
  <si>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</si>
  <si>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</si>
  <si>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</si>
  <si>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</si>
  <si>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</si>
  <si>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</si>
  <si>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</si>
  <si>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</si>
  <si>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</si>
  <si>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</si>
  <si>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</si>
  <si>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</si>
  <si>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</si>
  <si>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</si>
  <si>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</si>
  <si>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</si>
  <si>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</si>
  <si>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</si>
  <si>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</si>
  <si>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</si>
  <si>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</si>
  <si>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</si>
  <si>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</si>
  <si>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</si>
  <si>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</si>
  <si>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</si>
  <si>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</si>
  <si>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</si>
  <si>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</si>
  <si>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</si>
  <si>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</si>
  <si>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</si>
  <si>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</si>
  <si>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</si>
  <si>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</si>
  <si>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</si>
  <si>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</si>
  <si>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</si>
  <si>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</si>
  <si>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</si>
  <si>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</si>
  <si>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</si>
  <si>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</si>
  <si>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</si>
  <si>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</si>
  <si>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</si>
  <si>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</si>
  <si>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</si>
  <si>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</si>
  <si>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</si>
  <si>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</si>
  <si>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</si>
  <si>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</si>
  <si>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</si>
  <si>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</si>
  <si>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</si>
  <si>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</si>
  <si>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</si>
  <si>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</si>
  <si>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</si>
  <si>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</si>
  <si>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</si>
  <si>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</si>
  <si>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</si>
  <si>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</si>
  <si>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</si>
  <si>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</si>
  <si>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</si>
  <si>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</si>
  <si>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</si>
  <si>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</si>
  <si>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</si>
  <si>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</si>
  <si>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</si>
  <si>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</si>
  <si>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</si>
  <si>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</si>
  <si>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</si>
  <si>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</si>
  <si>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</si>
  <si>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</si>
  <si>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</si>
  <si>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</si>
  <si>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</si>
  <si>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</si>
  <si>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</si>
  <si>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</si>
  <si>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</si>
  <si>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</si>
  <si>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</si>
  <si>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</si>
  <si>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</si>
  <si>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</si>
  <si>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</si>
  <si>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</si>
  <si>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</si>
  <si>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</si>
  <si>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</si>
  <si>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</si>
  <si>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</si>
  <si>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</si>
  <si>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</si>
  <si>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</si>
  <si>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</si>
  <si>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</si>
  <si>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</si>
  <si>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</si>
  <si>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</si>
  <si>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</si>
  <si>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</si>
  <si>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</si>
  <si>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</si>
  <si>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</si>
  <si>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</si>
  <si>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</si>
  <si>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</si>
  <si>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</si>
  <si>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</si>
  <si>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</si>
  <si>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</si>
  <si>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</si>
  <si>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</si>
  <si>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</si>
  <si>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</si>
  <si>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</si>
  <si>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</si>
  <si>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</si>
  <si>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</si>
  <si>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</si>
  <si>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</si>
  <si>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</si>
  <si>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</si>
  <si>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</si>
  <si>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</si>
  <si>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</si>
  <si>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</si>
  <si>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</si>
  <si>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</si>
  <si>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</si>
  <si>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</si>
  <si>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</si>
  <si>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</si>
  <si>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</si>
  <si>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</si>
  <si>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</si>
  <si>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</si>
  <si>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</si>
  <si>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</si>
  <si>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</si>
  <si>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</si>
  <si>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</si>
  <si>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</si>
  <si>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</si>
  <si>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</si>
  <si>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</si>
  <si>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</si>
  <si>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</si>
  <si>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</si>
  <si>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</si>
  <si>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</si>
  <si>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</si>
  <si>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</si>
  <si>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</si>
  <si>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</si>
  <si>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</si>
  <si>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</si>
  <si>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</si>
  <si>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</si>
  <si>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</si>
  <si>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</si>
  <si>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</si>
  <si>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</si>
  <si>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</si>
  <si>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</si>
  <si>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</si>
  <si>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</si>
  <si>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</si>
  <si>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</si>
  <si>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</si>
  <si>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</si>
  <si>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</si>
  <si>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</si>
  <si>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</si>
  <si>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</si>
  <si>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</si>
  <si>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</si>
  <si>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</si>
  <si>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</si>
  <si>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</si>
  <si>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</si>
  <si>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</si>
  <si>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</si>
  <si>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</si>
  <si>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</si>
  <si>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</si>
  <si>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</si>
  <si>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</si>
  <si>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</si>
  <si>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</si>
  <si>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</si>
  <si>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</si>
  <si>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</si>
  <si>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</si>
  <si>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</si>
  <si>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</si>
  <si>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</si>
  <si>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</si>
  <si>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</si>
  <si>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</si>
  <si>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</si>
  <si>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</si>
  <si>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</si>
  <si>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</si>
  <si>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</si>
  <si>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</si>
  <si>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</si>
  <si>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</si>
  <si>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</si>
  <si>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</si>
  <si>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</si>
  <si>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</si>
  <si>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</si>
  <si>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</si>
  <si>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</si>
  <si>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</si>
  <si>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</si>
  <si>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</si>
  <si>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</si>
  <si>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</si>
  <si>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</si>
  <si>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</si>
  <si>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</si>
  <si>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</si>
  <si>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</si>
  <si>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</si>
  <si>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</si>
  <si>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</si>
  <si>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</si>
  <si>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</si>
  <si>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</si>
  <si>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</si>
  <si>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</si>
  <si>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</si>
  <si>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</si>
  <si>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</si>
  <si>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</si>
  <si>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</si>
  <si>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</si>
  <si>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</si>
  <si>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</si>
  <si>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</si>
  <si>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</si>
  <si>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</si>
  <si>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</si>
  <si>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</si>
  <si>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</si>
  <si>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</si>
  <si>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</si>
  <si>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</si>
  <si>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</si>
  <si>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</si>
  <si>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</si>
  <si>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</si>
  <si>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</si>
  <si>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</si>
  <si>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</si>
  <si>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</si>
  <si>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</si>
  <si>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</si>
  <si>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</si>
  <si>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</si>
  <si>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</si>
  <si>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</si>
  <si>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</si>
  <si>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</si>
  <si>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</si>
  <si>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</si>
  <si>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</si>
  <si>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</si>
  <si>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</si>
  <si>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</si>
  <si>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</si>
  <si>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</si>
  <si>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</si>
  <si>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</si>
  <si>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</si>
  <si>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</si>
  <si>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</si>
  <si>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</si>
  <si>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</si>
  <si>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</si>
  <si>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</si>
  <si>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</si>
  <si>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</si>
  <si>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</si>
  <si>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</si>
  <si>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</si>
  <si>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</si>
  <si>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</si>
  <si>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</si>
  <si>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</si>
  <si>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</si>
  <si>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</si>
  <si>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</si>
  <si>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</si>
  <si>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</si>
  <si>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</si>
  <si>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</si>
  <si>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</si>
  <si>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</si>
  <si>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</si>
  <si>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</si>
  <si>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</si>
  <si>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</si>
  <si>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</si>
  <si>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</si>
  <si>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</si>
  <si>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</si>
  <si>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</si>
  <si>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</si>
  <si>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</si>
  <si>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</si>
  <si>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</si>
  <si>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</si>
  <si>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</si>
  <si>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</si>
  <si>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</si>
  <si>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</si>
  <si>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</si>
  <si>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</si>
  <si>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</si>
  <si>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</si>
  <si>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</si>
  <si>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</si>
  <si>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</si>
  <si>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</si>
  <si>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</si>
  <si>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</si>
  <si>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</si>
  <si>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</si>
  <si>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</si>
  <si>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</si>
  <si>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</si>
  <si>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</si>
  <si>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</si>
  <si>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</si>
  <si>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</si>
  <si>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</si>
  <si>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</si>
  <si>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</si>
  <si>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</si>
  <si>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</si>
  <si>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</si>
  <si>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</si>
  <si>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</si>
  <si>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</si>
  <si>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</si>
  <si>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</si>
  <si>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</si>
  <si>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</si>
  <si>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</si>
  <si>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</si>
  <si>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</si>
  <si>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</si>
  <si>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</si>
  <si>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</si>
  <si>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</si>
  <si>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</si>
  <si>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</si>
  <si>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</si>
  <si>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</si>
  <si>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</si>
  <si>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</si>
  <si>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</si>
  <si>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</si>
  <si>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</si>
  <si>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</si>
  <si>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</si>
  <si>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</si>
  <si>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</si>
  <si>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</si>
  <si>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</si>
  <si>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</si>
  <si>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</si>
  <si>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</si>
  <si>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</si>
  <si>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</si>
  <si>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</si>
  <si>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</si>
  <si>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</si>
  <si>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</si>
  <si>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</si>
  <si>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</si>
  <si>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</si>
  <si>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</si>
  <si>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</si>
  <si>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</si>
  <si>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</si>
  <si>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</si>
  <si>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</si>
  <si>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</si>
  <si>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</si>
  <si>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</si>
  <si>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</si>
  <si>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</si>
  <si>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</si>
  <si>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</si>
  <si>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</si>
  <si>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</si>
  <si>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</si>
  <si>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</si>
  <si>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</si>
  <si>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</si>
  <si>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</si>
  <si>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</si>
  <si>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</si>
  <si>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</si>
  <si>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</si>
  <si>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</si>
  <si>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</si>
  <si>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</si>
  <si>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</si>
  <si>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</si>
  <si>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</si>
  <si>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</si>
  <si>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</si>
  <si>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</si>
  <si>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</si>
  <si>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</si>
  <si>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</si>
  <si>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</si>
  <si>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</si>
  <si>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</si>
  <si>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</si>
  <si>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</si>
  <si>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</si>
  <si>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</si>
  <si>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23025</t>
  </si>
  <si>
    <t>GRIMBERGEN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</si>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</sst>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A14027D-1CB9-482E-8B09-AA99ACA0191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302179.75489282561</c:v>
                </c:pt>
                <c:pt idx="1">
                  <c:v>147813.23544791908</c:v>
                </c:pt>
                <c:pt idx="2">
                  <c:v>3067.5529999999999</c:v>
                </c:pt>
                <c:pt idx="3">
                  <c:v>2005.471260654396</c:v>
                </c:pt>
                <c:pt idx="4">
                  <c:v>47590.011856598299</c:v>
                </c:pt>
                <c:pt idx="5">
                  <c:v>376182.08015377924</c:v>
                </c:pt>
                <c:pt idx="6">
                  <c:v>4475.8629049346391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302179.75489282561</c:v>
                </c:pt>
                <c:pt idx="1">
                  <c:v>147813.23544791908</c:v>
                </c:pt>
                <c:pt idx="2">
                  <c:v>3067.5529999999999</c:v>
                </c:pt>
                <c:pt idx="3">
                  <c:v>2005.471260654396</c:v>
                </c:pt>
                <c:pt idx="4">
                  <c:v>47590.011856598299</c:v>
                </c:pt>
                <c:pt idx="5">
                  <c:v>376182.08015377924</c:v>
                </c:pt>
                <c:pt idx="6">
                  <c:v>4475.8629049346391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61414.024737710075</c:v>
                </c:pt>
                <c:pt idx="1">
                  <c:v>30008.381719226014</c:v>
                </c:pt>
                <c:pt idx="2">
                  <c:v>620.66083869759154</c:v>
                </c:pt>
                <c:pt idx="3">
                  <c:v>504.85700383427786</c:v>
                </c:pt>
                <c:pt idx="4">
                  <c:v>9426.5728947372991</c:v>
                </c:pt>
                <c:pt idx="5">
                  <c:v>93280.358646129316</c:v>
                </c:pt>
                <c:pt idx="6">
                  <c:v>1126.822122923676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61414.024737710075</c:v>
                </c:pt>
                <c:pt idx="1">
                  <c:v>30008.381719226014</c:v>
                </c:pt>
                <c:pt idx="2">
                  <c:v>620.66083869759154</c:v>
                </c:pt>
                <c:pt idx="3">
                  <c:v>504.85700383427786</c:v>
                </c:pt>
                <c:pt idx="4">
                  <c:v>9426.5728947372991</c:v>
                </c:pt>
                <c:pt idx="5">
                  <c:v>93280.358646129316</c:v>
                </c:pt>
                <c:pt idx="6">
                  <c:v>1126.822122923676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23025</v>
      </c>
      <c r="B6" s="384"/>
      <c r="C6" s="385"/>
    </row>
    <row r="7" spans="1:7" s="382" customFormat="1" ht="15.75" customHeight="1">
      <c r="A7" s="386" t="str">
        <f>txtMunicipality</f>
        <v>GRIMBERGEN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68108.894141908473</v>
      </c>
      <c r="D10" s="681">
        <f ca="1">tertiair!C16</f>
        <v>0</v>
      </c>
      <c r="E10" s="681">
        <f ca="1">tertiair!D16</f>
        <v>64870.408215445146</v>
      </c>
      <c r="F10" s="681">
        <f>tertiair!E16</f>
        <v>328.22787282876283</v>
      </c>
      <c r="G10" s="681">
        <f ca="1">tertiair!F16</f>
        <v>13745.854394052403</v>
      </c>
      <c r="H10" s="681">
        <f>tertiair!G16</f>
        <v>0</v>
      </c>
      <c r="I10" s="681">
        <f>tertiair!H16</f>
        <v>0</v>
      </c>
      <c r="J10" s="681">
        <f>tertiair!I16</f>
        <v>0</v>
      </c>
      <c r="K10" s="681">
        <f>tertiair!J16</f>
        <v>9.5014644880760987E-2</v>
      </c>
      <c r="L10" s="681">
        <f>tertiair!K16</f>
        <v>0</v>
      </c>
      <c r="M10" s="681">
        <f ca="1">tertiair!L16</f>
        <v>0</v>
      </c>
      <c r="N10" s="681">
        <f>tertiair!M16</f>
        <v>0</v>
      </c>
      <c r="O10" s="681">
        <f ca="1">tertiair!N16</f>
        <v>3659.8968725882478</v>
      </c>
      <c r="P10" s="681">
        <f>tertiair!O16</f>
        <v>9.7945215316823084</v>
      </c>
      <c r="Q10" s="682">
        <f>tertiair!P16</f>
        <v>157.61741491948504</v>
      </c>
      <c r="R10" s="684">
        <f ca="1">SUM(C10:Q10)</f>
        <v>150880.78844791907</v>
      </c>
      <c r="S10" s="67"/>
    </row>
    <row r="11" spans="1:19" s="443" customFormat="1">
      <c r="A11" s="802" t="s">
        <v>214</v>
      </c>
      <c r="B11" s="807"/>
      <c r="C11" s="681">
        <f>huishoudens!B8</f>
        <v>56959.872978983425</v>
      </c>
      <c r="D11" s="681">
        <f>huishoudens!C8</f>
        <v>0</v>
      </c>
      <c r="E11" s="681">
        <f>huishoudens!D8</f>
        <v>149569.94717952632</v>
      </c>
      <c r="F11" s="681">
        <f>huishoudens!E8</f>
        <v>3214.9209431706622</v>
      </c>
      <c r="G11" s="681">
        <f>huishoudens!F8</f>
        <v>70428.00409400338</v>
      </c>
      <c r="H11" s="681">
        <f>huishoudens!G8</f>
        <v>0</v>
      </c>
      <c r="I11" s="681">
        <f>huishoudens!H8</f>
        <v>0</v>
      </c>
      <c r="J11" s="681">
        <f>huishoudens!I8</f>
        <v>0</v>
      </c>
      <c r="K11" s="681">
        <f>huishoudens!J8</f>
        <v>401.37689830721882</v>
      </c>
      <c r="L11" s="681">
        <f>huishoudens!K8</f>
        <v>0</v>
      </c>
      <c r="M11" s="681">
        <f>huishoudens!L8</f>
        <v>0</v>
      </c>
      <c r="N11" s="681">
        <f>huishoudens!M8</f>
        <v>0</v>
      </c>
      <c r="O11" s="681">
        <f>huishoudens!N8</f>
        <v>20224.600854692995</v>
      </c>
      <c r="P11" s="681">
        <f>huishoudens!O8</f>
        <v>390.83976921924528</v>
      </c>
      <c r="Q11" s="682">
        <f>huishoudens!P8</f>
        <v>990.19217492239204</v>
      </c>
      <c r="R11" s="684">
        <f>SUM(C11:Q11)</f>
        <v>302179.75489282561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7956.2390319625392</v>
      </c>
      <c r="D13" s="681">
        <f>industrie!C18</f>
        <v>0</v>
      </c>
      <c r="E13" s="681">
        <f>industrie!D18</f>
        <v>36522.167150820314</v>
      </c>
      <c r="F13" s="681">
        <f>industrie!E18</f>
        <v>70.158183340612467</v>
      </c>
      <c r="G13" s="681">
        <f>industrie!F18</f>
        <v>1465.6602541895543</v>
      </c>
      <c r="H13" s="681">
        <f>industrie!G18</f>
        <v>0</v>
      </c>
      <c r="I13" s="681">
        <f>industrie!H18</f>
        <v>0</v>
      </c>
      <c r="J13" s="681">
        <f>industrie!I18</f>
        <v>0</v>
      </c>
      <c r="K13" s="681">
        <f>industrie!J18</f>
        <v>90.521821663888304</v>
      </c>
      <c r="L13" s="681">
        <f>industrie!K18</f>
        <v>0</v>
      </c>
      <c r="M13" s="681">
        <f>industrie!L18</f>
        <v>0</v>
      </c>
      <c r="N13" s="681">
        <f>industrie!M18</f>
        <v>0</v>
      </c>
      <c r="O13" s="681">
        <f>industrie!N18</f>
        <v>1485.2654146213936</v>
      </c>
      <c r="P13" s="681">
        <f>industrie!O18</f>
        <v>0</v>
      </c>
      <c r="Q13" s="682">
        <f>industrie!P18</f>
        <v>0</v>
      </c>
      <c r="R13" s="684">
        <f>SUM(C13:Q13)</f>
        <v>47590.011856598299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133025.00615285442</v>
      </c>
      <c r="D16" s="717">
        <f t="shared" ref="D16:R16" ca="1" si="0">SUM(D9:D15)</f>
        <v>0</v>
      </c>
      <c r="E16" s="717">
        <f t="shared" ca="1" si="0"/>
        <v>250962.52254579178</v>
      </c>
      <c r="F16" s="717">
        <f t="shared" si="0"/>
        <v>3613.3069993400377</v>
      </c>
      <c r="G16" s="717">
        <f t="shared" ca="1" si="0"/>
        <v>85639.518742245345</v>
      </c>
      <c r="H16" s="717">
        <f t="shared" si="0"/>
        <v>0</v>
      </c>
      <c r="I16" s="717">
        <f t="shared" si="0"/>
        <v>0</v>
      </c>
      <c r="J16" s="717">
        <f t="shared" si="0"/>
        <v>0</v>
      </c>
      <c r="K16" s="717">
        <f t="shared" si="0"/>
        <v>491.99373461598788</v>
      </c>
      <c r="L16" s="717">
        <f t="shared" si="0"/>
        <v>0</v>
      </c>
      <c r="M16" s="717">
        <f t="shared" ca="1" si="0"/>
        <v>0</v>
      </c>
      <c r="N16" s="717">
        <f t="shared" si="0"/>
        <v>0</v>
      </c>
      <c r="O16" s="717">
        <f t="shared" ca="1" si="0"/>
        <v>25369.763141902637</v>
      </c>
      <c r="P16" s="717">
        <f t="shared" si="0"/>
        <v>400.63429075092762</v>
      </c>
      <c r="Q16" s="717">
        <f t="shared" si="0"/>
        <v>1147.8095898418771</v>
      </c>
      <c r="R16" s="717">
        <f t="shared" ca="1" si="0"/>
        <v>500650.555197343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66.607530966335332</v>
      </c>
      <c r="D19" s="681">
        <f>transport!C54</f>
        <v>0</v>
      </c>
      <c r="E19" s="681">
        <f>transport!D54</f>
        <v>0</v>
      </c>
      <c r="F19" s="681">
        <f>transport!E54</f>
        <v>0</v>
      </c>
      <c r="G19" s="681">
        <f>transport!F54</f>
        <v>0</v>
      </c>
      <c r="H19" s="681">
        <f>transport!G54</f>
        <v>4169.8328071618243</v>
      </c>
      <c r="I19" s="681">
        <f>transport!H54</f>
        <v>0</v>
      </c>
      <c r="J19" s="681">
        <f>transport!I54</f>
        <v>0</v>
      </c>
      <c r="K19" s="681">
        <f>transport!J54</f>
        <v>0</v>
      </c>
      <c r="L19" s="681">
        <f>transport!K54</f>
        <v>0</v>
      </c>
      <c r="M19" s="681">
        <f>transport!L54</f>
        <v>0</v>
      </c>
      <c r="N19" s="681">
        <f>transport!M54</f>
        <v>239.42256680647887</v>
      </c>
      <c r="O19" s="681">
        <f>transport!N54</f>
        <v>0</v>
      </c>
      <c r="P19" s="681">
        <f>transport!O54</f>
        <v>0</v>
      </c>
      <c r="Q19" s="682">
        <f>transport!P54</f>
        <v>0</v>
      </c>
      <c r="R19" s="684">
        <f>SUM(C19:Q19)</f>
        <v>4475.8629049346391</v>
      </c>
      <c r="S19" s="67"/>
    </row>
    <row r="20" spans="1:19" s="443" customFormat="1">
      <c r="A20" s="802" t="s">
        <v>296</v>
      </c>
      <c r="B20" s="807"/>
      <c r="C20" s="681">
        <f>transport!B14</f>
        <v>912.87779506215338</v>
      </c>
      <c r="D20" s="681">
        <f>transport!C14</f>
        <v>0</v>
      </c>
      <c r="E20" s="681">
        <f>transport!D14</f>
        <v>1455.3583289437186</v>
      </c>
      <c r="F20" s="681">
        <f>transport!E14</f>
        <v>648.1391201065843</v>
      </c>
      <c r="G20" s="681">
        <f>transport!F14</f>
        <v>0</v>
      </c>
      <c r="H20" s="681">
        <f>transport!G14</f>
        <v>278588.37977319316</v>
      </c>
      <c r="I20" s="681">
        <f>transport!H14</f>
        <v>73379.30873284844</v>
      </c>
      <c r="J20" s="681">
        <f>transport!I14</f>
        <v>0</v>
      </c>
      <c r="K20" s="681">
        <f>transport!J14</f>
        <v>0</v>
      </c>
      <c r="L20" s="681">
        <f>transport!K14</f>
        <v>0</v>
      </c>
      <c r="M20" s="681">
        <f>transport!L14</f>
        <v>0</v>
      </c>
      <c r="N20" s="681">
        <f>transport!M14</f>
        <v>21198.01640362521</v>
      </c>
      <c r="O20" s="681">
        <f>transport!N14</f>
        <v>0</v>
      </c>
      <c r="P20" s="681">
        <f>transport!O14</f>
        <v>0</v>
      </c>
      <c r="Q20" s="682">
        <f>transport!P14</f>
        <v>0</v>
      </c>
      <c r="R20" s="684">
        <f>SUM(C20:Q20)</f>
        <v>376182.08015377924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979.48532602848877</v>
      </c>
      <c r="D22" s="805">
        <f t="shared" ref="D22:R22" si="1">SUM(D18:D21)</f>
        <v>0</v>
      </c>
      <c r="E22" s="805">
        <f t="shared" si="1"/>
        <v>1455.3583289437186</v>
      </c>
      <c r="F22" s="805">
        <f t="shared" si="1"/>
        <v>648.1391201065843</v>
      </c>
      <c r="G22" s="805">
        <f t="shared" si="1"/>
        <v>0</v>
      </c>
      <c r="H22" s="805">
        <f t="shared" si="1"/>
        <v>282758.212580355</v>
      </c>
      <c r="I22" s="805">
        <f t="shared" si="1"/>
        <v>73379.30873284844</v>
      </c>
      <c r="J22" s="805">
        <f t="shared" si="1"/>
        <v>0</v>
      </c>
      <c r="K22" s="805">
        <f t="shared" si="1"/>
        <v>0</v>
      </c>
      <c r="L22" s="805">
        <f t="shared" si="1"/>
        <v>0</v>
      </c>
      <c r="M22" s="805">
        <f t="shared" si="1"/>
        <v>0</v>
      </c>
      <c r="N22" s="805">
        <f t="shared" si="1"/>
        <v>21437.438970431689</v>
      </c>
      <c r="O22" s="805">
        <f t="shared" si="1"/>
        <v>0</v>
      </c>
      <c r="P22" s="805">
        <f t="shared" si="1"/>
        <v>0</v>
      </c>
      <c r="Q22" s="805">
        <f t="shared" si="1"/>
        <v>0</v>
      </c>
      <c r="R22" s="805">
        <f t="shared" si="1"/>
        <v>380657.94305871386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406.40011246482703</v>
      </c>
      <c r="D24" s="681">
        <f>+landbouw!C8</f>
        <v>0</v>
      </c>
      <c r="E24" s="681">
        <f>+landbouw!D8</f>
        <v>197.64354967219333</v>
      </c>
      <c r="F24" s="681">
        <f>+landbouw!E8</f>
        <v>11.639986975896729</v>
      </c>
      <c r="G24" s="681">
        <f>+landbouw!F8</f>
        <v>1286.4528248773127</v>
      </c>
      <c r="H24" s="681">
        <f>+landbouw!G8</f>
        <v>0</v>
      </c>
      <c r="I24" s="681">
        <f>+landbouw!H8</f>
        <v>0</v>
      </c>
      <c r="J24" s="681">
        <f>+landbouw!I8</f>
        <v>0</v>
      </c>
      <c r="K24" s="681">
        <f>+landbouw!J8</f>
        <v>103.33478666416632</v>
      </c>
      <c r="L24" s="681">
        <f>+landbouw!K8</f>
        <v>0</v>
      </c>
      <c r="M24" s="681">
        <f>+landbouw!L8</f>
        <v>0</v>
      </c>
      <c r="N24" s="681">
        <f>+landbouw!M8</f>
        <v>0</v>
      </c>
      <c r="O24" s="681">
        <f>+landbouw!N8</f>
        <v>0</v>
      </c>
      <c r="P24" s="681">
        <f>+landbouw!O8</f>
        <v>0</v>
      </c>
      <c r="Q24" s="682">
        <f>+landbouw!P8</f>
        <v>0</v>
      </c>
      <c r="R24" s="684">
        <f>SUM(C24:Q24)</f>
        <v>2005.471260654396</v>
      </c>
      <c r="S24" s="67"/>
    </row>
    <row r="25" spans="1:19" s="443" customFormat="1" ht="15" thickBot="1">
      <c r="A25" s="824" t="s">
        <v>690</v>
      </c>
      <c r="B25" s="937"/>
      <c r="C25" s="938">
        <f>IF(Onbekend_ele_kWh="---",0,Onbekend_ele_kWh)/1000+IF(REST_rest_ele_kWh="---",0,REST_rest_ele_kWh)/1000</f>
        <v>2392.16547651679</v>
      </c>
      <c r="D25" s="938"/>
      <c r="E25" s="938">
        <f>IF(onbekend_gas_kWh="---",0,onbekend_gas_kWh)/1000+IF(REST_rest_gas_kWh="---",0,REST_rest_gas_kWh)/1000</f>
        <v>11021.9757137753</v>
      </c>
      <c r="F25" s="938"/>
      <c r="G25" s="938"/>
      <c r="H25" s="938"/>
      <c r="I25" s="938"/>
      <c r="J25" s="938"/>
      <c r="K25" s="938"/>
      <c r="L25" s="938"/>
      <c r="M25" s="938"/>
      <c r="N25" s="938"/>
      <c r="O25" s="938"/>
      <c r="P25" s="938"/>
      <c r="Q25" s="939"/>
      <c r="R25" s="684">
        <f>SUM(C25:Q25)</f>
        <v>13414.14119029209</v>
      </c>
      <c r="S25" s="67"/>
    </row>
    <row r="26" spans="1:19" s="443" customFormat="1" ht="15.75" thickBot="1">
      <c r="A26" s="689" t="s">
        <v>691</v>
      </c>
      <c r="B26" s="810"/>
      <c r="C26" s="805">
        <f>SUM(C24:C25)</f>
        <v>2798.5655889816171</v>
      </c>
      <c r="D26" s="805">
        <f t="shared" ref="D26:R26" si="2">SUM(D24:D25)</f>
        <v>0</v>
      </c>
      <c r="E26" s="805">
        <f t="shared" si="2"/>
        <v>11219.619263447494</v>
      </c>
      <c r="F26" s="805">
        <f t="shared" si="2"/>
        <v>11.639986975896729</v>
      </c>
      <c r="G26" s="805">
        <f t="shared" si="2"/>
        <v>1286.4528248773127</v>
      </c>
      <c r="H26" s="805">
        <f t="shared" si="2"/>
        <v>0</v>
      </c>
      <c r="I26" s="805">
        <f t="shared" si="2"/>
        <v>0</v>
      </c>
      <c r="J26" s="805">
        <f t="shared" si="2"/>
        <v>0</v>
      </c>
      <c r="K26" s="805">
        <f t="shared" si="2"/>
        <v>103.33478666416632</v>
      </c>
      <c r="L26" s="805">
        <f t="shared" si="2"/>
        <v>0</v>
      </c>
      <c r="M26" s="805">
        <f t="shared" si="2"/>
        <v>0</v>
      </c>
      <c r="N26" s="805">
        <f t="shared" si="2"/>
        <v>0</v>
      </c>
      <c r="O26" s="805">
        <f t="shared" si="2"/>
        <v>0</v>
      </c>
      <c r="P26" s="805">
        <f t="shared" si="2"/>
        <v>0</v>
      </c>
      <c r="Q26" s="805">
        <f t="shared" si="2"/>
        <v>0</v>
      </c>
      <c r="R26" s="805">
        <f t="shared" si="2"/>
        <v>15419.612450946486</v>
      </c>
      <c r="S26" s="67"/>
    </row>
    <row r="27" spans="1:19" s="443" customFormat="1" ht="17.25" thickTop="1" thickBot="1">
      <c r="A27" s="690" t="s">
        <v>109</v>
      </c>
      <c r="B27" s="797"/>
      <c r="C27" s="691">
        <f ca="1">C22+C16+C26</f>
        <v>136803.05706786452</v>
      </c>
      <c r="D27" s="691">
        <f t="shared" ref="D27:R27" ca="1" si="3">D22+D16+D26</f>
        <v>0</v>
      </c>
      <c r="E27" s="691">
        <f t="shared" ca="1" si="3"/>
        <v>263637.50013818301</v>
      </c>
      <c r="F27" s="691">
        <f t="shared" si="3"/>
        <v>4273.0861064225192</v>
      </c>
      <c r="G27" s="691">
        <f t="shared" ca="1" si="3"/>
        <v>86925.971567122659</v>
      </c>
      <c r="H27" s="691">
        <f t="shared" si="3"/>
        <v>282758.212580355</v>
      </c>
      <c r="I27" s="691">
        <f t="shared" si="3"/>
        <v>73379.30873284844</v>
      </c>
      <c r="J27" s="691">
        <f t="shared" si="3"/>
        <v>0</v>
      </c>
      <c r="K27" s="691">
        <f t="shared" si="3"/>
        <v>595.32852128015418</v>
      </c>
      <c r="L27" s="691">
        <f t="shared" si="3"/>
        <v>0</v>
      </c>
      <c r="M27" s="691">
        <f t="shared" ca="1" si="3"/>
        <v>0</v>
      </c>
      <c r="N27" s="691">
        <f t="shared" si="3"/>
        <v>21437.438970431689</v>
      </c>
      <c r="O27" s="691">
        <f t="shared" ca="1" si="3"/>
        <v>25369.763141902637</v>
      </c>
      <c r="P27" s="691">
        <f t="shared" si="3"/>
        <v>400.63429075092762</v>
      </c>
      <c r="Q27" s="691">
        <f t="shared" si="3"/>
        <v>1147.8095898418771</v>
      </c>
      <c r="R27" s="691">
        <f t="shared" ca="1" si="3"/>
        <v>896728.11070700327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13780.535612875277</v>
      </c>
      <c r="D40" s="681">
        <f ca="1">tertiair!C20</f>
        <v>0</v>
      </c>
      <c r="E40" s="681">
        <f ca="1">tertiair!D20</f>
        <v>13103.822459519921</v>
      </c>
      <c r="F40" s="681">
        <f>tertiair!E20</f>
        <v>74.507727132129162</v>
      </c>
      <c r="G40" s="681">
        <f ca="1">tertiair!F20</f>
        <v>3670.1431232119917</v>
      </c>
      <c r="H40" s="681">
        <f>tertiair!G20</f>
        <v>0</v>
      </c>
      <c r="I40" s="681">
        <f>tertiair!H20</f>
        <v>0</v>
      </c>
      <c r="J40" s="681">
        <f>tertiair!I20</f>
        <v>0</v>
      </c>
      <c r="K40" s="681">
        <f>tertiair!J20</f>
        <v>3.3635184287789388E-2</v>
      </c>
      <c r="L40" s="681">
        <f>tertiair!K20</f>
        <v>0</v>
      </c>
      <c r="M40" s="681">
        <f ca="1">tertiair!L20</f>
        <v>0</v>
      </c>
      <c r="N40" s="681">
        <f>tertiair!M20</f>
        <v>0</v>
      </c>
      <c r="O40" s="681">
        <f ca="1">tertiair!N20</f>
        <v>0</v>
      </c>
      <c r="P40" s="681">
        <f>tertiair!O20</f>
        <v>0</v>
      </c>
      <c r="Q40" s="764">
        <f>tertiair!P20</f>
        <v>0</v>
      </c>
      <c r="R40" s="843">
        <f t="shared" ca="1" si="4"/>
        <v>30629.042557923603</v>
      </c>
    </row>
    <row r="41" spans="1:18">
      <c r="A41" s="815" t="s">
        <v>214</v>
      </c>
      <c r="B41" s="822"/>
      <c r="C41" s="681">
        <f ca="1">huishoudens!B12</f>
        <v>11524.743838246359</v>
      </c>
      <c r="D41" s="681">
        <f ca="1">huishoudens!C12</f>
        <v>0</v>
      </c>
      <c r="E41" s="681">
        <f>huishoudens!D12</f>
        <v>30213.129330264321</v>
      </c>
      <c r="F41" s="681">
        <f>huishoudens!E12</f>
        <v>729.78705409974032</v>
      </c>
      <c r="G41" s="681">
        <f>huishoudens!F12</f>
        <v>18804.277093098903</v>
      </c>
      <c r="H41" s="681">
        <f>huishoudens!G12</f>
        <v>0</v>
      </c>
      <c r="I41" s="681">
        <f>huishoudens!H12</f>
        <v>0</v>
      </c>
      <c r="J41" s="681">
        <f>huishoudens!I12</f>
        <v>0</v>
      </c>
      <c r="K41" s="681">
        <f>huishoudens!J12</f>
        <v>142.08742200075545</v>
      </c>
      <c r="L41" s="681">
        <f>huishoudens!K12</f>
        <v>0</v>
      </c>
      <c r="M41" s="681">
        <f>huishoudens!L12</f>
        <v>0</v>
      </c>
      <c r="N41" s="681">
        <f>huishoudens!M12</f>
        <v>0</v>
      </c>
      <c r="O41" s="681">
        <f>huishoudens!N12</f>
        <v>0</v>
      </c>
      <c r="P41" s="681">
        <f>huishoudens!O12</f>
        <v>0</v>
      </c>
      <c r="Q41" s="764">
        <f>huishoudens!P12</f>
        <v>0</v>
      </c>
      <c r="R41" s="843">
        <f t="shared" ca="1" si="4"/>
        <v>61414.024737710075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1609.7932099156506</v>
      </c>
      <c r="D43" s="681">
        <f ca="1">industrie!C22</f>
        <v>0</v>
      </c>
      <c r="E43" s="681">
        <f>industrie!D22</f>
        <v>7377.4777644657042</v>
      </c>
      <c r="F43" s="681">
        <f>industrie!E22</f>
        <v>15.92590761831903</v>
      </c>
      <c r="G43" s="681">
        <f>industrie!F22</f>
        <v>391.33128786861101</v>
      </c>
      <c r="H43" s="681">
        <f>industrie!G22</f>
        <v>0</v>
      </c>
      <c r="I43" s="681">
        <f>industrie!H22</f>
        <v>0</v>
      </c>
      <c r="J43" s="681">
        <f>industrie!I22</f>
        <v>0</v>
      </c>
      <c r="K43" s="681">
        <f>industrie!J22</f>
        <v>32.044724869016456</v>
      </c>
      <c r="L43" s="681">
        <f>industrie!K22</f>
        <v>0</v>
      </c>
      <c r="M43" s="681">
        <f>industrie!L22</f>
        <v>0</v>
      </c>
      <c r="N43" s="681">
        <f>industrie!M22</f>
        <v>0</v>
      </c>
      <c r="O43" s="681">
        <f>industrie!N22</f>
        <v>0</v>
      </c>
      <c r="P43" s="681">
        <f>industrie!O22</f>
        <v>0</v>
      </c>
      <c r="Q43" s="764">
        <f>industrie!P22</f>
        <v>0</v>
      </c>
      <c r="R43" s="842">
        <f t="shared" ca="1" si="4"/>
        <v>9426.5728947372991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26915.072661037284</v>
      </c>
      <c r="D46" s="717">
        <f t="shared" ref="D46:Q46" ca="1" si="5">SUM(D39:D45)</f>
        <v>0</v>
      </c>
      <c r="E46" s="717">
        <f t="shared" ca="1" si="5"/>
        <v>50694.429554249946</v>
      </c>
      <c r="F46" s="717">
        <f t="shared" si="5"/>
        <v>820.22068885018848</v>
      </c>
      <c r="G46" s="717">
        <f t="shared" ca="1" si="5"/>
        <v>22865.751504179505</v>
      </c>
      <c r="H46" s="717">
        <f t="shared" si="5"/>
        <v>0</v>
      </c>
      <c r="I46" s="717">
        <f t="shared" si="5"/>
        <v>0</v>
      </c>
      <c r="J46" s="717">
        <f t="shared" si="5"/>
        <v>0</v>
      </c>
      <c r="K46" s="717">
        <f t="shared" si="5"/>
        <v>174.16578205405969</v>
      </c>
      <c r="L46" s="717">
        <f t="shared" si="5"/>
        <v>0</v>
      </c>
      <c r="M46" s="717">
        <f t="shared" ca="1" si="5"/>
        <v>0</v>
      </c>
      <c r="N46" s="717">
        <f t="shared" si="5"/>
        <v>0</v>
      </c>
      <c r="O46" s="717">
        <f t="shared" ca="1" si="5"/>
        <v>0</v>
      </c>
      <c r="P46" s="717">
        <f t="shared" si="5"/>
        <v>0</v>
      </c>
      <c r="Q46" s="717">
        <f t="shared" si="5"/>
        <v>0</v>
      </c>
      <c r="R46" s="717">
        <f ca="1">SUM(R39:R45)</f>
        <v>101469.64019037098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13.476763411468845</v>
      </c>
      <c r="D49" s="681">
        <f ca="1">transport!C58</f>
        <v>0</v>
      </c>
      <c r="E49" s="681">
        <f>transport!D58</f>
        <v>0</v>
      </c>
      <c r="F49" s="681">
        <f>transport!E58</f>
        <v>0</v>
      </c>
      <c r="G49" s="681">
        <f>transport!F58</f>
        <v>0</v>
      </c>
      <c r="H49" s="681">
        <f>transport!G58</f>
        <v>1113.3453595122071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1126.822122923676</v>
      </c>
    </row>
    <row r="50" spans="1:18">
      <c r="A50" s="818" t="s">
        <v>296</v>
      </c>
      <c r="B50" s="828"/>
      <c r="C50" s="687">
        <f ca="1">transport!B18</f>
        <v>184.70340949665228</v>
      </c>
      <c r="D50" s="687">
        <f>transport!C18</f>
        <v>0</v>
      </c>
      <c r="E50" s="687">
        <f>transport!D18</f>
        <v>293.98238244663116</v>
      </c>
      <c r="F50" s="687">
        <f>transport!E18</f>
        <v>147.12758026419465</v>
      </c>
      <c r="G50" s="687">
        <f>transport!F18</f>
        <v>0</v>
      </c>
      <c r="H50" s="687">
        <f>transport!G18</f>
        <v>74383.097399442573</v>
      </c>
      <c r="I50" s="687">
        <f>transport!H18</f>
        <v>18271.447874479261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93280.358646129316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198.18017290812114</v>
      </c>
      <c r="D52" s="717">
        <f t="shared" ref="D52:Q52" ca="1" si="6">SUM(D48:D51)</f>
        <v>0</v>
      </c>
      <c r="E52" s="717">
        <f t="shared" si="6"/>
        <v>293.98238244663116</v>
      </c>
      <c r="F52" s="717">
        <f t="shared" si="6"/>
        <v>147.12758026419465</v>
      </c>
      <c r="G52" s="717">
        <f t="shared" si="6"/>
        <v>0</v>
      </c>
      <c r="H52" s="717">
        <f t="shared" si="6"/>
        <v>75496.442758954785</v>
      </c>
      <c r="I52" s="717">
        <f t="shared" si="6"/>
        <v>18271.447874479261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94407.180769052997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82.227311035608864</v>
      </c>
      <c r="D54" s="687">
        <f ca="1">+landbouw!C12</f>
        <v>0</v>
      </c>
      <c r="E54" s="687">
        <f>+landbouw!D12</f>
        <v>39.923997033783053</v>
      </c>
      <c r="F54" s="687">
        <f>+landbouw!E12</f>
        <v>2.6422770435285576</v>
      </c>
      <c r="G54" s="687">
        <f>+landbouw!F12</f>
        <v>343.48290424224251</v>
      </c>
      <c r="H54" s="687">
        <f>+landbouw!G12</f>
        <v>0</v>
      </c>
      <c r="I54" s="687">
        <f>+landbouw!H12</f>
        <v>0</v>
      </c>
      <c r="J54" s="687">
        <f>+landbouw!I12</f>
        <v>0</v>
      </c>
      <c r="K54" s="687">
        <f>+landbouw!J12</f>
        <v>36.580514479114875</v>
      </c>
      <c r="L54" s="687">
        <f>+landbouw!K12</f>
        <v>0</v>
      </c>
      <c r="M54" s="687">
        <f>+landbouw!L12</f>
        <v>0</v>
      </c>
      <c r="N54" s="687">
        <f>+landbouw!M12</f>
        <v>0</v>
      </c>
      <c r="O54" s="687">
        <f>+landbouw!N12</f>
        <v>0</v>
      </c>
      <c r="P54" s="687">
        <f>+landbouw!O12</f>
        <v>0</v>
      </c>
      <c r="Q54" s="688">
        <f>+landbouw!P12</f>
        <v>0</v>
      </c>
      <c r="R54" s="716">
        <f ca="1">SUM(C54:Q54)</f>
        <v>504.85700383427786</v>
      </c>
    </row>
    <row r="55" spans="1:18" ht="15" thickBot="1">
      <c r="A55" s="818" t="s">
        <v>690</v>
      </c>
      <c r="B55" s="828"/>
      <c r="C55" s="687">
        <f ca="1">C25*'EF ele_warmte'!B12</f>
        <v>484.00905573867334</v>
      </c>
      <c r="D55" s="687"/>
      <c r="E55" s="687">
        <f>E25*EF_CO2_aardgas</f>
        <v>2226.4390941826109</v>
      </c>
      <c r="F55" s="687"/>
      <c r="G55" s="687"/>
      <c r="H55" s="687"/>
      <c r="I55" s="687"/>
      <c r="J55" s="687"/>
      <c r="K55" s="687"/>
      <c r="L55" s="687"/>
      <c r="M55" s="687"/>
      <c r="N55" s="687"/>
      <c r="O55" s="687"/>
      <c r="P55" s="687"/>
      <c r="Q55" s="688"/>
      <c r="R55" s="716">
        <f ca="1">SUM(C55:Q55)</f>
        <v>2710.4481499212843</v>
      </c>
    </row>
    <row r="56" spans="1:18" ht="15.75" thickBot="1">
      <c r="A56" s="816" t="s">
        <v>691</v>
      </c>
      <c r="B56" s="829"/>
      <c r="C56" s="717">
        <f ca="1">SUM(C54:C55)</f>
        <v>566.23636677428226</v>
      </c>
      <c r="D56" s="717">
        <f t="shared" ref="D56:Q56" ca="1" si="7">SUM(D54:D55)</f>
        <v>0</v>
      </c>
      <c r="E56" s="717">
        <f t="shared" si="7"/>
        <v>2266.363091216394</v>
      </c>
      <c r="F56" s="717">
        <f t="shared" si="7"/>
        <v>2.6422770435285576</v>
      </c>
      <c r="G56" s="717">
        <f t="shared" si="7"/>
        <v>343.48290424224251</v>
      </c>
      <c r="H56" s="717">
        <f t="shared" si="7"/>
        <v>0</v>
      </c>
      <c r="I56" s="717">
        <f t="shared" si="7"/>
        <v>0</v>
      </c>
      <c r="J56" s="717">
        <f t="shared" si="7"/>
        <v>0</v>
      </c>
      <c r="K56" s="717">
        <f t="shared" si="7"/>
        <v>36.580514479114875</v>
      </c>
      <c r="L56" s="717">
        <f t="shared" si="7"/>
        <v>0</v>
      </c>
      <c r="M56" s="717">
        <f t="shared" si="7"/>
        <v>0</v>
      </c>
      <c r="N56" s="717">
        <f t="shared" si="7"/>
        <v>0</v>
      </c>
      <c r="O56" s="717">
        <f t="shared" si="7"/>
        <v>0</v>
      </c>
      <c r="P56" s="717">
        <f t="shared" si="7"/>
        <v>0</v>
      </c>
      <c r="Q56" s="718">
        <f t="shared" si="7"/>
        <v>0</v>
      </c>
      <c r="R56" s="719">
        <f ca="1">SUM(R54:R55)</f>
        <v>3215.3051537555621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27679.489200719687</v>
      </c>
      <c r="D61" s="725">
        <f t="shared" ref="D61:Q61" ca="1" si="8">D46+D52+D56</f>
        <v>0</v>
      </c>
      <c r="E61" s="725">
        <f t="shared" ca="1" si="8"/>
        <v>53254.775027912969</v>
      </c>
      <c r="F61" s="725">
        <f t="shared" si="8"/>
        <v>969.99054615791169</v>
      </c>
      <c r="G61" s="725">
        <f t="shared" ca="1" si="8"/>
        <v>23209.234408421748</v>
      </c>
      <c r="H61" s="725">
        <f t="shared" si="8"/>
        <v>75496.442758954785</v>
      </c>
      <c r="I61" s="725">
        <f t="shared" si="8"/>
        <v>18271.447874479261</v>
      </c>
      <c r="J61" s="725">
        <f t="shared" si="8"/>
        <v>0</v>
      </c>
      <c r="K61" s="725">
        <f t="shared" si="8"/>
        <v>210.74629653317456</v>
      </c>
      <c r="L61" s="725">
        <f t="shared" si="8"/>
        <v>0</v>
      </c>
      <c r="M61" s="725">
        <f t="shared" ca="1" si="8"/>
        <v>0</v>
      </c>
      <c r="N61" s="725">
        <f t="shared" si="8"/>
        <v>0</v>
      </c>
      <c r="O61" s="725">
        <f t="shared" ca="1" si="8"/>
        <v>0</v>
      </c>
      <c r="P61" s="725">
        <f t="shared" si="8"/>
        <v>0</v>
      </c>
      <c r="Q61" s="725">
        <f t="shared" si="8"/>
        <v>0</v>
      </c>
      <c r="R61" s="725">
        <f ca="1">R46+R52+R56</f>
        <v>199092.12611317952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0.20233092588704796</v>
      </c>
      <c r="D63" s="771">
        <f t="shared" ca="1" si="9"/>
        <v>0</v>
      </c>
      <c r="E63" s="963">
        <f t="shared" ca="1" si="9"/>
        <v>0.20200000000000001</v>
      </c>
      <c r="F63" s="771">
        <f t="shared" si="9"/>
        <v>0.22699999999999995</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11556.499598544688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11556.499598544688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56959.872978983425</v>
      </c>
      <c r="C4" s="447">
        <f>huishoudens!C8</f>
        <v>0</v>
      </c>
      <c r="D4" s="447">
        <f>huishoudens!D8</f>
        <v>149569.94717952632</v>
      </c>
      <c r="E4" s="447">
        <f>huishoudens!E8</f>
        <v>3214.9209431706622</v>
      </c>
      <c r="F4" s="447">
        <f>huishoudens!F8</f>
        <v>70428.00409400338</v>
      </c>
      <c r="G4" s="447">
        <f>huishoudens!G8</f>
        <v>0</v>
      </c>
      <c r="H4" s="447">
        <f>huishoudens!H8</f>
        <v>0</v>
      </c>
      <c r="I4" s="447">
        <f>huishoudens!I8</f>
        <v>0</v>
      </c>
      <c r="J4" s="447">
        <f>huishoudens!J8</f>
        <v>401.37689830721882</v>
      </c>
      <c r="K4" s="447">
        <f>huishoudens!K8</f>
        <v>0</v>
      </c>
      <c r="L4" s="447">
        <f>huishoudens!L8</f>
        <v>0</v>
      </c>
      <c r="M4" s="447">
        <f>huishoudens!M8</f>
        <v>0</v>
      </c>
      <c r="N4" s="447">
        <f>huishoudens!N8</f>
        <v>20224.600854692995</v>
      </c>
      <c r="O4" s="447">
        <f>huishoudens!O8</f>
        <v>390.83976921924528</v>
      </c>
      <c r="P4" s="448">
        <f>huishoudens!P8</f>
        <v>990.19217492239204</v>
      </c>
      <c r="Q4" s="449">
        <f>SUM(B4:P4)</f>
        <v>302179.75489282561</v>
      </c>
    </row>
    <row r="5" spans="1:17">
      <c r="A5" s="446" t="s">
        <v>149</v>
      </c>
      <c r="B5" s="447">
        <f ca="1">tertiair!B16</f>
        <v>65041.34114190848</v>
      </c>
      <c r="C5" s="447">
        <f ca="1">tertiair!C16</f>
        <v>0</v>
      </c>
      <c r="D5" s="447">
        <f ca="1">tertiair!D16</f>
        <v>64870.408215445146</v>
      </c>
      <c r="E5" s="447">
        <f>tertiair!E16</f>
        <v>328.22787282876283</v>
      </c>
      <c r="F5" s="447">
        <f ca="1">tertiair!F16</f>
        <v>13745.854394052403</v>
      </c>
      <c r="G5" s="447">
        <f>tertiair!G16</f>
        <v>0</v>
      </c>
      <c r="H5" s="447">
        <f>tertiair!H16</f>
        <v>0</v>
      </c>
      <c r="I5" s="447">
        <f>tertiair!I16</f>
        <v>0</v>
      </c>
      <c r="J5" s="447">
        <f>tertiair!J16</f>
        <v>9.5014644880760987E-2</v>
      </c>
      <c r="K5" s="447">
        <f>tertiair!K16</f>
        <v>0</v>
      </c>
      <c r="L5" s="447">
        <f ca="1">tertiair!L16</f>
        <v>0</v>
      </c>
      <c r="M5" s="447">
        <f>tertiair!M16</f>
        <v>0</v>
      </c>
      <c r="N5" s="447">
        <f ca="1">tertiair!N16</f>
        <v>3659.8968725882478</v>
      </c>
      <c r="O5" s="447">
        <f>tertiair!O16</f>
        <v>9.7945215316823084</v>
      </c>
      <c r="P5" s="448">
        <f>tertiair!P16</f>
        <v>157.61741491948504</v>
      </c>
      <c r="Q5" s="446">
        <f t="shared" ref="Q5:Q14" ca="1" si="0">SUM(B5:P5)</f>
        <v>147813.23544791908</v>
      </c>
    </row>
    <row r="6" spans="1:17">
      <c r="A6" s="446" t="s">
        <v>187</v>
      </c>
      <c r="B6" s="447">
        <f>'openbare verlichting'!B8</f>
        <v>3067.5529999999999</v>
      </c>
      <c r="C6" s="447"/>
      <c r="D6" s="447"/>
      <c r="E6" s="447"/>
      <c r="F6" s="447"/>
      <c r="G6" s="447"/>
      <c r="H6" s="447"/>
      <c r="I6" s="447"/>
      <c r="J6" s="447"/>
      <c r="K6" s="447"/>
      <c r="L6" s="447"/>
      <c r="M6" s="447"/>
      <c r="N6" s="447"/>
      <c r="O6" s="447"/>
      <c r="P6" s="448"/>
      <c r="Q6" s="446">
        <f t="shared" si="0"/>
        <v>3067.5529999999999</v>
      </c>
    </row>
    <row r="7" spans="1:17">
      <c r="A7" s="446" t="s">
        <v>105</v>
      </c>
      <c r="B7" s="447">
        <f>landbouw!B8</f>
        <v>406.40011246482703</v>
      </c>
      <c r="C7" s="447">
        <f>landbouw!C8</f>
        <v>0</v>
      </c>
      <c r="D7" s="447">
        <f>landbouw!D8</f>
        <v>197.64354967219333</v>
      </c>
      <c r="E7" s="447">
        <f>landbouw!E8</f>
        <v>11.639986975896729</v>
      </c>
      <c r="F7" s="447">
        <f>landbouw!F8</f>
        <v>1286.4528248773127</v>
      </c>
      <c r="G7" s="447">
        <f>landbouw!G8</f>
        <v>0</v>
      </c>
      <c r="H7" s="447">
        <f>landbouw!H8</f>
        <v>0</v>
      </c>
      <c r="I7" s="447">
        <f>landbouw!I8</f>
        <v>0</v>
      </c>
      <c r="J7" s="447">
        <f>landbouw!J8</f>
        <v>103.33478666416632</v>
      </c>
      <c r="K7" s="447">
        <f>landbouw!K8</f>
        <v>0</v>
      </c>
      <c r="L7" s="447">
        <f>landbouw!L8</f>
        <v>0</v>
      </c>
      <c r="M7" s="447">
        <f>landbouw!M8</f>
        <v>0</v>
      </c>
      <c r="N7" s="447">
        <f>landbouw!N8</f>
        <v>0</v>
      </c>
      <c r="O7" s="447">
        <f>landbouw!O8</f>
        <v>0</v>
      </c>
      <c r="P7" s="448">
        <f>landbouw!P8</f>
        <v>0</v>
      </c>
      <c r="Q7" s="446">
        <f t="shared" si="0"/>
        <v>2005.471260654396</v>
      </c>
    </row>
    <row r="8" spans="1:17">
      <c r="A8" s="446" t="s">
        <v>611</v>
      </c>
      <c r="B8" s="447">
        <f>industrie!B18</f>
        <v>7956.2390319625392</v>
      </c>
      <c r="C8" s="447">
        <f>industrie!C18</f>
        <v>0</v>
      </c>
      <c r="D8" s="447">
        <f>industrie!D18</f>
        <v>36522.167150820314</v>
      </c>
      <c r="E8" s="447">
        <f>industrie!E18</f>
        <v>70.158183340612467</v>
      </c>
      <c r="F8" s="447">
        <f>industrie!F18</f>
        <v>1465.6602541895543</v>
      </c>
      <c r="G8" s="447">
        <f>industrie!G18</f>
        <v>0</v>
      </c>
      <c r="H8" s="447">
        <f>industrie!H18</f>
        <v>0</v>
      </c>
      <c r="I8" s="447">
        <f>industrie!I18</f>
        <v>0</v>
      </c>
      <c r="J8" s="447">
        <f>industrie!J18</f>
        <v>90.521821663888304</v>
      </c>
      <c r="K8" s="447">
        <f>industrie!K18</f>
        <v>0</v>
      </c>
      <c r="L8" s="447">
        <f>industrie!L18</f>
        <v>0</v>
      </c>
      <c r="M8" s="447">
        <f>industrie!M18</f>
        <v>0</v>
      </c>
      <c r="N8" s="447">
        <f>industrie!N18</f>
        <v>1485.2654146213936</v>
      </c>
      <c r="O8" s="447">
        <f>industrie!O18</f>
        <v>0</v>
      </c>
      <c r="P8" s="448">
        <f>industrie!P18</f>
        <v>0</v>
      </c>
      <c r="Q8" s="446">
        <f t="shared" si="0"/>
        <v>47590.011856598299</v>
      </c>
    </row>
    <row r="9" spans="1:17" s="452" customFormat="1">
      <c r="A9" s="450" t="s">
        <v>537</v>
      </c>
      <c r="B9" s="451">
        <f>transport!B14</f>
        <v>912.87779506215338</v>
      </c>
      <c r="C9" s="451">
        <f>transport!C14</f>
        <v>0</v>
      </c>
      <c r="D9" s="451">
        <f>transport!D14</f>
        <v>1455.3583289437186</v>
      </c>
      <c r="E9" s="451">
        <f>transport!E14</f>
        <v>648.1391201065843</v>
      </c>
      <c r="F9" s="451">
        <f>transport!F14</f>
        <v>0</v>
      </c>
      <c r="G9" s="451">
        <f>transport!G14</f>
        <v>278588.37977319316</v>
      </c>
      <c r="H9" s="451">
        <f>transport!H14</f>
        <v>73379.30873284844</v>
      </c>
      <c r="I9" s="451">
        <f>transport!I14</f>
        <v>0</v>
      </c>
      <c r="J9" s="451">
        <f>transport!J14</f>
        <v>0</v>
      </c>
      <c r="K9" s="451">
        <f>transport!K14</f>
        <v>0</v>
      </c>
      <c r="L9" s="451">
        <f>transport!L14</f>
        <v>0</v>
      </c>
      <c r="M9" s="451">
        <f>transport!M14</f>
        <v>21198.01640362521</v>
      </c>
      <c r="N9" s="451">
        <f>transport!N14</f>
        <v>0</v>
      </c>
      <c r="O9" s="451">
        <f>transport!O14</f>
        <v>0</v>
      </c>
      <c r="P9" s="451">
        <f>transport!P14</f>
        <v>0</v>
      </c>
      <c r="Q9" s="450">
        <f>SUM(B9:P9)</f>
        <v>376182.08015377924</v>
      </c>
    </row>
    <row r="10" spans="1:17">
      <c r="A10" s="446" t="s">
        <v>527</v>
      </c>
      <c r="B10" s="447">
        <f>transport!B54</f>
        <v>66.607530966335332</v>
      </c>
      <c r="C10" s="447">
        <f>transport!C54</f>
        <v>0</v>
      </c>
      <c r="D10" s="447">
        <f>transport!D54</f>
        <v>0</v>
      </c>
      <c r="E10" s="447">
        <f>transport!E54</f>
        <v>0</v>
      </c>
      <c r="F10" s="447">
        <f>transport!F54</f>
        <v>0</v>
      </c>
      <c r="G10" s="447">
        <f>transport!G54</f>
        <v>4169.8328071618243</v>
      </c>
      <c r="H10" s="447">
        <f>transport!H54</f>
        <v>0</v>
      </c>
      <c r="I10" s="447">
        <f>transport!I54</f>
        <v>0</v>
      </c>
      <c r="J10" s="447">
        <f>transport!J54</f>
        <v>0</v>
      </c>
      <c r="K10" s="447">
        <f>transport!K54</f>
        <v>0</v>
      </c>
      <c r="L10" s="447">
        <f>transport!L54</f>
        <v>0</v>
      </c>
      <c r="M10" s="447">
        <f>transport!M54</f>
        <v>239.42256680647887</v>
      </c>
      <c r="N10" s="447">
        <f>transport!N54</f>
        <v>0</v>
      </c>
      <c r="O10" s="447">
        <f>transport!O54</f>
        <v>0</v>
      </c>
      <c r="P10" s="448">
        <f>transport!P54</f>
        <v>0</v>
      </c>
      <c r="Q10" s="446">
        <f t="shared" si="0"/>
        <v>4475.8629049346391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2392.16547651679</v>
      </c>
      <c r="C14" s="454"/>
      <c r="D14" s="454">
        <f>'SEAP template'!E25</f>
        <v>11021.9757137753</v>
      </c>
      <c r="E14" s="454"/>
      <c r="F14" s="454"/>
      <c r="G14" s="454"/>
      <c r="H14" s="454"/>
      <c r="I14" s="454"/>
      <c r="J14" s="454"/>
      <c r="K14" s="454"/>
      <c r="L14" s="454"/>
      <c r="M14" s="454"/>
      <c r="N14" s="454"/>
      <c r="O14" s="454"/>
      <c r="P14" s="455"/>
      <c r="Q14" s="446">
        <f t="shared" si="0"/>
        <v>13414.14119029209</v>
      </c>
    </row>
    <row r="15" spans="1:17" s="458" customFormat="1">
      <c r="A15" s="456" t="s">
        <v>531</v>
      </c>
      <c r="B15" s="457">
        <f ca="1">SUM(B4:B14)</f>
        <v>136803.05706786455</v>
      </c>
      <c r="C15" s="457">
        <f t="shared" ref="C15:Q15" ca="1" si="1">SUM(C4:C14)</f>
        <v>0</v>
      </c>
      <c r="D15" s="457">
        <f t="shared" ca="1" si="1"/>
        <v>263637.50013818301</v>
      </c>
      <c r="E15" s="457">
        <f t="shared" si="1"/>
        <v>4273.0861064225182</v>
      </c>
      <c r="F15" s="457">
        <f t="shared" ca="1" si="1"/>
        <v>86925.971567122659</v>
      </c>
      <c r="G15" s="457">
        <f t="shared" si="1"/>
        <v>282758.212580355</v>
      </c>
      <c r="H15" s="457">
        <f t="shared" si="1"/>
        <v>73379.30873284844</v>
      </c>
      <c r="I15" s="457">
        <f t="shared" si="1"/>
        <v>0</v>
      </c>
      <c r="J15" s="457">
        <f t="shared" si="1"/>
        <v>595.32852128015418</v>
      </c>
      <c r="K15" s="457">
        <f t="shared" si="1"/>
        <v>0</v>
      </c>
      <c r="L15" s="457">
        <f t="shared" ca="1" si="1"/>
        <v>0</v>
      </c>
      <c r="M15" s="457">
        <f t="shared" si="1"/>
        <v>21437.438970431689</v>
      </c>
      <c r="N15" s="457">
        <f t="shared" ca="1" si="1"/>
        <v>25369.763141902637</v>
      </c>
      <c r="O15" s="457">
        <f t="shared" si="1"/>
        <v>400.63429075092762</v>
      </c>
      <c r="P15" s="457">
        <f t="shared" si="1"/>
        <v>1147.8095898418771</v>
      </c>
      <c r="Q15" s="457">
        <f t="shared" ca="1" si="1"/>
        <v>896728.11070700339</v>
      </c>
    </row>
    <row r="17" spans="1:17">
      <c r="A17" s="459" t="s">
        <v>532</v>
      </c>
      <c r="B17" s="776">
        <f ca="1">huishoudens!B10</f>
        <v>0.20233092588704793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11524.743838246359</v>
      </c>
      <c r="C22" s="447">
        <f t="shared" ref="C22:C32" ca="1" si="3">C4*$C$17</f>
        <v>0</v>
      </c>
      <c r="D22" s="447">
        <f t="shared" ref="D22:D32" si="4">D4*$D$17</f>
        <v>30213.129330264321</v>
      </c>
      <c r="E22" s="447">
        <f t="shared" ref="E22:E32" si="5">E4*$E$17</f>
        <v>729.78705409974032</v>
      </c>
      <c r="F22" s="447">
        <f t="shared" ref="F22:F32" si="6">F4*$F$17</f>
        <v>18804.277093098903</v>
      </c>
      <c r="G22" s="447">
        <f t="shared" ref="G22:G32" si="7">G4*$G$17</f>
        <v>0</v>
      </c>
      <c r="H22" s="447">
        <f t="shared" ref="H22:H32" si="8">H4*$H$17</f>
        <v>0</v>
      </c>
      <c r="I22" s="447">
        <f t="shared" ref="I22:I32" si="9">I4*$I$17</f>
        <v>0</v>
      </c>
      <c r="J22" s="447">
        <f t="shared" ref="J22:J32" si="10">J4*$J$17</f>
        <v>142.08742200075545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61414.024737710075</v>
      </c>
    </row>
    <row r="23" spans="1:17">
      <c r="A23" s="446" t="s">
        <v>149</v>
      </c>
      <c r="B23" s="447">
        <f t="shared" ca="1" si="2"/>
        <v>13159.874774177686</v>
      </c>
      <c r="C23" s="447">
        <f t="shared" ca="1" si="3"/>
        <v>0</v>
      </c>
      <c r="D23" s="447">
        <f t="shared" ca="1" si="4"/>
        <v>13103.822459519921</v>
      </c>
      <c r="E23" s="447">
        <f t="shared" si="5"/>
        <v>74.507727132129162</v>
      </c>
      <c r="F23" s="447">
        <f t="shared" ca="1" si="6"/>
        <v>3670.1431232119917</v>
      </c>
      <c r="G23" s="447">
        <f t="shared" si="7"/>
        <v>0</v>
      </c>
      <c r="H23" s="447">
        <f t="shared" si="8"/>
        <v>0</v>
      </c>
      <c r="I23" s="447">
        <f t="shared" si="9"/>
        <v>0</v>
      </c>
      <c r="J23" s="447">
        <f t="shared" si="10"/>
        <v>3.3635184287789388E-2</v>
      </c>
      <c r="K23" s="447">
        <f t="shared" si="11"/>
        <v>0</v>
      </c>
      <c r="L23" s="447">
        <f t="shared" ca="1" si="12"/>
        <v>0</v>
      </c>
      <c r="M23" s="447">
        <f t="shared" si="13"/>
        <v>0</v>
      </c>
      <c r="N23" s="447">
        <f t="shared" ca="1" si="14"/>
        <v>0</v>
      </c>
      <c r="O23" s="447">
        <f t="shared" si="15"/>
        <v>0</v>
      </c>
      <c r="P23" s="448">
        <f t="shared" si="16"/>
        <v>0</v>
      </c>
      <c r="Q23" s="446">
        <f t="shared" ref="Q23:Q31" ca="1" si="17">SUM(B23:P23)</f>
        <v>30008.381719226014</v>
      </c>
    </row>
    <row r="24" spans="1:17">
      <c r="A24" s="446" t="s">
        <v>187</v>
      </c>
      <c r="B24" s="447">
        <f t="shared" ca="1" si="2"/>
        <v>620.66083869759154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620.66083869759154</v>
      </c>
    </row>
    <row r="25" spans="1:17">
      <c r="A25" s="446" t="s">
        <v>105</v>
      </c>
      <c r="B25" s="447">
        <f t="shared" ca="1" si="2"/>
        <v>82.227311035608864</v>
      </c>
      <c r="C25" s="447">
        <f t="shared" ca="1" si="3"/>
        <v>0</v>
      </c>
      <c r="D25" s="447">
        <f t="shared" si="4"/>
        <v>39.923997033783053</v>
      </c>
      <c r="E25" s="447">
        <f t="shared" si="5"/>
        <v>2.6422770435285576</v>
      </c>
      <c r="F25" s="447">
        <f t="shared" si="6"/>
        <v>343.48290424224251</v>
      </c>
      <c r="G25" s="447">
        <f t="shared" si="7"/>
        <v>0</v>
      </c>
      <c r="H25" s="447">
        <f t="shared" si="8"/>
        <v>0</v>
      </c>
      <c r="I25" s="447">
        <f t="shared" si="9"/>
        <v>0</v>
      </c>
      <c r="J25" s="447">
        <f t="shared" si="10"/>
        <v>36.580514479114875</v>
      </c>
      <c r="K25" s="447">
        <f t="shared" si="11"/>
        <v>0</v>
      </c>
      <c r="L25" s="447">
        <f t="shared" si="12"/>
        <v>0</v>
      </c>
      <c r="M25" s="447">
        <f t="shared" si="13"/>
        <v>0</v>
      </c>
      <c r="N25" s="447">
        <f t="shared" si="14"/>
        <v>0</v>
      </c>
      <c r="O25" s="447">
        <f t="shared" si="15"/>
        <v>0</v>
      </c>
      <c r="P25" s="448">
        <f t="shared" si="16"/>
        <v>0</v>
      </c>
      <c r="Q25" s="446">
        <f t="shared" ca="1" si="17"/>
        <v>504.85700383427786</v>
      </c>
    </row>
    <row r="26" spans="1:17">
      <c r="A26" s="446" t="s">
        <v>611</v>
      </c>
      <c r="B26" s="447">
        <f t="shared" ca="1" si="2"/>
        <v>1609.7932099156506</v>
      </c>
      <c r="C26" s="447">
        <f t="shared" ca="1" si="3"/>
        <v>0</v>
      </c>
      <c r="D26" s="447">
        <f t="shared" si="4"/>
        <v>7377.4777644657042</v>
      </c>
      <c r="E26" s="447">
        <f t="shared" si="5"/>
        <v>15.92590761831903</v>
      </c>
      <c r="F26" s="447">
        <f t="shared" si="6"/>
        <v>391.33128786861101</v>
      </c>
      <c r="G26" s="447">
        <f t="shared" si="7"/>
        <v>0</v>
      </c>
      <c r="H26" s="447">
        <f t="shared" si="8"/>
        <v>0</v>
      </c>
      <c r="I26" s="447">
        <f t="shared" si="9"/>
        <v>0</v>
      </c>
      <c r="J26" s="447">
        <f t="shared" si="10"/>
        <v>32.044724869016456</v>
      </c>
      <c r="K26" s="447">
        <f t="shared" si="11"/>
        <v>0</v>
      </c>
      <c r="L26" s="447">
        <f t="shared" si="12"/>
        <v>0</v>
      </c>
      <c r="M26" s="447">
        <f t="shared" si="13"/>
        <v>0</v>
      </c>
      <c r="N26" s="447">
        <f t="shared" si="14"/>
        <v>0</v>
      </c>
      <c r="O26" s="447">
        <f t="shared" si="15"/>
        <v>0</v>
      </c>
      <c r="P26" s="448">
        <f t="shared" si="16"/>
        <v>0</v>
      </c>
      <c r="Q26" s="446">
        <f t="shared" ca="1" si="17"/>
        <v>9426.5728947372991</v>
      </c>
    </row>
    <row r="27" spans="1:17" s="452" customFormat="1">
      <c r="A27" s="450" t="s">
        <v>537</v>
      </c>
      <c r="B27" s="770">
        <f t="shared" ca="1" si="2"/>
        <v>184.70340949665228</v>
      </c>
      <c r="C27" s="451">
        <f t="shared" ca="1" si="3"/>
        <v>0</v>
      </c>
      <c r="D27" s="451">
        <f t="shared" si="4"/>
        <v>293.98238244663116</v>
      </c>
      <c r="E27" s="451">
        <f t="shared" si="5"/>
        <v>147.12758026419465</v>
      </c>
      <c r="F27" s="451">
        <f t="shared" si="6"/>
        <v>0</v>
      </c>
      <c r="G27" s="451">
        <f t="shared" si="7"/>
        <v>74383.097399442573</v>
      </c>
      <c r="H27" s="451">
        <f t="shared" si="8"/>
        <v>18271.447874479261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93280.358646129316</v>
      </c>
    </row>
    <row r="28" spans="1:17" ht="16.5" customHeight="1">
      <c r="A28" s="446" t="s">
        <v>527</v>
      </c>
      <c r="B28" s="447">
        <f t="shared" ca="1" si="2"/>
        <v>13.476763411468845</v>
      </c>
      <c r="C28" s="447">
        <f t="shared" ca="1" si="3"/>
        <v>0</v>
      </c>
      <c r="D28" s="447">
        <f t="shared" si="4"/>
        <v>0</v>
      </c>
      <c r="E28" s="447">
        <f t="shared" si="5"/>
        <v>0</v>
      </c>
      <c r="F28" s="447">
        <f t="shared" si="6"/>
        <v>0</v>
      </c>
      <c r="G28" s="447">
        <f t="shared" si="7"/>
        <v>1113.3453595122071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1126.822122923676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484.00905573867334</v>
      </c>
      <c r="C32" s="447">
        <f t="shared" ca="1" si="3"/>
        <v>0</v>
      </c>
      <c r="D32" s="447">
        <f t="shared" si="4"/>
        <v>2226.4390941826109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2710.4481499212843</v>
      </c>
    </row>
    <row r="33" spans="1:17" s="458" customFormat="1">
      <c r="A33" s="456" t="s">
        <v>531</v>
      </c>
      <c r="B33" s="457">
        <f ca="1">SUM(B22:B32)</f>
        <v>27679.489200719687</v>
      </c>
      <c r="C33" s="457">
        <f t="shared" ref="C33:Q33" ca="1" si="19">SUM(C22:C32)</f>
        <v>0</v>
      </c>
      <c r="D33" s="457">
        <f t="shared" ca="1" si="19"/>
        <v>53254.775027912969</v>
      </c>
      <c r="E33" s="457">
        <f t="shared" si="19"/>
        <v>969.99054615791169</v>
      </c>
      <c r="F33" s="457">
        <f t="shared" ca="1" si="19"/>
        <v>23209.234408421748</v>
      </c>
      <c r="G33" s="457">
        <f t="shared" si="19"/>
        <v>75496.442758954785</v>
      </c>
      <c r="H33" s="457">
        <f t="shared" si="19"/>
        <v>18271.447874479261</v>
      </c>
      <c r="I33" s="457">
        <f t="shared" si="19"/>
        <v>0</v>
      </c>
      <c r="J33" s="457">
        <f t="shared" si="19"/>
        <v>210.74629653317456</v>
      </c>
      <c r="K33" s="457">
        <f t="shared" si="19"/>
        <v>0</v>
      </c>
      <c r="L33" s="457">
        <f t="shared" ca="1" si="19"/>
        <v>0</v>
      </c>
      <c r="M33" s="457">
        <f t="shared" si="19"/>
        <v>0</v>
      </c>
      <c r="N33" s="457">
        <f t="shared" ca="1" si="19"/>
        <v>0</v>
      </c>
      <c r="O33" s="457">
        <f t="shared" si="19"/>
        <v>0</v>
      </c>
      <c r="P33" s="457">
        <f t="shared" si="19"/>
        <v>0</v>
      </c>
      <c r="Q33" s="457">
        <f t="shared" ca="1" si="19"/>
        <v>199092.12611317952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11556.499598544688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11556.499598544688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0.20233092588704793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0.20233092588704793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0.20233092588704793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0.20233092588704793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15565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1556.93</v>
      </c>
      <c r="C14" s="326"/>
      <c r="D14" s="326"/>
      <c r="E14" s="326"/>
      <c r="F14" s="326"/>
    </row>
    <row r="15" spans="1:6">
      <c r="A15" s="1310" t="s">
        <v>177</v>
      </c>
      <c r="B15" s="1311">
        <v>435</v>
      </c>
      <c r="C15" s="326"/>
      <c r="D15" s="326"/>
      <c r="E15" s="326"/>
      <c r="F15" s="326"/>
    </row>
    <row r="16" spans="1:6">
      <c r="A16" s="1310" t="s">
        <v>6</v>
      </c>
      <c r="B16" s="1311">
        <v>69</v>
      </c>
      <c r="C16" s="326"/>
      <c r="D16" s="326"/>
      <c r="E16" s="326"/>
      <c r="F16" s="326"/>
    </row>
    <row r="17" spans="1:6">
      <c r="A17" s="1310" t="s">
        <v>7</v>
      </c>
      <c r="B17" s="1311">
        <v>202</v>
      </c>
      <c r="C17" s="326"/>
      <c r="D17" s="326"/>
      <c r="E17" s="326"/>
      <c r="F17" s="326"/>
    </row>
    <row r="18" spans="1:6">
      <c r="A18" s="1310" t="s">
        <v>8</v>
      </c>
      <c r="B18" s="1311">
        <v>187</v>
      </c>
      <c r="C18" s="326"/>
      <c r="D18" s="326"/>
      <c r="E18" s="326"/>
      <c r="F18" s="326"/>
    </row>
    <row r="19" spans="1:6">
      <c r="A19" s="1310" t="s">
        <v>9</v>
      </c>
      <c r="B19" s="1311">
        <v>143</v>
      </c>
      <c r="C19" s="326"/>
      <c r="D19" s="326"/>
      <c r="E19" s="326"/>
      <c r="F19" s="326"/>
    </row>
    <row r="20" spans="1:6">
      <c r="A20" s="1310" t="s">
        <v>10</v>
      </c>
      <c r="B20" s="1311">
        <v>164</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106</v>
      </c>
      <c r="C26" s="326"/>
      <c r="D26" s="326"/>
      <c r="E26" s="326"/>
      <c r="F26" s="326"/>
    </row>
    <row r="27" spans="1:6">
      <c r="A27" s="1310" t="s">
        <v>17</v>
      </c>
      <c r="B27" s="1311">
        <v>18</v>
      </c>
      <c r="C27" s="326"/>
      <c r="D27" s="326"/>
      <c r="E27" s="326"/>
      <c r="F27" s="326"/>
    </row>
    <row r="28" spans="1:6">
      <c r="A28" s="1310" t="s">
        <v>18</v>
      </c>
      <c r="B28" s="1312">
        <v>15</v>
      </c>
      <c r="C28" s="326"/>
      <c r="D28" s="326"/>
      <c r="E28" s="326"/>
      <c r="F28" s="326"/>
    </row>
    <row r="29" spans="1:6">
      <c r="A29" s="1310" t="s">
        <v>678</v>
      </c>
      <c r="B29" s="1312">
        <v>242</v>
      </c>
      <c r="C29" s="326"/>
      <c r="D29" s="326"/>
      <c r="E29" s="326"/>
      <c r="F29" s="326"/>
    </row>
    <row r="30" spans="1:6">
      <c r="A30" s="1305" t="s">
        <v>679</v>
      </c>
      <c r="B30" s="1313">
        <v>60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8</v>
      </c>
      <c r="F35" s="1311">
        <v>40494.123484932803</v>
      </c>
    </row>
    <row r="36" spans="1:6">
      <c r="A36" s="1310" t="s">
        <v>24</v>
      </c>
      <c r="B36" s="1310" t="s">
        <v>26</v>
      </c>
      <c r="C36" s="1311">
        <v>0</v>
      </c>
      <c r="D36" s="1311">
        <v>0</v>
      </c>
      <c r="E36" s="1311">
        <v>8</v>
      </c>
      <c r="F36" s="1311">
        <v>56430.532357931799</v>
      </c>
    </row>
    <row r="37" spans="1:6">
      <c r="A37" s="1310" t="s">
        <v>24</v>
      </c>
      <c r="B37" s="1310" t="s">
        <v>27</v>
      </c>
      <c r="C37" s="1311">
        <v>0</v>
      </c>
      <c r="D37" s="1311">
        <v>0</v>
      </c>
      <c r="E37" s="1311">
        <v>0</v>
      </c>
      <c r="F37" s="1311">
        <v>0</v>
      </c>
    </row>
    <row r="38" spans="1:6">
      <c r="A38" s="1310" t="s">
        <v>24</v>
      </c>
      <c r="B38" s="1310" t="s">
        <v>28</v>
      </c>
      <c r="C38" s="1311">
        <v>1</v>
      </c>
      <c r="D38" s="1311">
        <v>8526.3557239380007</v>
      </c>
      <c r="E38" s="1311">
        <v>1</v>
      </c>
      <c r="F38" s="1311">
        <v>945</v>
      </c>
    </row>
    <row r="39" spans="1:6">
      <c r="A39" s="1310" t="s">
        <v>29</v>
      </c>
      <c r="B39" s="1310" t="s">
        <v>30</v>
      </c>
      <c r="C39" s="1311">
        <v>10954</v>
      </c>
      <c r="D39" s="1311">
        <v>165636707.84000701</v>
      </c>
      <c r="E39" s="1311">
        <v>15869</v>
      </c>
      <c r="F39" s="1311">
        <v>51283052.1623355</v>
      </c>
    </row>
    <row r="40" spans="1:6">
      <c r="A40" s="1310" t="s">
        <v>29</v>
      </c>
      <c r="B40" s="1310" t="s">
        <v>28</v>
      </c>
      <c r="C40" s="1311">
        <v>0</v>
      </c>
      <c r="D40" s="1311">
        <v>0</v>
      </c>
      <c r="E40" s="1311">
        <v>0</v>
      </c>
      <c r="F40" s="1311">
        <v>0</v>
      </c>
    </row>
    <row r="41" spans="1:6">
      <c r="A41" s="1310" t="s">
        <v>31</v>
      </c>
      <c r="B41" s="1310" t="s">
        <v>32</v>
      </c>
      <c r="C41" s="1311">
        <v>116</v>
      </c>
      <c r="D41" s="1311">
        <v>2202743.7665843898</v>
      </c>
      <c r="E41" s="1311">
        <v>228</v>
      </c>
      <c r="F41" s="1311">
        <v>1301741.69920621</v>
      </c>
    </row>
    <row r="42" spans="1:6">
      <c r="A42" s="1310" t="s">
        <v>31</v>
      </c>
      <c r="B42" s="1310" t="s">
        <v>33</v>
      </c>
      <c r="C42" s="1311">
        <v>0</v>
      </c>
      <c r="D42" s="1311">
        <v>0</v>
      </c>
      <c r="E42" s="1311">
        <v>3</v>
      </c>
      <c r="F42" s="1311">
        <v>20134.502135275201</v>
      </c>
    </row>
    <row r="43" spans="1:6">
      <c r="A43" s="1310" t="s">
        <v>31</v>
      </c>
      <c r="B43" s="1310" t="s">
        <v>34</v>
      </c>
      <c r="C43" s="1311">
        <v>0</v>
      </c>
      <c r="D43" s="1311">
        <v>0</v>
      </c>
      <c r="E43" s="1311">
        <v>0</v>
      </c>
      <c r="F43" s="1311">
        <v>0</v>
      </c>
    </row>
    <row r="44" spans="1:6">
      <c r="A44" s="1310" t="s">
        <v>31</v>
      </c>
      <c r="B44" s="1310" t="s">
        <v>35</v>
      </c>
      <c r="C44" s="1311">
        <v>11</v>
      </c>
      <c r="D44" s="1311">
        <v>7072461.6835862398</v>
      </c>
      <c r="E44" s="1311">
        <v>18</v>
      </c>
      <c r="F44" s="1311">
        <v>3782404.49727999</v>
      </c>
    </row>
    <row r="45" spans="1:6">
      <c r="A45" s="1310" t="s">
        <v>31</v>
      </c>
      <c r="B45" s="1310" t="s">
        <v>36</v>
      </c>
      <c r="C45" s="1311">
        <v>0</v>
      </c>
      <c r="D45" s="1311">
        <v>0</v>
      </c>
      <c r="E45" s="1311">
        <v>6</v>
      </c>
      <c r="F45" s="1311">
        <v>2441176.2530030701</v>
      </c>
    </row>
    <row r="46" spans="1:6">
      <c r="A46" s="1310" t="s">
        <v>31</v>
      </c>
      <c r="B46" s="1310" t="s">
        <v>37</v>
      </c>
      <c r="C46" s="1311">
        <v>0</v>
      </c>
      <c r="D46" s="1311">
        <v>0</v>
      </c>
      <c r="E46" s="1311">
        <v>0</v>
      </c>
      <c r="F46" s="1311">
        <v>0</v>
      </c>
    </row>
    <row r="47" spans="1:6">
      <c r="A47" s="1310" t="s">
        <v>31</v>
      </c>
      <c r="B47" s="1310" t="s">
        <v>38</v>
      </c>
      <c r="C47" s="1311">
        <v>5</v>
      </c>
      <c r="D47" s="1311">
        <v>175525.650752043</v>
      </c>
      <c r="E47" s="1311">
        <v>7</v>
      </c>
      <c r="F47" s="1311">
        <v>79084.278594873496</v>
      </c>
    </row>
    <row r="48" spans="1:6">
      <c r="A48" s="1310" t="s">
        <v>31</v>
      </c>
      <c r="B48" s="1310" t="s">
        <v>28</v>
      </c>
      <c r="C48" s="1311">
        <v>5</v>
      </c>
      <c r="D48" s="1311">
        <v>30307748.447272796</v>
      </c>
      <c r="E48" s="1311">
        <v>3</v>
      </c>
      <c r="F48" s="1311">
        <v>8585.1818730495997</v>
      </c>
    </row>
    <row r="49" spans="1:6">
      <c r="A49" s="1310" t="s">
        <v>31</v>
      </c>
      <c r="B49" s="1310" t="s">
        <v>39</v>
      </c>
      <c r="C49" s="1311">
        <v>0</v>
      </c>
      <c r="D49" s="1311">
        <v>0</v>
      </c>
      <c r="E49" s="1311">
        <v>0</v>
      </c>
      <c r="F49" s="1311">
        <v>0</v>
      </c>
    </row>
    <row r="50" spans="1:6">
      <c r="A50" s="1310" t="s">
        <v>31</v>
      </c>
      <c r="B50" s="1310" t="s">
        <v>40</v>
      </c>
      <c r="C50" s="1311">
        <v>10</v>
      </c>
      <c r="D50" s="1311">
        <v>686888.28217033099</v>
      </c>
      <c r="E50" s="1311">
        <v>9</v>
      </c>
      <c r="F50" s="1311">
        <v>323112.61987007002</v>
      </c>
    </row>
    <row r="51" spans="1:6">
      <c r="A51" s="1310" t="s">
        <v>41</v>
      </c>
      <c r="B51" s="1310" t="s">
        <v>42</v>
      </c>
      <c r="C51" s="1311">
        <v>6</v>
      </c>
      <c r="D51" s="1311">
        <v>218874.362870646</v>
      </c>
      <c r="E51" s="1311">
        <v>51</v>
      </c>
      <c r="F51" s="1311">
        <v>406400.11246482702</v>
      </c>
    </row>
    <row r="52" spans="1:6">
      <c r="A52" s="1310" t="s">
        <v>41</v>
      </c>
      <c r="B52" s="1310" t="s">
        <v>28</v>
      </c>
      <c r="C52" s="1311">
        <v>0</v>
      </c>
      <c r="D52" s="1311">
        <v>0</v>
      </c>
      <c r="E52" s="1311">
        <v>0</v>
      </c>
      <c r="F52" s="1311">
        <v>0</v>
      </c>
    </row>
    <row r="53" spans="1:6">
      <c r="A53" s="1310" t="s">
        <v>43</v>
      </c>
      <c r="B53" s="1310" t="s">
        <v>44</v>
      </c>
      <c r="C53" s="1311">
        <v>311</v>
      </c>
      <c r="D53" s="1311">
        <v>11021975.713775299</v>
      </c>
      <c r="E53" s="1311">
        <v>672</v>
      </c>
      <c r="F53" s="1311">
        <v>2392165.4765167902</v>
      </c>
    </row>
    <row r="54" spans="1:6">
      <c r="A54" s="1310" t="s">
        <v>45</v>
      </c>
      <c r="B54" s="1310" t="s">
        <v>46</v>
      </c>
      <c r="C54" s="1311">
        <v>0</v>
      </c>
      <c r="D54" s="1311">
        <v>0</v>
      </c>
      <c r="E54" s="1311">
        <v>1</v>
      </c>
      <c r="F54" s="1311">
        <v>3067553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7228369.9185921801</v>
      </c>
      <c r="E57" s="1311">
        <v>144</v>
      </c>
      <c r="F57" s="1311">
        <v>9394208.8166641593</v>
      </c>
    </row>
    <row r="58" spans="1:6">
      <c r="A58" s="1310" t="s">
        <v>48</v>
      </c>
      <c r="B58" s="1310" t="s">
        <v>50</v>
      </c>
      <c r="C58" s="1311">
        <v>108</v>
      </c>
      <c r="D58" s="1311">
        <v>9416433.9338518903</v>
      </c>
      <c r="E58" s="1311">
        <v>210</v>
      </c>
      <c r="F58" s="1311">
        <v>3524087.4261627202</v>
      </c>
    </row>
    <row r="59" spans="1:6">
      <c r="A59" s="1310" t="s">
        <v>48</v>
      </c>
      <c r="B59" s="1310" t="s">
        <v>51</v>
      </c>
      <c r="C59" s="1311">
        <v>235</v>
      </c>
      <c r="D59" s="1311">
        <v>26133372.078072399</v>
      </c>
      <c r="E59" s="1311">
        <v>439</v>
      </c>
      <c r="F59" s="1311">
        <v>25152785.963088401</v>
      </c>
    </row>
    <row r="60" spans="1:6">
      <c r="A60" s="1310" t="s">
        <v>48</v>
      </c>
      <c r="B60" s="1310" t="s">
        <v>52</v>
      </c>
      <c r="C60" s="1311">
        <v>89</v>
      </c>
      <c r="D60" s="1311">
        <v>7970768.68612458</v>
      </c>
      <c r="E60" s="1311">
        <v>112</v>
      </c>
      <c r="F60" s="1311">
        <v>4201575.8967142403</v>
      </c>
    </row>
    <row r="61" spans="1:6">
      <c r="A61" s="1310" t="s">
        <v>48</v>
      </c>
      <c r="B61" s="1310" t="s">
        <v>53</v>
      </c>
      <c r="C61" s="1311">
        <v>360</v>
      </c>
      <c r="D61" s="1311">
        <v>19625615.6349007</v>
      </c>
      <c r="E61" s="1311">
        <v>868</v>
      </c>
      <c r="F61" s="1311">
        <v>22558088.327623598</v>
      </c>
    </row>
    <row r="62" spans="1:6">
      <c r="A62" s="1310" t="s">
        <v>48</v>
      </c>
      <c r="B62" s="1310" t="s">
        <v>54</v>
      </c>
      <c r="C62" s="1311">
        <v>14</v>
      </c>
      <c r="D62" s="1311">
        <v>1464208.53632663</v>
      </c>
      <c r="E62" s="1311">
        <v>17</v>
      </c>
      <c r="F62" s="1311">
        <v>210594.71165536201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14</v>
      </c>
      <c r="F66" s="1311">
        <v>803061.04875105806</v>
      </c>
    </row>
    <row r="67" spans="1:6">
      <c r="A67" s="1310" t="s">
        <v>55</v>
      </c>
      <c r="B67" s="1310" t="s">
        <v>58</v>
      </c>
      <c r="C67" s="1311">
        <v>0</v>
      </c>
      <c r="D67" s="1311">
        <v>0</v>
      </c>
      <c r="E67" s="1311">
        <v>0</v>
      </c>
      <c r="F67" s="1311">
        <v>0</v>
      </c>
    </row>
    <row r="68" spans="1:6">
      <c r="A68" s="1305" t="s">
        <v>55</v>
      </c>
      <c r="B68" s="1305" t="s">
        <v>59</v>
      </c>
      <c r="C68" s="1313">
        <v>14</v>
      </c>
      <c r="D68" s="1313">
        <v>454749.77816916403</v>
      </c>
      <c r="E68" s="1313">
        <v>26</v>
      </c>
      <c r="F68" s="1313">
        <v>1042520.45533381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68970506</v>
      </c>
      <c r="E73" s="445"/>
      <c r="F73" s="326"/>
    </row>
    <row r="74" spans="1:6">
      <c r="A74" s="1310" t="s">
        <v>63</v>
      </c>
      <c r="B74" s="1310" t="s">
        <v>632</v>
      </c>
      <c r="C74" s="1323" t="s">
        <v>634</v>
      </c>
      <c r="D74" s="1311">
        <v>2182923.23576512</v>
      </c>
      <c r="E74" s="445"/>
      <c r="F74" s="326"/>
    </row>
    <row r="75" spans="1:6">
      <c r="A75" s="1310" t="s">
        <v>64</v>
      </c>
      <c r="B75" s="1310" t="s">
        <v>631</v>
      </c>
      <c r="C75" s="1323" t="s">
        <v>635</v>
      </c>
      <c r="D75" s="1311">
        <v>62426759</v>
      </c>
      <c r="E75" s="445"/>
      <c r="F75" s="326"/>
    </row>
    <row r="76" spans="1:6">
      <c r="A76" s="1310" t="s">
        <v>64</v>
      </c>
      <c r="B76" s="1310" t="s">
        <v>632</v>
      </c>
      <c r="C76" s="1323" t="s">
        <v>636</v>
      </c>
      <c r="D76" s="1311">
        <v>2255034.23576512</v>
      </c>
      <c r="E76" s="445"/>
      <c r="F76" s="326"/>
    </row>
    <row r="77" spans="1:6">
      <c r="A77" s="1310" t="s">
        <v>65</v>
      </c>
      <c r="B77" s="1310" t="s">
        <v>631</v>
      </c>
      <c r="C77" s="1323" t="s">
        <v>637</v>
      </c>
      <c r="D77" s="1311">
        <v>271184244</v>
      </c>
      <c r="E77" s="445"/>
      <c r="F77" s="326"/>
    </row>
    <row r="78" spans="1:6">
      <c r="A78" s="1305" t="s">
        <v>65</v>
      </c>
      <c r="B78" s="1305" t="s">
        <v>632</v>
      </c>
      <c r="C78" s="1305" t="s">
        <v>638</v>
      </c>
      <c r="D78" s="1313">
        <v>33883276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1242375.52846976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5676.8208166479217</v>
      </c>
      <c r="C91" s="326"/>
      <c r="D91" s="326"/>
      <c r="E91" s="326"/>
      <c r="F91" s="326"/>
    </row>
    <row r="92" spans="1:6">
      <c r="A92" s="1305" t="s">
        <v>68</v>
      </c>
      <c r="B92" s="1306">
        <v>5879.6787818967659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6866</v>
      </c>
      <c r="C97" s="326"/>
      <c r="D97" s="326"/>
      <c r="E97" s="326"/>
      <c r="F97" s="326"/>
    </row>
    <row r="98" spans="1:6">
      <c r="A98" s="1310" t="s">
        <v>71</v>
      </c>
      <c r="B98" s="1311">
        <v>3</v>
      </c>
      <c r="C98" s="326"/>
      <c r="D98" s="326"/>
      <c r="E98" s="326"/>
      <c r="F98" s="326"/>
    </row>
    <row r="99" spans="1:6">
      <c r="A99" s="1310" t="s">
        <v>72</v>
      </c>
      <c r="B99" s="1311">
        <v>130</v>
      </c>
      <c r="C99" s="326"/>
      <c r="D99" s="326"/>
      <c r="E99" s="326"/>
      <c r="F99" s="326"/>
    </row>
    <row r="100" spans="1:6">
      <c r="A100" s="1310" t="s">
        <v>73</v>
      </c>
      <c r="B100" s="1311">
        <v>1177</v>
      </c>
      <c r="C100" s="326"/>
      <c r="D100" s="326"/>
      <c r="E100" s="326"/>
      <c r="F100" s="326"/>
    </row>
    <row r="101" spans="1:6">
      <c r="A101" s="1310" t="s">
        <v>74</v>
      </c>
      <c r="B101" s="1311">
        <v>56</v>
      </c>
      <c r="C101" s="326"/>
      <c r="D101" s="326"/>
      <c r="E101" s="326"/>
      <c r="F101" s="326"/>
    </row>
    <row r="102" spans="1:6">
      <c r="A102" s="1310" t="s">
        <v>75</v>
      </c>
      <c r="B102" s="1311">
        <v>230</v>
      </c>
      <c r="C102" s="326"/>
      <c r="D102" s="326"/>
      <c r="E102" s="326"/>
      <c r="F102" s="326"/>
    </row>
    <row r="103" spans="1:6">
      <c r="A103" s="1310" t="s">
        <v>76</v>
      </c>
      <c r="B103" s="1311">
        <v>159</v>
      </c>
      <c r="C103" s="326"/>
      <c r="D103" s="326"/>
      <c r="E103" s="326"/>
      <c r="F103" s="326"/>
    </row>
    <row r="104" spans="1:6">
      <c r="A104" s="1310" t="s">
        <v>77</v>
      </c>
      <c r="B104" s="1311">
        <v>4800</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59</v>
      </c>
      <c r="C123" s="1311">
        <v>39</v>
      </c>
      <c r="D123" s="326"/>
      <c r="E123" s="326"/>
      <c r="F123" s="326"/>
    </row>
    <row r="124" spans="1:6">
      <c r="A124" s="1310" t="s">
        <v>88</v>
      </c>
      <c r="B124" s="1311">
        <v>3</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153</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136803.05706786452</v>
      </c>
      <c r="C3" s="43" t="s">
        <v>163</v>
      </c>
      <c r="D3" s="43"/>
      <c r="E3" s="154"/>
      <c r="F3" s="43"/>
      <c r="G3" s="43"/>
      <c r="H3" s="43"/>
      <c r="I3" s="43"/>
      <c r="J3" s="43"/>
      <c r="K3" s="96"/>
    </row>
    <row r="4" spans="1:11">
      <c r="A4" s="352" t="s">
        <v>164</v>
      </c>
      <c r="B4" s="49">
        <f>IF(ISERROR('SEAP template'!B78+'SEAP template'!C78),0,'SEAP template'!B78+'SEAP template'!C78)</f>
        <v>11556.499598544688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0.20233092588704793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3067.5529999999999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3067.5529999999999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0.20233092588704793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620.66083869759154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51283.052162335502</v>
      </c>
      <c r="C5" s="17">
        <f>IF(ISERROR('Eigen informatie GS &amp; warmtenet'!B59),0,'Eigen informatie GS &amp; warmtenet'!B59)</f>
        <v>0</v>
      </c>
      <c r="D5" s="30">
        <f>(SUM(HH_hh_gas_kWh,HH_rest_gas_kWh)/1000)*0.903</f>
        <v>149569.94717952632</v>
      </c>
      <c r="E5" s="17">
        <f>B32*B41</f>
        <v>3214.9209431706622</v>
      </c>
      <c r="F5" s="17">
        <f>B36*B45</f>
        <v>70428.00409400338</v>
      </c>
      <c r="G5" s="18"/>
      <c r="H5" s="17"/>
      <c r="I5" s="17"/>
      <c r="J5" s="17">
        <f>B35*B44+C35*C44</f>
        <v>401.37689830721882</v>
      </c>
      <c r="K5" s="17"/>
      <c r="L5" s="17"/>
      <c r="M5" s="17"/>
      <c r="N5" s="17">
        <f>B34*B43+C34*C43</f>
        <v>20224.600854692995</v>
      </c>
      <c r="O5" s="17">
        <f>B52*B53*B54</f>
        <v>390.83976921924528</v>
      </c>
      <c r="P5" s="17">
        <f>B60*B61*B62/1000-B60*B61*B62/1000/B63</f>
        <v>990.19217492239204</v>
      </c>
    </row>
    <row r="6" spans="1:16">
      <c r="A6" s="16" t="s">
        <v>597</v>
      </c>
      <c r="B6" s="778">
        <f>kWh_PV_kleiner_dan_10kW</f>
        <v>5676.8208166479217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56959.872978983425</v>
      </c>
      <c r="C8" s="21">
        <f>C5</f>
        <v>0</v>
      </c>
      <c r="D8" s="21">
        <f>D5</f>
        <v>149569.94717952632</v>
      </c>
      <c r="E8" s="21">
        <f>E5</f>
        <v>3214.9209431706622</v>
      </c>
      <c r="F8" s="21">
        <f>F5</f>
        <v>70428.00409400338</v>
      </c>
      <c r="G8" s="21"/>
      <c r="H8" s="21"/>
      <c r="I8" s="21"/>
      <c r="J8" s="21">
        <f>J5</f>
        <v>401.37689830721882</v>
      </c>
      <c r="K8" s="21"/>
      <c r="L8" s="21">
        <f>L5</f>
        <v>0</v>
      </c>
      <c r="M8" s="21">
        <f>M5</f>
        <v>0</v>
      </c>
      <c r="N8" s="21">
        <f>N5</f>
        <v>20224.600854692995</v>
      </c>
      <c r="O8" s="21">
        <f>O5</f>
        <v>390.83976921924528</v>
      </c>
      <c r="P8" s="21">
        <f>P5</f>
        <v>990.19217492239204</v>
      </c>
    </row>
    <row r="9" spans="1:16">
      <c r="B9" s="19"/>
      <c r="C9" s="19"/>
      <c r="D9" s="254"/>
      <c r="E9" s="19"/>
      <c r="F9" s="19"/>
      <c r="G9" s="19"/>
      <c r="H9" s="19"/>
      <c r="I9" s="19"/>
      <c r="J9" s="19"/>
      <c r="K9" s="19"/>
      <c r="L9" s="19"/>
      <c r="M9" s="19"/>
      <c r="N9" s="19"/>
      <c r="O9" s="19"/>
      <c r="P9" s="19"/>
    </row>
    <row r="10" spans="1:16">
      <c r="A10" s="24" t="s">
        <v>207</v>
      </c>
      <c r="B10" s="25">
        <f ca="1">'EF ele_warmte'!B12</f>
        <v>0.20233092588704793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11524.743838246359</v>
      </c>
      <c r="C12" s="23">
        <f ca="1">C10*C8</f>
        <v>0</v>
      </c>
      <c r="D12" s="23">
        <f>D8*D10</f>
        <v>30213.129330264321</v>
      </c>
      <c r="E12" s="23">
        <f>E10*E8</f>
        <v>729.78705409974032</v>
      </c>
      <c r="F12" s="23">
        <f>F10*F8</f>
        <v>18804.277093098903</v>
      </c>
      <c r="G12" s="23"/>
      <c r="H12" s="23"/>
      <c r="I12" s="23"/>
      <c r="J12" s="23">
        <f>J10*J8</f>
        <v>142.08742200075545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15565</v>
      </c>
      <c r="C26" s="36"/>
      <c r="D26" s="225"/>
    </row>
    <row r="27" spans="1:5" s="15" customFormat="1">
      <c r="A27" s="227" t="s">
        <v>860</v>
      </c>
      <c r="B27" s="37">
        <f>SUM(HH_hh_gas_aantal,HH_rest_gas_aantal)</f>
        <v>10954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10406.299999999999</v>
      </c>
      <c r="C31" s="34" t="s">
        <v>104</v>
      </c>
      <c r="D31" s="171"/>
    </row>
    <row r="32" spans="1:5">
      <c r="A32" s="168" t="s">
        <v>72</v>
      </c>
      <c r="B32" s="33">
        <f>IF((B21*($B$26-($B$27-0.05*$B$27)-$B$60))&lt;0,0,(B21*($B$26-($B$27-0.05*$B$27)-$B$60)))</f>
        <v>80.403118825171077</v>
      </c>
      <c r="C32" s="34" t="s">
        <v>104</v>
      </c>
      <c r="D32" s="171"/>
    </row>
    <row r="33" spans="1:6">
      <c r="A33" s="168" t="s">
        <v>73</v>
      </c>
      <c r="B33" s="33">
        <f>IF((B22*($B$26-($B$27-0.05*$B$27)-$B$60))&lt;0,0,B22*($B$26-($B$27-0.05*$B$27)-$B$60))</f>
        <v>1305.5874095961433</v>
      </c>
      <c r="C33" s="34" t="s">
        <v>104</v>
      </c>
      <c r="D33" s="171"/>
    </row>
    <row r="34" spans="1:6">
      <c r="A34" s="168" t="s">
        <v>74</v>
      </c>
      <c r="B34" s="33">
        <f>IF((B24*($B$26-($B$27-0.05*$B$27)-$B$60))&lt;0,0,B24*($B$26-($B$27-0.05*$B$27)-$B$60))</f>
        <v>250.29857839621366</v>
      </c>
      <c r="C34" s="33">
        <f>B26*C24</f>
        <v>3189.3609530888602</v>
      </c>
      <c r="D34" s="230"/>
    </row>
    <row r="35" spans="1:6">
      <c r="A35" s="168" t="s">
        <v>76</v>
      </c>
      <c r="B35" s="33">
        <f>IF((B19*($B$26-($B$27-0.05*$B$27)-$B$60))&lt;0,0,B19*($B$26-($B$27-0.05*$B$27)-$B$60))</f>
        <v>34.951044067019865</v>
      </c>
      <c r="C35" s="33">
        <f>B35/2</f>
        <v>17.475522033509932</v>
      </c>
      <c r="D35" s="230"/>
    </row>
    <row r="36" spans="1:6">
      <c r="A36" s="168" t="s">
        <v>77</v>
      </c>
      <c r="B36" s="33">
        <f>IF((B18*($B$26-($B$27-0.05*$B$27)-$B$60))&lt;0,0,B18*($B$26-($B$27-0.05*$B$27)-$B$60))</f>
        <v>3393.459849115452</v>
      </c>
      <c r="C36" s="34" t="s">
        <v>104</v>
      </c>
      <c r="D36" s="171"/>
    </row>
    <row r="37" spans="1:6">
      <c r="A37" s="168" t="s">
        <v>78</v>
      </c>
      <c r="B37" s="33">
        <f>B60</f>
        <v>94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65041.34114190848</v>
      </c>
      <c r="C5" s="17">
        <f>IF(ISERROR('Eigen informatie GS &amp; warmtenet'!B60),0,'Eigen informatie GS &amp; warmtenet'!B60)</f>
        <v>0</v>
      </c>
      <c r="D5" s="30">
        <f>SUM(D6:D12)</f>
        <v>64870.408215445146</v>
      </c>
      <c r="E5" s="17">
        <f>SUM(E6:E12)</f>
        <v>328.22787282876283</v>
      </c>
      <c r="F5" s="17">
        <f>SUM(F6:F12)</f>
        <v>13745.854394052403</v>
      </c>
      <c r="G5" s="18"/>
      <c r="H5" s="17"/>
      <c r="I5" s="17"/>
      <c r="J5" s="17">
        <f>SUM(J6:J12)</f>
        <v>9.5014644880760987E-2</v>
      </c>
      <c r="K5" s="17"/>
      <c r="L5" s="17"/>
      <c r="M5" s="17"/>
      <c r="N5" s="17">
        <f>SUM(N6:N12)</f>
        <v>3659.8968725882478</v>
      </c>
      <c r="O5" s="17">
        <f>B38*B39*B40</f>
        <v>9.7945215316823084</v>
      </c>
      <c r="P5" s="17">
        <f>B46*B47*B48/1000-B46*B47*B48/1000/B49</f>
        <v>157.61741491948504</v>
      </c>
      <c r="R5" s="32"/>
    </row>
    <row r="6" spans="1:18">
      <c r="A6" s="32" t="s">
        <v>53</v>
      </c>
      <c r="B6" s="37">
        <f>B26</f>
        <v>22558.088327623598</v>
      </c>
      <c r="C6" s="33"/>
      <c r="D6" s="37">
        <f>IF(ISERROR(TER_kantoor_gas_kWh/1000),0,TER_kantoor_gas_kWh/1000)*0.903</f>
        <v>17721.930918315331</v>
      </c>
      <c r="E6" s="33">
        <f>$C$26*'E Balans VL '!I12/100/3.6*1000000</f>
        <v>5.3749275560893599</v>
      </c>
      <c r="F6" s="33">
        <f>$C$26*('E Balans VL '!L12+'E Balans VL '!N12)/100/3.6*1000000</f>
        <v>1959.3909536473843</v>
      </c>
      <c r="G6" s="34"/>
      <c r="H6" s="33"/>
      <c r="I6" s="33"/>
      <c r="J6" s="33">
        <f>$C$26*('E Balans VL '!D12+'E Balans VL '!E12)/100/3.6*1000000</f>
        <v>0</v>
      </c>
      <c r="K6" s="33"/>
      <c r="L6" s="33"/>
      <c r="M6" s="33"/>
      <c r="N6" s="33">
        <f>$C$26*'E Balans VL '!Y12/100/3.6*1000000</f>
        <v>30.152040930916183</v>
      </c>
      <c r="O6" s="33"/>
      <c r="P6" s="33"/>
      <c r="R6" s="32"/>
    </row>
    <row r="7" spans="1:18">
      <c r="A7" s="32" t="s">
        <v>52</v>
      </c>
      <c r="B7" s="37">
        <f t="shared" ref="B7:B12" si="0">B27</f>
        <v>4201.5758967142401</v>
      </c>
      <c r="C7" s="33"/>
      <c r="D7" s="37">
        <f>IF(ISERROR(TER_horeca_gas_kWh/1000),0,TER_horeca_gas_kWh/1000)*0.903</f>
        <v>7197.6041235704961</v>
      </c>
      <c r="E7" s="33">
        <f>$C$27*'E Balans VL '!I9/100/3.6*1000000</f>
        <v>0</v>
      </c>
      <c r="F7" s="33">
        <f>$C$27*('E Balans VL '!L9+'E Balans VL '!N9)/100/3.6*1000000</f>
        <v>342.35239792021338</v>
      </c>
      <c r="G7" s="34"/>
      <c r="H7" s="33"/>
      <c r="I7" s="33"/>
      <c r="J7" s="33">
        <f>$C$27*('E Balans VL '!D9+'E Balans VL '!E9)/100/3.6*1000000</f>
        <v>0</v>
      </c>
      <c r="K7" s="33"/>
      <c r="L7" s="33"/>
      <c r="M7" s="33"/>
      <c r="N7" s="33">
        <f>$C$27*'E Balans VL '!Y9/100/3.6*1000000</f>
        <v>1.1637583011775772</v>
      </c>
      <c r="O7" s="33"/>
      <c r="P7" s="33"/>
      <c r="R7" s="32"/>
    </row>
    <row r="8" spans="1:18">
      <c r="A8" s="6" t="s">
        <v>51</v>
      </c>
      <c r="B8" s="37">
        <f t="shared" si="0"/>
        <v>25152.785963088401</v>
      </c>
      <c r="C8" s="33"/>
      <c r="D8" s="37">
        <f>IF(ISERROR(TER_handel_gas_kWh/1000),0,TER_handel_gas_kWh/1000)*0.903</f>
        <v>23598.434986499378</v>
      </c>
      <c r="E8" s="33">
        <f>$C$28*'E Balans VL '!I13/100/3.6*1000000</f>
        <v>201.06167707049548</v>
      </c>
      <c r="F8" s="33">
        <f>$C$28*('E Balans VL '!L13+'E Balans VL '!N13)/100/3.6*1000000</f>
        <v>2498.7729265925582</v>
      </c>
      <c r="G8" s="34"/>
      <c r="H8" s="33"/>
      <c r="I8" s="33"/>
      <c r="J8" s="33">
        <f>$C$28*('E Balans VL '!D13+'E Balans VL '!E13)/100/3.6*1000000</f>
        <v>0</v>
      </c>
      <c r="K8" s="33"/>
      <c r="L8" s="33"/>
      <c r="M8" s="33"/>
      <c r="N8" s="33">
        <f>$C$28*'E Balans VL '!Y13/100/3.6*1000000</f>
        <v>9.3960627506924741</v>
      </c>
      <c r="O8" s="33"/>
      <c r="P8" s="33"/>
      <c r="R8" s="32"/>
    </row>
    <row r="9" spans="1:18">
      <c r="A9" s="32" t="s">
        <v>50</v>
      </c>
      <c r="B9" s="37">
        <f t="shared" si="0"/>
        <v>3524.08742616272</v>
      </c>
      <c r="C9" s="33"/>
      <c r="D9" s="37">
        <f>IF(ISERROR(TER_gezond_gas_kWh/1000),0,TER_gezond_gas_kWh/1000)*0.903</f>
        <v>8503.0398422682556</v>
      </c>
      <c r="E9" s="33">
        <f>$C$29*'E Balans VL '!I10/100/3.6*1000000</f>
        <v>0</v>
      </c>
      <c r="F9" s="33">
        <f>$C$29*('E Balans VL '!L10+'E Balans VL '!N10)/100/3.6*1000000</f>
        <v>321.27799635440965</v>
      </c>
      <c r="G9" s="34"/>
      <c r="H9" s="33"/>
      <c r="I9" s="33"/>
      <c r="J9" s="33">
        <f>$C$29*('E Balans VL '!D10+'E Balans VL '!E10)/100/3.6*1000000</f>
        <v>0</v>
      </c>
      <c r="K9" s="33"/>
      <c r="L9" s="33"/>
      <c r="M9" s="33"/>
      <c r="N9" s="33">
        <f>$C$29*'E Balans VL '!Y10/100/3.6*1000000</f>
        <v>25.757920938907507</v>
      </c>
      <c r="O9" s="33"/>
      <c r="P9" s="33"/>
      <c r="R9" s="32"/>
    </row>
    <row r="10" spans="1:18">
      <c r="A10" s="32" t="s">
        <v>49</v>
      </c>
      <c r="B10" s="37">
        <f t="shared" si="0"/>
        <v>9394.2088166641588</v>
      </c>
      <c r="C10" s="33"/>
      <c r="D10" s="37">
        <f>IF(ISERROR(TER_ander_gas_kWh/1000),0,TER_ander_gas_kWh/1000)*0.903</f>
        <v>6527.218036488739</v>
      </c>
      <c r="E10" s="33">
        <f>$C$30*'E Balans VL '!I14/100/3.6*1000000</f>
        <v>121.79126820217799</v>
      </c>
      <c r="F10" s="33">
        <f>$C$30*('E Balans VL '!L14+'E Balans VL '!N14)/100/3.6*1000000</f>
        <v>8615.8084568424874</v>
      </c>
      <c r="G10" s="34"/>
      <c r="H10" s="33"/>
      <c r="I10" s="33"/>
      <c r="J10" s="33">
        <f>$C$30*('E Balans VL '!D14+'E Balans VL '!E14)/100/3.6*1000000</f>
        <v>9.5014644880760987E-2</v>
      </c>
      <c r="K10" s="33"/>
      <c r="L10" s="33"/>
      <c r="M10" s="33"/>
      <c r="N10" s="33">
        <f>$C$30*'E Balans VL '!Y14/100/3.6*1000000</f>
        <v>3592.7638748873205</v>
      </c>
      <c r="O10" s="33"/>
      <c r="P10" s="33"/>
      <c r="R10" s="32"/>
    </row>
    <row r="11" spans="1:18">
      <c r="A11" s="32" t="s">
        <v>54</v>
      </c>
      <c r="B11" s="37">
        <f t="shared" si="0"/>
        <v>210.594711655362</v>
      </c>
      <c r="C11" s="33"/>
      <c r="D11" s="37">
        <f>IF(ISERROR(TER_onderwijs_gas_kWh/1000),0,TER_onderwijs_gas_kWh/1000)*0.903</f>
        <v>1322.180308302947</v>
      </c>
      <c r="E11" s="33">
        <f>$C$31*'E Balans VL '!I11/100/3.6*1000000</f>
        <v>0</v>
      </c>
      <c r="F11" s="33">
        <f>$C$31*('E Balans VL '!L11+'E Balans VL '!N11)/100/3.6*1000000</f>
        <v>8.251662695351289</v>
      </c>
      <c r="G11" s="34"/>
      <c r="H11" s="33"/>
      <c r="I11" s="33"/>
      <c r="J11" s="33">
        <f>$C$31*('E Balans VL '!D11+'E Balans VL '!E11)/100/3.6*1000000</f>
        <v>0</v>
      </c>
      <c r="K11" s="33"/>
      <c r="L11" s="33"/>
      <c r="M11" s="33"/>
      <c r="N11" s="33">
        <f>$C$31*'E Balans VL '!Y11/100/3.6*1000000</f>
        <v>0.66321477923336769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65041.34114190848</v>
      </c>
      <c r="C16" s="21">
        <f t="shared" ca="1" si="1"/>
        <v>0</v>
      </c>
      <c r="D16" s="21">
        <f t="shared" ca="1" si="1"/>
        <v>64870.408215445146</v>
      </c>
      <c r="E16" s="21">
        <f t="shared" si="1"/>
        <v>328.22787282876283</v>
      </c>
      <c r="F16" s="21">
        <f t="shared" ca="1" si="1"/>
        <v>13745.854394052403</v>
      </c>
      <c r="G16" s="21">
        <f t="shared" si="1"/>
        <v>0</v>
      </c>
      <c r="H16" s="21">
        <f t="shared" si="1"/>
        <v>0</v>
      </c>
      <c r="I16" s="21">
        <f t="shared" si="1"/>
        <v>0</v>
      </c>
      <c r="J16" s="21">
        <f t="shared" si="1"/>
        <v>9.5014644880760987E-2</v>
      </c>
      <c r="K16" s="21">
        <f t="shared" si="1"/>
        <v>0</v>
      </c>
      <c r="L16" s="21">
        <f t="shared" ca="1" si="1"/>
        <v>0</v>
      </c>
      <c r="M16" s="21">
        <f t="shared" si="1"/>
        <v>0</v>
      </c>
      <c r="N16" s="21">
        <f t="shared" ca="1" si="1"/>
        <v>3659.8968725882478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0.20233092588704793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13159.874774177686</v>
      </c>
      <c r="C20" s="23">
        <f t="shared" ref="C20:P20" ca="1" si="2">C16*C18</f>
        <v>0</v>
      </c>
      <c r="D20" s="23">
        <f t="shared" ca="1" si="2"/>
        <v>13103.822459519921</v>
      </c>
      <c r="E20" s="23">
        <f t="shared" si="2"/>
        <v>74.507727132129162</v>
      </c>
      <c r="F20" s="23">
        <f t="shared" ca="1" si="2"/>
        <v>3670.1431232119917</v>
      </c>
      <c r="G20" s="23">
        <f t="shared" si="2"/>
        <v>0</v>
      </c>
      <c r="H20" s="23">
        <f t="shared" si="2"/>
        <v>0</v>
      </c>
      <c r="I20" s="23">
        <f t="shared" si="2"/>
        <v>0</v>
      </c>
      <c r="J20" s="23">
        <f t="shared" si="2"/>
        <v>3.3635184287789388E-2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22558.088327623598</v>
      </c>
      <c r="C26" s="39">
        <f>IF(ISERROR(B26*3.6/1000000/'E Balans VL '!Z12*100),0,B26*3.6/1000000/'E Balans VL '!Z12*100)</f>
        <v>0.64718943128822004</v>
      </c>
      <c r="D26" s="233" t="s">
        <v>835</v>
      </c>
      <c r="F26" s="6"/>
    </row>
    <row r="27" spans="1:18" ht="30">
      <c r="A27" s="228" t="s">
        <v>52</v>
      </c>
      <c r="B27" s="33">
        <f>IF(ISERROR(TER_horeca_ele_kWh/1000),0,TER_horeca_ele_kWh/1000)</f>
        <v>4201.5758967142401</v>
      </c>
      <c r="C27" s="39">
        <f>IF(ISERROR(B27*3.6/1000000/'E Balans VL '!Z9*100),0,B27*3.6/1000000/'E Balans VL '!Z9*100)</f>
        <v>0.30780893770056084</v>
      </c>
      <c r="D27" s="233" t="s">
        <v>835</v>
      </c>
      <c r="F27" s="6"/>
    </row>
    <row r="28" spans="1:18" ht="30">
      <c r="A28" s="168" t="s">
        <v>51</v>
      </c>
      <c r="B28" s="33">
        <f>IF(ISERROR(TER_handel_ele_kWh/1000),0,TER_handel_ele_kWh/1000)</f>
        <v>25152.785963088401</v>
      </c>
      <c r="C28" s="39">
        <f>IF(ISERROR(B28*3.6/1000000/'E Balans VL '!Z13*100),0,B28*3.6/1000000/'E Balans VL '!Z13*100)</f>
        <v>0.77724230141037387</v>
      </c>
      <c r="D28" s="233" t="s">
        <v>835</v>
      </c>
      <c r="F28" s="6"/>
    </row>
    <row r="29" spans="1:18" ht="30">
      <c r="A29" s="228" t="s">
        <v>50</v>
      </c>
      <c r="B29" s="33">
        <f>IF(ISERROR(TER_gezond_ele_kWh/1000),0,TER_gezond_ele_kWh/1000)</f>
        <v>3524.08742616272</v>
      </c>
      <c r="C29" s="39">
        <f>IF(ISERROR(B29*3.6/1000000/'E Balans VL '!Z10*100),0,B29*3.6/1000000/'E Balans VL '!Z10*100)</f>
        <v>0.34538223721894168</v>
      </c>
      <c r="D29" s="233" t="s">
        <v>835</v>
      </c>
      <c r="F29" s="6"/>
    </row>
    <row r="30" spans="1:18" ht="30">
      <c r="A30" s="228" t="s">
        <v>49</v>
      </c>
      <c r="B30" s="33">
        <f>IF(ISERROR(TER_ander_ele_kWh/1000),0,TER_ander_ele_kWh/1000)</f>
        <v>9394.2088166641588</v>
      </c>
      <c r="C30" s="39">
        <f>IF(ISERROR(B30*3.6/1000000/'E Balans VL '!Z14*100),0,B30*3.6/1000000/'E Balans VL '!Z14*100)</f>
        <v>0.38913847732734874</v>
      </c>
      <c r="D30" s="233" t="s">
        <v>835</v>
      </c>
      <c r="F30" s="6"/>
    </row>
    <row r="31" spans="1:18" ht="30">
      <c r="A31" s="228" t="s">
        <v>54</v>
      </c>
      <c r="B31" s="33">
        <f>IF(ISERROR(TER_onderwijs_ele_kWh/1000),0,TER_onderwijs_ele_kWh/1000)</f>
        <v>210.594711655362</v>
      </c>
      <c r="C31" s="39">
        <f>IF(ISERROR(B31*3.6/1000000/'E Balans VL '!Z11*100),0,B31*3.6/1000000/'E Balans VL '!Z11*100)</f>
        <v>6.4709352260682307E-2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7956.2390319625392</v>
      </c>
      <c r="C5" s="17">
        <f>IF(ISERROR('Eigen informatie GS &amp; warmtenet'!B61),0,'Eigen informatie GS &amp; warmtenet'!B61)</f>
        <v>0</v>
      </c>
      <c r="D5" s="30">
        <f>SUM(D6:D15)</f>
        <v>36522.167150820314</v>
      </c>
      <c r="E5" s="17">
        <f>SUM(E6:E15)</f>
        <v>70.158183340612467</v>
      </c>
      <c r="F5" s="17">
        <f>SUM(F6:F15)</f>
        <v>1465.6602541895543</v>
      </c>
      <c r="G5" s="18"/>
      <c r="H5" s="17"/>
      <c r="I5" s="17"/>
      <c r="J5" s="17">
        <f>SUM(J6:J15)</f>
        <v>90.521821663888304</v>
      </c>
      <c r="K5" s="17"/>
      <c r="L5" s="17"/>
      <c r="M5" s="17"/>
      <c r="N5" s="17">
        <f>SUM(N6:N15)</f>
        <v>1485.2654146213936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3782.4044972799902</v>
      </c>
      <c r="C8" s="33"/>
      <c r="D8" s="37">
        <f>IF( ISERROR(IND_metaal_Gas_kWH/1000),0,IND_metaal_Gas_kWH/1000)*0.903</f>
        <v>6386.4329002783743</v>
      </c>
      <c r="E8" s="33">
        <f>C30*'E Balans VL '!I18/100/3.6*1000000</f>
        <v>20.618476808916785</v>
      </c>
      <c r="F8" s="33">
        <f>C30*'E Balans VL '!L18/100/3.6*1000000+C30*'E Balans VL '!N18/100/3.6*1000000</f>
        <v>243.58713853510511</v>
      </c>
      <c r="G8" s="34"/>
      <c r="H8" s="33"/>
      <c r="I8" s="33"/>
      <c r="J8" s="40">
        <f>C30*'E Balans VL '!D18/100/3.6*1000000+C30*'E Balans VL '!E18/100/3.6*1000000</f>
        <v>3.0982506549513489</v>
      </c>
      <c r="K8" s="33"/>
      <c r="L8" s="33"/>
      <c r="M8" s="33"/>
      <c r="N8" s="33">
        <f>C30*'E Balans VL '!Y18/100/3.6*1000000</f>
        <v>81.71634976257738</v>
      </c>
      <c r="O8" s="33"/>
      <c r="P8" s="33"/>
      <c r="R8" s="32"/>
    </row>
    <row r="9" spans="1:18">
      <c r="A9" s="6" t="s">
        <v>32</v>
      </c>
      <c r="B9" s="37">
        <f t="shared" si="0"/>
        <v>1301.7416992062099</v>
      </c>
      <c r="C9" s="33"/>
      <c r="D9" s="37">
        <f>IF( ISERROR(IND_andere_gas_kWh/1000),0,IND_andere_gas_kWh/1000)*0.903</f>
        <v>1989.0776212257042</v>
      </c>
      <c r="E9" s="33">
        <f>C31*'E Balans VL '!I19/100/3.6*1000000</f>
        <v>4.2022438923723175</v>
      </c>
      <c r="F9" s="33">
        <f>C31*'E Balans VL '!L19/100/3.6*1000000+C31*'E Balans VL '!N19/100/3.6*1000000</f>
        <v>841.71640145902552</v>
      </c>
      <c r="G9" s="34"/>
      <c r="H9" s="33"/>
      <c r="I9" s="33"/>
      <c r="J9" s="40">
        <f>C31*'E Balans VL '!D19/100/3.6*1000000+C31*'E Balans VL '!E19/100/3.6*1000000</f>
        <v>0</v>
      </c>
      <c r="K9" s="33"/>
      <c r="L9" s="33"/>
      <c r="M9" s="33"/>
      <c r="N9" s="33">
        <f>C31*'E Balans VL '!Y19/100/3.6*1000000</f>
        <v>52.601878421390957</v>
      </c>
      <c r="O9" s="33"/>
      <c r="P9" s="33"/>
      <c r="R9" s="32"/>
    </row>
    <row r="10" spans="1:18">
      <c r="A10" s="6" t="s">
        <v>40</v>
      </c>
      <c r="B10" s="37">
        <f t="shared" si="0"/>
        <v>323.11261987007003</v>
      </c>
      <c r="C10" s="33"/>
      <c r="D10" s="37">
        <f>IF( ISERROR(IND_voed_gas_kWh/1000),0,IND_voed_gas_kWh/1000)*0.903</f>
        <v>620.26011879980888</v>
      </c>
      <c r="E10" s="33">
        <f>C32*'E Balans VL '!I20/100/3.6*1000000</f>
        <v>0.67732323760748803</v>
      </c>
      <c r="F10" s="33">
        <f>C32*'E Balans VL '!L20/100/3.6*1000000+C32*'E Balans VL '!N20/100/3.6*1000000</f>
        <v>6.2953504725908838</v>
      </c>
      <c r="G10" s="34"/>
      <c r="H10" s="33"/>
      <c r="I10" s="33"/>
      <c r="J10" s="40">
        <f>C32*'E Balans VL '!D20/100/3.6*1000000+C32*'E Balans VL '!E20/100/3.6*1000000</f>
        <v>0</v>
      </c>
      <c r="K10" s="33"/>
      <c r="L10" s="33"/>
      <c r="M10" s="33"/>
      <c r="N10" s="33">
        <f>C32*'E Balans VL '!Y20/100/3.6*1000000</f>
        <v>12.852524218962575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2441.1762530030701</v>
      </c>
      <c r="C12" s="33"/>
      <c r="D12" s="37">
        <f>IF( ISERROR(IND_min_gas_kWh/1000),0,IND_min_gas_kWh/1000)*0.903</f>
        <v>0</v>
      </c>
      <c r="E12" s="33">
        <f>C34*'E Balans VL '!I22/100/3.6*1000000</f>
        <v>39.949993131984314</v>
      </c>
      <c r="F12" s="33">
        <f>C34*'E Balans VL '!L22/100/3.6*1000000+C34*'E Balans VL '!N22/100/3.6*1000000</f>
        <v>372.60729747587527</v>
      </c>
      <c r="G12" s="34"/>
      <c r="H12" s="33"/>
      <c r="I12" s="33"/>
      <c r="J12" s="40">
        <f>C34*'E Balans VL '!D22/100/3.6*1000000+C34*'E Balans VL '!E22/100/3.6*1000000</f>
        <v>87.361314243173666</v>
      </c>
      <c r="K12" s="33"/>
      <c r="L12" s="33"/>
      <c r="M12" s="33"/>
      <c r="N12" s="33">
        <f>C34*'E Balans VL '!Y22/100/3.6*1000000</f>
        <v>1337.8163978372133</v>
      </c>
      <c r="O12" s="33"/>
      <c r="P12" s="33"/>
      <c r="R12" s="32"/>
    </row>
    <row r="13" spans="1:18">
      <c r="A13" s="6" t="s">
        <v>38</v>
      </c>
      <c r="B13" s="37">
        <f t="shared" si="0"/>
        <v>79.084278594873496</v>
      </c>
      <c r="C13" s="33"/>
      <c r="D13" s="37">
        <f>IF( ISERROR(IND_papier_gas_kWh/1000),0,IND_papier_gas_kWh/1000)*0.903</f>
        <v>158.49966262909481</v>
      </c>
      <c r="E13" s="33">
        <f>C35*'E Balans VL '!I23/100/3.6*1000000</f>
        <v>0</v>
      </c>
      <c r="F13" s="33">
        <f>C35*'E Balans VL '!L23/100/3.6*1000000+C35*'E Balans VL '!N23/100/3.6*1000000</f>
        <v>1.0593588444033103E-2</v>
      </c>
      <c r="G13" s="34"/>
      <c r="H13" s="33"/>
      <c r="I13" s="33"/>
      <c r="J13" s="40">
        <f>C35*'E Balans VL '!D23/100/3.6*1000000+C35*'E Balans VL '!E23/100/3.6*1000000</f>
        <v>1.5643367902023333E-2</v>
      </c>
      <c r="K13" s="33"/>
      <c r="L13" s="33"/>
      <c r="M13" s="33"/>
      <c r="N13" s="33">
        <f>C35*'E Balans VL '!Y23/100/3.6*1000000</f>
        <v>0</v>
      </c>
      <c r="O13" s="33"/>
      <c r="P13" s="33"/>
      <c r="R13" s="32"/>
    </row>
    <row r="14" spans="1:18">
      <c r="A14" s="6" t="s">
        <v>33</v>
      </c>
      <c r="B14" s="37">
        <f t="shared" si="0"/>
        <v>20.134502135275202</v>
      </c>
      <c r="C14" s="33"/>
      <c r="D14" s="37">
        <f>IF( ISERROR(IND_chemie_gas_kWh/1000),0,IND_chemie_gas_kWh/1000)*0.903</f>
        <v>0</v>
      </c>
      <c r="E14" s="33">
        <f>C36*'E Balans VL '!I24/100/3.6*1000000</f>
        <v>4.2047152477869636</v>
      </c>
      <c r="F14" s="33">
        <f>C36*'E Balans VL '!L24/100/3.6*1000000+C36*'E Balans VL '!N24/100/3.6*1000000</f>
        <v>0.13377285693984578</v>
      </c>
      <c r="G14" s="34"/>
      <c r="H14" s="33"/>
      <c r="I14" s="33"/>
      <c r="J14" s="40">
        <f>C36*'E Balans VL '!D24/100/3.6*1000000+C36*'E Balans VL '!E24/100/3.6*1000000</f>
        <v>0</v>
      </c>
      <c r="K14" s="33"/>
      <c r="L14" s="33"/>
      <c r="M14" s="33"/>
      <c r="N14" s="33">
        <f>C36*'E Balans VL '!Y24/100/3.6*1000000</f>
        <v>7.026000823117425E-3</v>
      </c>
      <c r="O14" s="33"/>
      <c r="P14" s="33"/>
      <c r="R14" s="32"/>
    </row>
    <row r="15" spans="1:18">
      <c r="A15" s="6" t="s">
        <v>259</v>
      </c>
      <c r="B15" s="37">
        <f t="shared" si="0"/>
        <v>8.5851818730495992</v>
      </c>
      <c r="C15" s="33"/>
      <c r="D15" s="37">
        <f>IF( ISERROR(IND_rest_gas_kWh/1000),0,IND_rest_gas_kWh/1000)*0.903</f>
        <v>27367.896847887336</v>
      </c>
      <c r="E15" s="33">
        <f>C37*'E Balans VL '!I15/100/3.6*1000000</f>
        <v>0.50543102194460532</v>
      </c>
      <c r="F15" s="33">
        <f>C37*'E Balans VL '!L15/100/3.6*1000000+C37*'E Balans VL '!N15/100/3.6*1000000</f>
        <v>1.3096998015734829</v>
      </c>
      <c r="G15" s="34"/>
      <c r="H15" s="33"/>
      <c r="I15" s="33"/>
      <c r="J15" s="40">
        <f>C37*'E Balans VL '!D15/100/3.6*1000000+C37*'E Balans VL '!E15/100/3.6*1000000</f>
        <v>4.6613397861269321E-2</v>
      </c>
      <c r="K15" s="33"/>
      <c r="L15" s="33"/>
      <c r="M15" s="33"/>
      <c r="N15" s="33">
        <f>C37*'E Balans VL '!Y15/100/3.6*1000000</f>
        <v>0.2712383804261429</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7956.2390319625392</v>
      </c>
      <c r="C18" s="21">
        <f>C5+C16</f>
        <v>0</v>
      </c>
      <c r="D18" s="21">
        <f>MAX((D5+D16),0)</f>
        <v>36522.167150820314</v>
      </c>
      <c r="E18" s="21">
        <f>MAX((E5+E16),0)</f>
        <v>70.158183340612467</v>
      </c>
      <c r="F18" s="21">
        <f>MAX((F5+F16),0)</f>
        <v>1465.6602541895543</v>
      </c>
      <c r="G18" s="21"/>
      <c r="H18" s="21"/>
      <c r="I18" s="21"/>
      <c r="J18" s="21">
        <f>MAX((J5+J16),0)</f>
        <v>90.521821663888304</v>
      </c>
      <c r="K18" s="21"/>
      <c r="L18" s="21">
        <f>MAX((L5+L16),0)</f>
        <v>0</v>
      </c>
      <c r="M18" s="21"/>
      <c r="N18" s="21">
        <f>MAX((N5+N16),0)</f>
        <v>1485.2654146213936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0.20233092588704793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1609.7932099156506</v>
      </c>
      <c r="C22" s="23">
        <f ca="1">C18*C20</f>
        <v>0</v>
      </c>
      <c r="D22" s="23">
        <f>D18*D20</f>
        <v>7377.4777644657042</v>
      </c>
      <c r="E22" s="23">
        <f>E18*E20</f>
        <v>15.92590761831903</v>
      </c>
      <c r="F22" s="23">
        <f>F18*F20</f>
        <v>391.33128786861101</v>
      </c>
      <c r="G22" s="23"/>
      <c r="H22" s="23"/>
      <c r="I22" s="23"/>
      <c r="J22" s="23">
        <f>J18*J20</f>
        <v>32.044724869016456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3782.4044972799902</v>
      </c>
      <c r="C30" s="39">
        <f>IF(ISERROR(B30*3.6/1000000/'E Balans VL '!Z18*100),0,B30*3.6/1000000/'E Balans VL '!Z18*100)</f>
        <v>0.22776602731927487</v>
      </c>
      <c r="D30" s="233" t="s">
        <v>835</v>
      </c>
    </row>
    <row r="31" spans="1:18" ht="30">
      <c r="A31" s="6" t="s">
        <v>32</v>
      </c>
      <c r="B31" s="37">
        <f>IF( ISERROR(IND_ander_ele_kWh/1000),0,IND_ander_ele_kWh/1000)</f>
        <v>1301.7416992062099</v>
      </c>
      <c r="C31" s="39">
        <f>IF(ISERROR(B31*3.6/1000000/'E Balans VL '!Z19*100),0,B31*3.6/1000000/'E Balans VL '!Z19*100)</f>
        <v>5.303565174111266E-2</v>
      </c>
      <c r="D31" s="233" t="s">
        <v>835</v>
      </c>
    </row>
    <row r="32" spans="1:18" ht="30">
      <c r="A32" s="168" t="s">
        <v>40</v>
      </c>
      <c r="B32" s="37">
        <f>IF( ISERROR(IND_voed_ele_kWh/1000),0,IND_voed_ele_kWh/1000)</f>
        <v>323.11261987007003</v>
      </c>
      <c r="C32" s="39">
        <f>IF(ISERROR(B32*3.6/1000000/'E Balans VL '!Z20*100),0,B32*3.6/1000000/'E Balans VL '!Z20*100)</f>
        <v>9.34248614278828E-3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2441.1762530030701</v>
      </c>
      <c r="C34" s="39">
        <f>IF(ISERROR(B34*3.6/1000000/'E Balans VL '!Z22*100),0,B34*3.6/1000000/'E Balans VL '!Z22*100)</f>
        <v>1.0423595760155935</v>
      </c>
      <c r="D34" s="233" t="s">
        <v>835</v>
      </c>
    </row>
    <row r="35" spans="1:5" ht="30">
      <c r="A35" s="168" t="s">
        <v>38</v>
      </c>
      <c r="B35" s="37">
        <f>IF( ISERROR(IND_papier_ele_kWh/1000),0,IND_papier_ele_kWh/1000)</f>
        <v>79.084278594873496</v>
      </c>
      <c r="C35" s="39">
        <f>IF(ISERROR(B35*3.6/1000000/'E Balans VL '!Z22*100),0,B35*3.6/1000000/'E Balans VL '!Z22*100)</f>
        <v>3.3768252089230746E-2</v>
      </c>
      <c r="D35" s="233" t="s">
        <v>835</v>
      </c>
    </row>
    <row r="36" spans="1:5" ht="30">
      <c r="A36" s="168" t="s">
        <v>33</v>
      </c>
      <c r="B36" s="37">
        <f>IF( ISERROR(IND_chemie_ele_kWh/1000),0,IND_chemie_ele_kWh/1000)</f>
        <v>20.134502135275202</v>
      </c>
      <c r="C36" s="39">
        <f>IF(ISERROR(B36*3.6/1000000/'E Balans VL '!Z24*100),0,B36*3.6/1000000/'E Balans VL '!Z24*100)</f>
        <v>6.1095659331456204E-4</v>
      </c>
      <c r="D36" s="233" t="s">
        <v>835</v>
      </c>
    </row>
    <row r="37" spans="1:5" ht="30">
      <c r="A37" s="168" t="s">
        <v>259</v>
      </c>
      <c r="B37" s="37">
        <f>IF( ISERROR(IND_rest_ele_kWh/1000),0,IND_rest_ele_kWh/1000)</f>
        <v>8.5851818730495992</v>
      </c>
      <c r="C37" s="39">
        <f>IF(ISERROR(B37*3.6/1000000/'E Balans VL '!Z15*100),0,B37*3.6/1000000/'E Balans VL '!Z15*100)</f>
        <v>7.0490845779680691E-5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406.40011246482703</v>
      </c>
      <c r="C5" s="17">
        <f>'Eigen informatie GS &amp; warmtenet'!B62</f>
        <v>0</v>
      </c>
      <c r="D5" s="30">
        <f>IF(ISERROR(SUM(LB_lb_gas_kWh,LB_rest_gas_kWh)/1000),0,SUM(LB_lb_gas_kWh,LB_rest_gas_kWh)/1000)*0.903</f>
        <v>197.64354967219333</v>
      </c>
      <c r="E5" s="17">
        <f>B17*'E Balans VL '!I25/3.6*1000000/100</f>
        <v>11.639986975896729</v>
      </c>
      <c r="F5" s="17">
        <f>B17*('E Balans VL '!L25/3.6*1000000+'E Balans VL '!N25/3.6*1000000)/100</f>
        <v>1286.4528248773127</v>
      </c>
      <c r="G5" s="18"/>
      <c r="H5" s="17"/>
      <c r="I5" s="17"/>
      <c r="J5" s="17">
        <f>('E Balans VL '!D25+'E Balans VL '!E25)/3.6*1000000*landbouw!B17/100</f>
        <v>103.33478666416632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406.40011246482703</v>
      </c>
      <c r="C8" s="21">
        <f>C5+C6</f>
        <v>0</v>
      </c>
      <c r="D8" s="21">
        <f>MAX((D5+D6),0)</f>
        <v>197.64354967219333</v>
      </c>
      <c r="E8" s="21">
        <f>MAX((E5+E6),0)</f>
        <v>11.639986975896729</v>
      </c>
      <c r="F8" s="21">
        <f>MAX((F5+F6),0)</f>
        <v>1286.4528248773127</v>
      </c>
      <c r="G8" s="21"/>
      <c r="H8" s="21"/>
      <c r="I8" s="21"/>
      <c r="J8" s="21">
        <f>MAX((J5+J6),0)</f>
        <v>103.33478666416632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0.20233092588704793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82.227311035608864</v>
      </c>
      <c r="C12" s="23">
        <f ca="1">C8*C10</f>
        <v>0</v>
      </c>
      <c r="D12" s="23">
        <f>D8*D10</f>
        <v>39.923997033783053</v>
      </c>
      <c r="E12" s="23">
        <f>E8*E10</f>
        <v>2.6422770435285576</v>
      </c>
      <c r="F12" s="23">
        <f>F8*F10</f>
        <v>343.48290424224251</v>
      </c>
      <c r="G12" s="23"/>
      <c r="H12" s="23"/>
      <c r="I12" s="23"/>
      <c r="J12" s="23">
        <f>J8*J10</f>
        <v>36.580514479114875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5.6277196186726781E-2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50.547730618257262</v>
      </c>
      <c r="C26" s="243">
        <f>B26*'GWP N2O_CH4'!B5</f>
        <v>1061.5023429834025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6.4809043755636617</v>
      </c>
      <c r="C27" s="243">
        <f>B27*'GWP N2O_CH4'!B5</f>
        <v>136.0989918868369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1.0853419577756893</v>
      </c>
      <c r="C28" s="243">
        <f>B28*'GWP N2O_CH4'!B4</f>
        <v>336.45600691046371</v>
      </c>
      <c r="D28" s="50"/>
    </row>
    <row r="29" spans="1:4">
      <c r="A29" s="41" t="s">
        <v>266</v>
      </c>
      <c r="B29" s="243">
        <f>B34*'ha_N2O bodem landbouw'!B4</f>
        <v>10.153834226550993</v>
      </c>
      <c r="C29" s="243">
        <f>B29*'GWP N2O_CH4'!B4</f>
        <v>3147.6886102308076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2.3067694102815927E-3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3.2863600622237521E-3</v>
      </c>
      <c r="C5" s="432" t="s">
        <v>204</v>
      </c>
      <c r="D5" s="417">
        <f>SUM(D6:D11)</f>
        <v>5.2392899841973862E-3</v>
      </c>
      <c r="E5" s="417">
        <f>SUM(E6:E11)</f>
        <v>2.3333008323837036E-3</v>
      </c>
      <c r="F5" s="430" t="s">
        <v>204</v>
      </c>
      <c r="G5" s="417">
        <f>SUM(G6:G11)</f>
        <v>1.0029181671834952</v>
      </c>
      <c r="H5" s="417">
        <f>SUM(H6:H11)</f>
        <v>0.2641655114382544</v>
      </c>
      <c r="I5" s="432" t="s">
        <v>204</v>
      </c>
      <c r="J5" s="432" t="s">
        <v>204</v>
      </c>
      <c r="K5" s="432" t="s">
        <v>204</v>
      </c>
      <c r="L5" s="432" t="s">
        <v>204</v>
      </c>
      <c r="M5" s="417">
        <f>SUM(M6:M11)</f>
        <v>7.6312859053050755E-2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4.8363535541886367E-4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8.0635858672610191E-4</v>
      </c>
      <c r="E6" s="884">
        <f>vkm_GW_PW*SUMIFS(TableVerdeelsleutelVkm[LPG],TableVerdeelsleutelVkm[Voertuigtype],"Lichte voertuigen")*SUMIFS(TableECFTransport[EnergieConsumptieFactor (PJ per km)],TableECFTransport[Index],CONCATENATE($A6,"_LPG_LPG"))</f>
        <v>3.1968838327504928E-4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9.6074389887079753E-2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3.9545236419052228E-2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8.3198641195634544E-3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5.3110147362231292E-7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2.1053197173347235E-2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1.5534212166593408E-7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1.2088389777013867E-3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5.46230047821446E-4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1.2472907617777154E-3</v>
      </c>
      <c r="E8" s="420">
        <f>vkm_NGW_PW*SUMIFS(TableVerdeelsleutelVkm[LPG],TableVerdeelsleutelVkm[Voertuigtype],"Lichte voertuigen")*SUMIFS(TableECFTransport[EnergieConsumptieFactor (PJ per km)],TableECFTransport[Index],CONCATENATE($A8,"_LPG_LPG"))</f>
        <v>4.7347799463227453E-4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0.1303390609606577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6.0598170700229687E-2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1.177977396144236E-2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5.486459560561878E-7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2.8007178155392404E-2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1.9369586731014139E-7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1.6081238869742167E-3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2.2471711687047655E-3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3.185640635693569E-3</v>
      </c>
      <c r="E10" s="420">
        <f>vkm_SW_PW*SUMIFS(TableVerdeelsleutelVkm[LPG],TableVerdeelsleutelVkm[Voertuigtype],"Lichte voertuigen")*SUMIFS(TableECFTransport[EnergieConsumptieFactor (PJ per km)],TableECFTransport[Index],CONCATENATE($A10,"_LPG_LPG"))</f>
        <v>1.5401344544763796E-3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0.41991301917577967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0.16401927348200462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3.5738314611287889E-2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8.2437428489985789E-6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0.30753132183123855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2.4817989789080003E-6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1.7657943496081449E-2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912.87779506215338</v>
      </c>
      <c r="C14" s="21"/>
      <c r="D14" s="21">
        <f t="shared" ref="D14:M14" si="0">((D5)*10^9/3600)+D12</f>
        <v>1455.3583289437186</v>
      </c>
      <c r="E14" s="21">
        <f t="shared" si="0"/>
        <v>648.1391201065843</v>
      </c>
      <c r="F14" s="21"/>
      <c r="G14" s="21">
        <f t="shared" si="0"/>
        <v>278588.37977319316</v>
      </c>
      <c r="H14" s="21">
        <f t="shared" si="0"/>
        <v>73379.30873284844</v>
      </c>
      <c r="I14" s="21"/>
      <c r="J14" s="21"/>
      <c r="K14" s="21"/>
      <c r="L14" s="21"/>
      <c r="M14" s="21">
        <f t="shared" si="0"/>
        <v>21198.01640362521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0.20233092588704793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184.70340949665228</v>
      </c>
      <c r="C18" s="23"/>
      <c r="D18" s="23">
        <f t="shared" ref="D18:M18" si="1">D14*D16</f>
        <v>293.98238244663116</v>
      </c>
      <c r="E18" s="23">
        <f t="shared" si="1"/>
        <v>147.12758026419465</v>
      </c>
      <c r="F18" s="23"/>
      <c r="G18" s="23">
        <f t="shared" si="1"/>
        <v>74383.097399442573</v>
      </c>
      <c r="H18" s="23">
        <f t="shared" si="1"/>
        <v>18271.447874479261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2.3978711147880718E-4</v>
      </c>
      <c r="C50" s="315">
        <f t="shared" ref="C50:P50" si="2">SUM(C51:C52)</f>
        <v>0</v>
      </c>
      <c r="D50" s="315">
        <f t="shared" si="2"/>
        <v>0</v>
      </c>
      <c r="E50" s="315">
        <f t="shared" si="2"/>
        <v>0</v>
      </c>
      <c r="F50" s="315">
        <f t="shared" si="2"/>
        <v>0</v>
      </c>
      <c r="G50" s="315">
        <f t="shared" si="2"/>
        <v>1.5011398105782569E-2</v>
      </c>
      <c r="H50" s="315">
        <f t="shared" si="2"/>
        <v>0</v>
      </c>
      <c r="I50" s="315">
        <f t="shared" si="2"/>
        <v>0</v>
      </c>
      <c r="J50" s="315">
        <f t="shared" si="2"/>
        <v>0</v>
      </c>
      <c r="K50" s="315">
        <f t="shared" si="2"/>
        <v>0</v>
      </c>
      <c r="L50" s="315">
        <f t="shared" si="2"/>
        <v>0</v>
      </c>
      <c r="M50" s="315">
        <f t="shared" si="2"/>
        <v>8.6192124050332394E-4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2.3978711147880718E-4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1.5011398105782569E-2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8.6192124050332394E-4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66.607530966335332</v>
      </c>
      <c r="C54" s="21">
        <f t="shared" ref="C54:P54" si="3">(C50)*10^9/3600</f>
        <v>0</v>
      </c>
      <c r="D54" s="21">
        <f t="shared" si="3"/>
        <v>0</v>
      </c>
      <c r="E54" s="21">
        <f t="shared" si="3"/>
        <v>0</v>
      </c>
      <c r="F54" s="21">
        <f t="shared" si="3"/>
        <v>0</v>
      </c>
      <c r="G54" s="21">
        <f t="shared" si="3"/>
        <v>4169.8328071618243</v>
      </c>
      <c r="H54" s="21">
        <f t="shared" si="3"/>
        <v>0</v>
      </c>
      <c r="I54" s="21">
        <f t="shared" si="3"/>
        <v>0</v>
      </c>
      <c r="J54" s="21">
        <f t="shared" si="3"/>
        <v>0</v>
      </c>
      <c r="K54" s="21">
        <f t="shared" si="3"/>
        <v>0</v>
      </c>
      <c r="L54" s="21">
        <f t="shared" si="3"/>
        <v>0</v>
      </c>
      <c r="M54" s="21">
        <f t="shared" si="3"/>
        <v>239.42256680647887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0.20233092588704793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13.476763411468845</v>
      </c>
      <c r="C58" s="23">
        <f t="shared" ref="C58:P58" ca="1" si="4">C54*C56</f>
        <v>0</v>
      </c>
      <c r="D58" s="23">
        <f t="shared" si="4"/>
        <v>0</v>
      </c>
      <c r="E58" s="23">
        <f t="shared" si="4"/>
        <v>0</v>
      </c>
      <c r="F58" s="23">
        <f t="shared" si="4"/>
        <v>0</v>
      </c>
      <c r="G58" s="23">
        <f t="shared" si="4"/>
        <v>1113.3453595122071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11556.499598544688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11556.499598544688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2021-11-11T12:14:20Z</dcterms:modified>
</cp:coreProperties>
</file>