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B3E53CB-CDC5-47B0-9020-DD8039251E6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10" i="22" l="1"/>
  <c r="D6"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F6" i="17" s="1"/>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22" i="59"/>
  <c r="C29" i="20"/>
  <c r="C20" i="16"/>
  <c r="C22" i="16" s="1"/>
  <c r="D43" i="14" s="1"/>
  <c r="C17" i="19"/>
  <c r="C19" i="19" s="1"/>
  <c r="D39" i="14" s="1"/>
  <c r="C10" i="17"/>
  <c r="C12" i="17" s="1"/>
  <c r="D54" i="14" s="1"/>
  <c r="D56" i="14" s="1"/>
  <c r="C10" i="13"/>
  <c r="C12" i="13" s="1"/>
  <c r="C56" i="22"/>
  <c r="C58" i="22" s="1"/>
  <c r="D49" i="14" s="1"/>
  <c r="D52"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<sst xmlns="http://schemas.openxmlformats.org/spreadsheetml/2006/main" count="2442" uniqueCount="871">
  <si>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</si>
  <si>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</si>
  <si>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</si>
  <si>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</si>
  <si>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</si>
  <si>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</si>
  <si>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</si>
  <si>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</si>
  <si>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</si>
  <si>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</si>
  <si>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</si>
  <si>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</si>
  <si>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</si>
  <si>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</si>
  <si>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</si>
  <si>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</si>
  <si>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</si>
  <si>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</si>
  <si>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</si>
  <si>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</si>
  <si>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</si>
  <si>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</si>
  <si>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</si>
  <si>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</si>
  <si>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</si>
  <si>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</si>
  <si>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</si>
  <si>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</si>
  <si>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</si>
  <si>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</si>
  <si>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</si>
  <si>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</si>
  <si>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</si>
  <si>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</si>
  <si>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</si>
  <si>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</si>
  <si>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</si>
  <si>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</si>
  <si>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</si>
  <si>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</si>
  <si>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</si>
  <si>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</si>
  <si>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</si>
  <si>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</si>
  <si>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</si>
  <si>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</si>
  <si>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</si>
  <si>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</si>
  <si>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</si>
  <si>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</si>
  <si>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</si>
  <si>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</si>
  <si>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</si>
  <si>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</si>
  <si>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</si>
  <si>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</si>
  <si>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</si>
  <si>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</si>
  <si>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</si>
  <si>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</si>
  <si>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</si>
  <si>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</si>
  <si>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</si>
  <si>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</si>
  <si>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</si>
  <si>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</si>
  <si>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</si>
  <si>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</si>
  <si>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</si>
  <si>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</si>
  <si>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</si>
  <si>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</si>
  <si>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</si>
  <si>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</si>
  <si>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</si>
  <si>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</si>
  <si>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</si>
  <si>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</si>
  <si>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</si>
  <si>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</si>
  <si>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</si>
  <si>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</si>
  <si>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</si>
  <si>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</si>
  <si>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</si>
  <si>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</si>
  <si>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</si>
  <si>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</si>
  <si>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</si>
  <si>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</si>
  <si>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</si>
  <si>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</si>
  <si>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</si>
  <si>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</si>
  <si>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</si>
  <si>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</si>
  <si>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</si>
  <si>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</si>
  <si>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</si>
  <si>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</si>
  <si>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</si>
  <si>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</si>
  <si>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</si>
  <si>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</si>
  <si>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</si>
  <si>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</si>
  <si>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</si>
  <si>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</si>
  <si>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</si>
  <si>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</si>
  <si>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</si>
  <si>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</si>
  <si>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</si>
  <si>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</si>
  <si>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</si>
  <si>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</si>
  <si>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</si>
  <si>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</si>
  <si>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</si>
  <si>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</si>
  <si>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</si>
  <si>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</si>
  <si>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</si>
  <si>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</si>
  <si>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</si>
  <si>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</si>
  <si>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</si>
  <si>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</si>
  <si>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</si>
  <si>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</si>
  <si>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</si>
  <si>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</si>
  <si>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</si>
  <si>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</si>
  <si>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</si>
  <si>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</si>
  <si>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</si>
  <si>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</si>
  <si>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</si>
  <si>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</si>
  <si>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</si>
  <si>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</si>
  <si>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</si>
  <si>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</si>
  <si>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</si>
  <si>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</si>
  <si>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</si>
  <si>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</si>
  <si>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</si>
  <si>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</si>
  <si>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</si>
  <si>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</si>
  <si>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</si>
  <si>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</si>
  <si>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</si>
  <si>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</si>
  <si>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</si>
  <si>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</si>
  <si>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</si>
  <si>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</si>
  <si>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</si>
  <si>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</si>
  <si>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</si>
  <si>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</si>
  <si>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</si>
  <si>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</si>
  <si>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</si>
  <si>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</si>
  <si>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</si>
  <si>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</si>
  <si>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</si>
  <si>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</si>
  <si>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</si>
  <si>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</si>
  <si>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</si>
  <si>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</si>
  <si>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</si>
  <si>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</si>
  <si>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</si>
  <si>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</si>
  <si>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</si>
  <si>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</si>
  <si>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</si>
  <si>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</si>
  <si>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</si>
  <si>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</si>
  <si>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</si>
  <si>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</si>
  <si>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</si>
  <si>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</si>
  <si>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</si>
  <si>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</si>
  <si>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</si>
  <si>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</si>
  <si>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</si>
  <si>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</si>
  <si>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</si>
  <si>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</si>
  <si>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</si>
  <si>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</si>
  <si>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</si>
  <si>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</si>
  <si>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</si>
  <si>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</si>
  <si>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</si>
  <si>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</si>
  <si>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</si>
  <si>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</si>
  <si>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</si>
  <si>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</si>
  <si>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</si>
  <si>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</si>
  <si>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</si>
  <si>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</si>
  <si>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</si>
  <si>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</si>
  <si>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</si>
  <si>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</si>
  <si>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</si>
  <si>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</si>
  <si>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</si>
  <si>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</si>
  <si>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</si>
  <si>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</si>
  <si>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</si>
  <si>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</si>
  <si>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</si>
  <si>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</si>
  <si>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</si>
  <si>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</si>
  <si>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</si>
  <si>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</si>
  <si>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</si>
  <si>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</si>
  <si>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</si>
  <si>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</si>
  <si>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</si>
  <si>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</si>
  <si>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</si>
  <si>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</si>
  <si>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</si>
  <si>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</si>
  <si>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</si>
  <si>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</si>
  <si>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</si>
  <si>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</si>
  <si>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</si>
  <si>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</si>
  <si>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</si>
  <si>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</si>
  <si>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</si>
  <si>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</si>
  <si>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</si>
  <si>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</si>
  <si>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</si>
  <si>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</si>
  <si>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</si>
  <si>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</si>
  <si>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</si>
  <si>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</si>
  <si>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</si>
  <si>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</si>
  <si>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</si>
  <si>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</si>
  <si>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</si>
  <si>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</si>
  <si>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</si>
  <si>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</si>
  <si>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</si>
  <si>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</si>
  <si>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</si>
  <si>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</si>
  <si>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</si>
  <si>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</si>
  <si>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</si>
  <si>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</si>
  <si>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</si>
  <si>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</si>
  <si>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</si>
  <si>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</si>
  <si>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</si>
  <si>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</si>
  <si>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</si>
  <si>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</si>
  <si>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</si>
  <si>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</si>
  <si>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</si>
  <si>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</si>
  <si>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</si>
  <si>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</si>
  <si>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</si>
  <si>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</si>
  <si>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</si>
  <si>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</si>
  <si>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</si>
  <si>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</si>
  <si>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</si>
  <si>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</si>
  <si>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</si>
  <si>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</si>
  <si>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</si>
  <si>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</si>
  <si>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</si>
  <si>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</si>
  <si>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</si>
  <si>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</si>
  <si>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</si>
  <si>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</si>
  <si>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</si>
  <si>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</si>
  <si>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</si>
  <si>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</si>
  <si>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</si>
  <si>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</si>
  <si>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</si>
  <si>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</si>
  <si>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</si>
  <si>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</si>
  <si>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</si>
  <si>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</si>
  <si>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</si>
  <si>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</si>
  <si>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</si>
  <si>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</si>
  <si>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</si>
  <si>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</si>
  <si>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</si>
  <si>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</si>
  <si>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</si>
  <si>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</si>
  <si>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</si>
  <si>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</si>
  <si>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</si>
  <si>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</si>
  <si>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</si>
  <si>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</si>
  <si>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</si>
  <si>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</si>
  <si>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</si>
  <si>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</si>
  <si>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</si>
  <si>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</si>
  <si>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</si>
  <si>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</si>
  <si>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</si>
  <si>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</si>
  <si>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</si>
  <si>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</si>
  <si>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</si>
  <si>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</si>
  <si>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</si>
  <si>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</si>
  <si>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</si>
  <si>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</si>
  <si>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</si>
  <si>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</si>
  <si>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</si>
  <si>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</si>
  <si>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</si>
  <si>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</si>
  <si>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</si>
  <si>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</si>
  <si>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</si>
  <si>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</si>
  <si>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</si>
  <si>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</si>
  <si>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</si>
  <si>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</si>
  <si>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</si>
  <si>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</si>
  <si>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</si>
  <si>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</si>
  <si>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</si>
  <si>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</si>
  <si>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</si>
  <si>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</si>
  <si>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</si>
  <si>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</si>
  <si>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</si>
  <si>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</si>
  <si>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</si>
  <si>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</si>
  <si>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</si>
  <si>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</si>
  <si>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</si>
  <si>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</si>
  <si>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</si>
  <si>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</si>
  <si>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</si>
  <si>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</si>
  <si>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</si>
  <si>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</si>
  <si>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</si>
  <si>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</si>
  <si>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</si>
  <si>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</si>
  <si>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</si>
  <si>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</si>
  <si>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</si>
  <si>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</si>
  <si>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</si>
  <si>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</si>
  <si>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</si>
  <si>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</si>
  <si>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</si>
  <si>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</si>
  <si>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</si>
  <si>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</si>
  <si>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</si>
  <si>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</si>
  <si>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</si>
  <si>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</si>
  <si>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</si>
  <si>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</si>
  <si>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</si>
  <si>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</si>
  <si>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</si>
  <si>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</si>
  <si>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</si>
  <si>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</si>
  <si>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</si>
  <si>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</si>
  <si>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</si>
  <si>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</si>
  <si>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</si>
  <si>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</si>
  <si>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</si>
  <si>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</si>
  <si>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</si>
  <si>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</si>
  <si>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</si>
  <si>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</si>
  <si>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</si>
  <si>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</si>
  <si>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</si>
  <si>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</si>
  <si>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</si>
  <si>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</si>
  <si>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</si>
  <si>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</si>
  <si>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</si>
  <si>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</si>
  <si>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</si>
  <si>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</si>
  <si>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</si>
  <si>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</si>
  <si>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</si>
  <si>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</si>
  <si>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</si>
  <si>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</si>
  <si>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</si>
  <si>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</si>
  <si>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</si>
  <si>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</si>
  <si>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</si>
  <si>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</si>
  <si>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</si>
  <si>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</si>
  <si>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</si>
  <si>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</si>
  <si>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</si>
  <si>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</si>
  <si>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</si>
  <si>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</si>
  <si>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</si>
  <si>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</si>
  <si>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</si>
  <si>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</si>
  <si>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</si>
  <si>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</si>
  <si>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</si>
  <si>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</si>
  <si>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</si>
  <si>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</si>
  <si>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</si>
  <si>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</si>
  <si>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</si>
  <si>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</si>
  <si>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</si>
  <si>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</si>
  <si>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</si>
  <si>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</si>
  <si>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</si>
  <si>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</si>
  <si>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</si>
  <si>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</si>
  <si>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</si>
  <si>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</si>
  <si>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</si>
  <si>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</si>
  <si>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</si>
  <si>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</si>
  <si>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</si>
  <si>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</si>
  <si>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</si>
  <si>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</si>
  <si>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</si>
  <si>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</si>
  <si>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</si>
  <si>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</si>
  <si>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</si>
  <si>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</si>
  <si>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</si>
  <si>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</si>
  <si>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</si>
  <si>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</si>
  <si>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</si>
  <si>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</si>
  <si>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</si>
  <si>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</si>
  <si>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</si>
  <si>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</si>
  <si>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</si>
  <si>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</si>
  <si>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</si>
  <si>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</si>
  <si>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</si>
  <si>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</si>
  <si>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</si>
  <si>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</si>
  <si>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</si>
  <si>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</si>
  <si>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</si>
  <si>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</si>
  <si>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</si>
  <si>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</si>
  <si>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</si>
  <si>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</si>
  <si>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</si>
  <si>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</si>
  <si>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</si>
  <si>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</si>
  <si>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</si>
  <si>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</si>
  <si>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</si>
  <si>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</si>
  <si>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</si>
  <si>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</si>
  <si>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</si>
  <si>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</si>
  <si>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</si>
  <si>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</si>
  <si>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</si>
  <si>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</si>
  <si>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</si>
  <si>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</si>
  <si>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</si>
  <si>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</si>
  <si>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</si>
  <si>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</si>
  <si>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</si>
  <si>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</si>
  <si>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</si>
  <si>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</si>
  <si>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</si>
  <si>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</si>
  <si>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</si>
  <si>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</si>
  <si>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</si>
  <si>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</si>
  <si>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</si>
  <si>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</si>
  <si>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</si>
  <si>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</si>
  <si>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</si>
  <si>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</si>
  <si>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</si>
  <si>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</si>
  <si>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</si>
  <si>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</si>
  <si>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</si>
  <si>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</si>
  <si>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</si>
  <si>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</si>
  <si>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</si>
  <si>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</si>
  <si>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</si>
  <si>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</si>
  <si>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</si>
  <si>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</si>
  <si>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</si>
  <si>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</si>
  <si>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</si>
  <si>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</si>
  <si>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</si>
  <si>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</si>
  <si>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</si>
  <si>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</si>
  <si>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</si>
  <si>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</si>
  <si>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</si>
  <si>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</si>
  <si>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</si>
  <si>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</si>
  <si>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</si>
  <si>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</si>
  <si>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</si>
  <si>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</si>
  <si>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</si>
  <si>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</si>
  <si>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</si>
  <si>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</si>
  <si>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</si>
  <si>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</si>
  <si>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</si>
  <si>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</si>
  <si>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</si>
  <si>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</si>
  <si>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</si>
  <si>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</si>
  <si>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</si>
  <si>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</si>
  <si>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</si>
  <si>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</si>
  <si>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</si>
  <si>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</si>
  <si>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</si>
  <si>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</si>
  <si>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</si>
  <si>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</si>
  <si>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</si>
  <si>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</si>
  <si>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</si>
  <si>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</si>
  <si>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</si>
  <si>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</si>
  <si>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</si>
  <si>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</si>
  <si>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</si>
  <si>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</si>
  <si>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</si>
  <si>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</si>
  <si>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</si>
  <si>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</si>
  <si>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</si>
  <si>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</si>
  <si>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</si>
  <si>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</si>
  <si>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</si>
  <si>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</si>
  <si>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</si>
  <si>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</si>
  <si>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</si>
  <si>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</si>
  <si>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</si>
  <si>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</si>
  <si>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</si>
  <si>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</si>
  <si>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</si>
  <si>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</si>
  <si>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</si>
  <si>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</si>
  <si>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</si>
  <si>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</si>
  <si>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</si>
  <si>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</si>
  <si>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</si>
  <si>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</si>
  <si>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</si>
  <si>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</si>
  <si>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</si>
  <si>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</si>
  <si>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</si>
  <si>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</si>
  <si>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</si>
  <si>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</si>
  <si>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</si>
  <si>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</si>
  <si>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</si>
  <si>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</si>
  <si>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</si>
  <si>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</si>
  <si>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</si>
  <si>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</si>
  <si>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</si>
  <si>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</si>
  <si>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</si>
  <si>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</si>
  <si>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</si>
  <si>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</si>
  <si>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</si>
  <si>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</si>
  <si>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</si>
  <si>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</si>
  <si>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</si>
  <si>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</si>
  <si>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</si>
  <si>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</si>
  <si>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</si>
  <si>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</si>
  <si>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</si>
  <si>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</si>
  <si>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</si>
  <si>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</si>
  <si>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</si>
  <si>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</si>
  <si>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</si>
  <si>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</si>
  <si>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</si>
  <si>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</si>
  <si>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</si>
  <si>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</si>
  <si>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</si>
  <si>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</si>
  <si>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</si>
  <si>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</si>
  <si>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</si>
  <si>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</si>
  <si>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</si>
  <si>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</si>
  <si>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</si>
  <si>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</si>
  <si>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</si>
  <si>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</si>
  <si>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</si>
  <si>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</si>
  <si>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</si>
  <si>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</si>
  <si>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</si>
  <si>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</si>
  <si>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</si>
  <si>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</si>
  <si>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</si>
  <si>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</si>
  <si>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</si>
  <si>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</si>
  <si>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</si>
  <si>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</si>
  <si>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</si>
  <si>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</si>
  <si>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</si>
  <si>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</si>
  <si>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</si>
  <si>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</si>
  <si>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</si>
  <si>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</si>
  <si>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</si>
  <si>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</si>
  <si>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</si>
  <si>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</si>
  <si>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</si>
  <si>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</si>
  <si>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</si>
  <si>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</si>
  <si>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</si>
  <si>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</si>
  <si>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</si>
  <si>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</si>
  <si>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</si>
  <si>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</si>
  <si>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</si>
  <si>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</si>
  <si>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</si>
  <si>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</si>
  <si>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</si>
  <si>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</si>
  <si>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</si>
  <si>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</si>
  <si>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</si>
  <si>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</si>
  <si>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</si>
  <si>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</si>
  <si>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</si>
  <si>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</si>
  <si>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</si>
  <si>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</si>
  <si>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</si>
  <si>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</si>
  <si>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</si>
  <si>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</si>
  <si>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</si>
  <si>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</si>
  <si>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</si>
  <si>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</si>
  <si>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</si>
  <si>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</si>
  <si>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</si>
  <si>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</si>
  <si>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</si>
  <si>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</si>
  <si>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</si>
  <si>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</si>
  <si>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</si>
  <si>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</si>
  <si>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</si>
  <si>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</si>
  <si>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</si>
  <si>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</si>
  <si>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</si>
  <si>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</si>
  <si>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</si>
  <si>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</si>
  <si>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</si>
  <si>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</si>
  <si>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</si>
  <si>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</si>
  <si>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</si>
  <si>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</si>
  <si>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</si>
  <si>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</si>
  <si>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</si>
  <si>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</si>
  <si>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</si>
  <si>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</si>
  <si>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</si>
  <si>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</si>
  <si>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</si>
  <si>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</si>
  <si>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</si>
  <si>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</si>
  <si>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</si>
  <si>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</si>
  <si>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</si>
  <si>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</si>
  <si>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</si>
  <si>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</si>
  <si>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</si>
  <si>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</si>
  <si>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</si>
  <si>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</si>
  <si>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</si>
  <si>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</si>
  <si>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</si>
  <si>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</si>
  <si>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</si>
  <si>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</si>
  <si>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</si>
  <si>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</si>
  <si>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</si>
  <si>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</si>
  <si>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</si>
  <si>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</si>
  <si>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</si>
  <si>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</si>
  <si>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</si>
  <si>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</si>
  <si>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</si>
  <si>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</si>
  <si>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</si>
  <si>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</si>
  <si>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</si>
  <si>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</si>
  <si>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</si>
  <si>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</si>
  <si>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</si>
  <si>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</si>
  <si>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</si>
  <si>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</si>
  <si>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</si>
  <si>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</si>
  <si>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</si>
  <si>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</si>
  <si>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</si>
  <si>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</si>
  <si>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</si>
  <si>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</si>
  <si>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</si>
  <si>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</si>
  <si>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</si>
  <si>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</si>
  <si>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</si>
  <si>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</si>
  <si>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</si>
  <si>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</si>
  <si>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13035</t>
  </si>
  <si>
    <t>RAVELS</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</si>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</sst>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7CFC280-7C05-423D-B414-B193528C876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132768.92952205151</c:v>
                </c:pt>
                <c:pt idx="1">
                  <c:v>29388.587423190758</c:v>
                </c:pt>
                <c:pt idx="2">
                  <c:v>953.22400000000005</c:v>
                </c:pt>
                <c:pt idx="3">
                  <c:v>132565.2971441866</c:v>
                </c:pt>
                <c:pt idx="4">
                  <c:v>51522.491244638913</c:v>
                </c:pt>
                <c:pt idx="5">
                  <c:v>68352.272618696326</c:v>
                </c:pt>
                <c:pt idx="6">
                  <c:v>1313.7649191193718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132768.92952205151</c:v>
                </c:pt>
                <c:pt idx="1">
                  <c:v>29388.587423190758</c:v>
                </c:pt>
                <c:pt idx="2">
                  <c:v>953.22400000000005</c:v>
                </c:pt>
                <c:pt idx="3">
                  <c:v>132565.2971441866</c:v>
                </c:pt>
                <c:pt idx="4">
                  <c:v>51522.491244638913</c:v>
                </c:pt>
                <c:pt idx="5">
                  <c:v>68352.272618696326</c:v>
                </c:pt>
                <c:pt idx="6">
                  <c:v>1313.7649191193718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27005.085590314568</c:v>
                </c:pt>
                <c:pt idx="1">
                  <c:v>5970.0243708995758</c:v>
                </c:pt>
                <c:pt idx="2">
                  <c:v>192.05912895635009</c:v>
                </c:pt>
                <c:pt idx="3">
                  <c:v>32455.669822717373</c:v>
                </c:pt>
                <c:pt idx="4">
                  <c:v>10268.906472457482</c:v>
                </c:pt>
                <c:pt idx="5">
                  <c:v>16932.754266031327</c:v>
                </c:pt>
                <c:pt idx="6">
                  <c:v>330.73069294966876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27005.085590314568</c:v>
                </c:pt>
                <c:pt idx="1">
                  <c:v>5970.0243708995758</c:v>
                </c:pt>
                <c:pt idx="2">
                  <c:v>192.05912895635009</c:v>
                </c:pt>
                <c:pt idx="3">
                  <c:v>32455.669822717373</c:v>
                </c:pt>
                <c:pt idx="4">
                  <c:v>10268.906472457482</c:v>
                </c:pt>
                <c:pt idx="5">
                  <c:v>16932.754266031327</c:v>
                </c:pt>
                <c:pt idx="6">
                  <c:v>330.73069294966876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13035</v>
      </c>
      <c r="B6" s="384"/>
      <c r="C6" s="385"/>
    </row>
    <row r="7" spans="1:7" s="382" customFormat="1" ht="15.75" customHeight="1">
      <c r="A7" s="386" t="str">
        <f>txtMunicipality</f>
        <v>RAVELS</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14932.037372715638</v>
      </c>
      <c r="D10" s="681">
        <f ca="1">tertiair!C16</f>
        <v>0</v>
      </c>
      <c r="E10" s="681">
        <f ca="1">tertiair!D16</f>
        <v>12233.399996707056</v>
      </c>
      <c r="F10" s="681">
        <f>tertiair!E16</f>
        <v>69.439196054945413</v>
      </c>
      <c r="G10" s="681">
        <f ca="1">tertiair!F16</f>
        <v>2496.6514851509933</v>
      </c>
      <c r="H10" s="681">
        <f>tertiair!G16</f>
        <v>0</v>
      </c>
      <c r="I10" s="681">
        <f>tertiair!H16</f>
        <v>0</v>
      </c>
      <c r="J10" s="681">
        <f>tertiair!I16</f>
        <v>0</v>
      </c>
      <c r="K10" s="681">
        <f>tertiair!J16</f>
        <v>1.5367780921192292E-2</v>
      </c>
      <c r="L10" s="681">
        <f>tertiair!K16</f>
        <v>0</v>
      </c>
      <c r="M10" s="681">
        <f ca="1">tertiair!L16</f>
        <v>0</v>
      </c>
      <c r="N10" s="681">
        <f>tertiair!M16</f>
        <v>0</v>
      </c>
      <c r="O10" s="681">
        <f ca="1">tertiair!N16</f>
        <v>595.57622248368432</v>
      </c>
      <c r="P10" s="681">
        <f>tertiair!O16</f>
        <v>14.691782297523464</v>
      </c>
      <c r="Q10" s="682">
        <f>tertiair!P16</f>
        <v>0</v>
      </c>
      <c r="R10" s="684">
        <f ca="1">SUM(C10:Q10)</f>
        <v>30341.81142319076</v>
      </c>
      <c r="S10" s="67"/>
    </row>
    <row r="11" spans="1:19" s="443" customFormat="1">
      <c r="A11" s="802" t="s">
        <v>214</v>
      </c>
      <c r="B11" s="807"/>
      <c r="C11" s="681">
        <f>huishoudens!B8</f>
        <v>26697.024749414068</v>
      </c>
      <c r="D11" s="681">
        <f>huishoudens!C8</f>
        <v>0</v>
      </c>
      <c r="E11" s="681">
        <f>huishoudens!D8</f>
        <v>63595.32892290326</v>
      </c>
      <c r="F11" s="681">
        <f>huishoudens!E8</f>
        <v>1434.5490523660903</v>
      </c>
      <c r="G11" s="681">
        <f>huishoudens!F8</f>
        <v>31426.099838537899</v>
      </c>
      <c r="H11" s="681">
        <f>huishoudens!G8</f>
        <v>0</v>
      </c>
      <c r="I11" s="681">
        <f>huishoudens!H8</f>
        <v>0</v>
      </c>
      <c r="J11" s="681">
        <f>huishoudens!I8</f>
        <v>0</v>
      </c>
      <c r="K11" s="681">
        <f>huishoudens!J8</f>
        <v>179.10078017047388</v>
      </c>
      <c r="L11" s="681">
        <f>huishoudens!K8</f>
        <v>0</v>
      </c>
      <c r="M11" s="681">
        <f>huishoudens!L8</f>
        <v>0</v>
      </c>
      <c r="N11" s="681">
        <f>huishoudens!M8</f>
        <v>0</v>
      </c>
      <c r="O11" s="681">
        <f>huishoudens!N8</f>
        <v>8125.4225796459559</v>
      </c>
      <c r="P11" s="681">
        <f>huishoudens!O8</f>
        <v>426.55101716821184</v>
      </c>
      <c r="Q11" s="682">
        <f>huishoudens!P8</f>
        <v>884.85258184554186</v>
      </c>
      <c r="R11" s="684">
        <f>SUM(C11:Q11)</f>
        <v>132768.92952205151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22890.725314691466</v>
      </c>
      <c r="D13" s="681">
        <f>industrie!C18</f>
        <v>0</v>
      </c>
      <c r="E13" s="681">
        <f>industrie!D18</f>
        <v>23442.144832483507</v>
      </c>
      <c r="F13" s="681">
        <f>industrie!E18</f>
        <v>448.344783092841</v>
      </c>
      <c r="G13" s="681">
        <f>industrie!F18</f>
        <v>2939.7131374989604</v>
      </c>
      <c r="H13" s="681">
        <f>industrie!G18</f>
        <v>0</v>
      </c>
      <c r="I13" s="681">
        <f>industrie!H18</f>
        <v>0</v>
      </c>
      <c r="J13" s="681">
        <f>industrie!I18</f>
        <v>0</v>
      </c>
      <c r="K13" s="681">
        <f>industrie!J18</f>
        <v>98.324231992575392</v>
      </c>
      <c r="L13" s="681">
        <f>industrie!K18</f>
        <v>0</v>
      </c>
      <c r="M13" s="681">
        <f>industrie!L18</f>
        <v>0</v>
      </c>
      <c r="N13" s="681">
        <f>industrie!M18</f>
        <v>0</v>
      </c>
      <c r="O13" s="681">
        <f>industrie!N18</f>
        <v>1703.2389448795566</v>
      </c>
      <c r="P13" s="681">
        <f>industrie!O18</f>
        <v>0</v>
      </c>
      <c r="Q13" s="682">
        <f>industrie!P18</f>
        <v>0</v>
      </c>
      <c r="R13" s="684">
        <f>SUM(C13:Q13)</f>
        <v>51522.491244638913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64519.787436821171</v>
      </c>
      <c r="D16" s="717">
        <f t="shared" ref="D16:R16" ca="1" si="0">SUM(D9:D15)</f>
        <v>0</v>
      </c>
      <c r="E16" s="717">
        <f t="shared" ca="1" si="0"/>
        <v>99270.87375209383</v>
      </c>
      <c r="F16" s="717">
        <f t="shared" si="0"/>
        <v>1952.3330315138767</v>
      </c>
      <c r="G16" s="717">
        <f t="shared" ca="1" si="0"/>
        <v>36862.464461187854</v>
      </c>
      <c r="H16" s="717">
        <f t="shared" si="0"/>
        <v>0</v>
      </c>
      <c r="I16" s="717">
        <f t="shared" si="0"/>
        <v>0</v>
      </c>
      <c r="J16" s="717">
        <f t="shared" si="0"/>
        <v>0</v>
      </c>
      <c r="K16" s="717">
        <f t="shared" si="0"/>
        <v>277.44037994397047</v>
      </c>
      <c r="L16" s="717">
        <f t="shared" si="0"/>
        <v>0</v>
      </c>
      <c r="M16" s="717">
        <f t="shared" ca="1" si="0"/>
        <v>0</v>
      </c>
      <c r="N16" s="717">
        <f t="shared" si="0"/>
        <v>0</v>
      </c>
      <c r="O16" s="717">
        <f t="shared" ca="1" si="0"/>
        <v>10424.237747009196</v>
      </c>
      <c r="P16" s="717">
        <f t="shared" si="0"/>
        <v>441.24279946573529</v>
      </c>
      <c r="Q16" s="717">
        <f t="shared" si="0"/>
        <v>884.85258184554186</v>
      </c>
      <c r="R16" s="717">
        <f t="shared" ca="1" si="0"/>
        <v>214633.23218988118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19.550785935881212</v>
      </c>
      <c r="D19" s="681">
        <f>transport!C54</f>
        <v>0</v>
      </c>
      <c r="E19" s="681">
        <f>transport!D54</f>
        <v>0</v>
      </c>
      <c r="F19" s="681">
        <f>transport!E54</f>
        <v>0</v>
      </c>
      <c r="G19" s="681">
        <f>transport!F54</f>
        <v>0</v>
      </c>
      <c r="H19" s="681">
        <f>transport!G54</f>
        <v>1223.938305751627</v>
      </c>
      <c r="I19" s="681">
        <f>transport!H54</f>
        <v>0</v>
      </c>
      <c r="J19" s="681">
        <f>transport!I54</f>
        <v>0</v>
      </c>
      <c r="K19" s="681">
        <f>transport!J54</f>
        <v>0</v>
      </c>
      <c r="L19" s="681">
        <f>transport!K54</f>
        <v>0</v>
      </c>
      <c r="M19" s="681">
        <f>transport!L54</f>
        <v>0</v>
      </c>
      <c r="N19" s="681">
        <f>transport!M54</f>
        <v>70.275827431863547</v>
      </c>
      <c r="O19" s="681">
        <f>transport!N54</f>
        <v>0</v>
      </c>
      <c r="P19" s="681">
        <f>transport!O54</f>
        <v>0</v>
      </c>
      <c r="Q19" s="682">
        <f>transport!P54</f>
        <v>0</v>
      </c>
      <c r="R19" s="684">
        <f>SUM(C19:Q19)</f>
        <v>1313.7649191193718</v>
      </c>
      <c r="S19" s="67"/>
    </row>
    <row r="20" spans="1:19" s="443" customFormat="1">
      <c r="A20" s="802" t="s">
        <v>296</v>
      </c>
      <c r="B20" s="807"/>
      <c r="C20" s="681">
        <f>transport!B14</f>
        <v>157.51081387446479</v>
      </c>
      <c r="D20" s="681">
        <f>transport!C14</f>
        <v>0</v>
      </c>
      <c r="E20" s="681">
        <f>transport!D14</f>
        <v>287.55995682525941</v>
      </c>
      <c r="F20" s="681">
        <f>transport!E14</f>
        <v>112.40438021088295</v>
      </c>
      <c r="G20" s="681">
        <f>transport!F14</f>
        <v>0</v>
      </c>
      <c r="H20" s="681">
        <f>transport!G14</f>
        <v>49875.318414809444</v>
      </c>
      <c r="I20" s="681">
        <f>transport!H14</f>
        <v>14059.058140884033</v>
      </c>
      <c r="J20" s="681">
        <f>transport!I14</f>
        <v>0</v>
      </c>
      <c r="K20" s="681">
        <f>transport!J14</f>
        <v>0</v>
      </c>
      <c r="L20" s="681">
        <f>transport!K14</f>
        <v>0</v>
      </c>
      <c r="M20" s="681">
        <f>transport!L14</f>
        <v>0</v>
      </c>
      <c r="N20" s="681">
        <f>transport!M14</f>
        <v>3860.4209120922396</v>
      </c>
      <c r="O20" s="681">
        <f>transport!N14</f>
        <v>0</v>
      </c>
      <c r="P20" s="681">
        <f>transport!O14</f>
        <v>0</v>
      </c>
      <c r="Q20" s="682">
        <f>transport!P14</f>
        <v>0</v>
      </c>
      <c r="R20" s="684">
        <f>SUM(C20:Q20)</f>
        <v>68352.272618696326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177.061599810346</v>
      </c>
      <c r="D22" s="805">
        <f t="shared" ref="D22:R22" si="1">SUM(D18:D21)</f>
        <v>0</v>
      </c>
      <c r="E22" s="805">
        <f t="shared" si="1"/>
        <v>287.55995682525941</v>
      </c>
      <c r="F22" s="805">
        <f t="shared" si="1"/>
        <v>112.40438021088295</v>
      </c>
      <c r="G22" s="805">
        <f t="shared" si="1"/>
        <v>0</v>
      </c>
      <c r="H22" s="805">
        <f t="shared" si="1"/>
        <v>51099.256720561069</v>
      </c>
      <c r="I22" s="805">
        <f t="shared" si="1"/>
        <v>14059.058140884033</v>
      </c>
      <c r="J22" s="805">
        <f t="shared" si="1"/>
        <v>0</v>
      </c>
      <c r="K22" s="805">
        <f t="shared" si="1"/>
        <v>0</v>
      </c>
      <c r="L22" s="805">
        <f t="shared" si="1"/>
        <v>0</v>
      </c>
      <c r="M22" s="805">
        <f t="shared" si="1"/>
        <v>0</v>
      </c>
      <c r="N22" s="805">
        <f t="shared" si="1"/>
        <v>3930.6967395241031</v>
      </c>
      <c r="O22" s="805">
        <f t="shared" si="1"/>
        <v>0</v>
      </c>
      <c r="P22" s="805">
        <f t="shared" si="1"/>
        <v>0</v>
      </c>
      <c r="Q22" s="805">
        <f t="shared" si="1"/>
        <v>0</v>
      </c>
      <c r="R22" s="805">
        <f t="shared" si="1"/>
        <v>69666.037537815704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11236.8194478027</v>
      </c>
      <c r="D24" s="681">
        <f>+landbouw!C8</f>
        <v>82579.5</v>
      </c>
      <c r="E24" s="681">
        <f>+landbouw!D8</f>
        <v>0</v>
      </c>
      <c r="F24" s="681">
        <f>+landbouw!E8</f>
        <v>321.84152516504696</v>
      </c>
      <c r="G24" s="681">
        <f>+landbouw!F8</f>
        <v>35569.965848651707</v>
      </c>
      <c r="H24" s="681">
        <f>+landbouw!G8</f>
        <v>0</v>
      </c>
      <c r="I24" s="681">
        <f>+landbouw!H8</f>
        <v>0</v>
      </c>
      <c r="J24" s="681">
        <f>+landbouw!I8</f>
        <v>0</v>
      </c>
      <c r="K24" s="681">
        <f>+landbouw!J8</f>
        <v>2857.1703225671286</v>
      </c>
      <c r="L24" s="681">
        <f>+landbouw!K8</f>
        <v>0</v>
      </c>
      <c r="M24" s="681">
        <f>+landbouw!L8</f>
        <v>0</v>
      </c>
      <c r="N24" s="681">
        <f>+landbouw!M8</f>
        <v>0</v>
      </c>
      <c r="O24" s="681">
        <f>+landbouw!N8</f>
        <v>0</v>
      </c>
      <c r="P24" s="681">
        <f>+landbouw!O8</f>
        <v>0</v>
      </c>
      <c r="Q24" s="682">
        <f>+landbouw!P8</f>
        <v>0</v>
      </c>
      <c r="R24" s="684">
        <f>SUM(C24:Q24)</f>
        <v>132565.2971441866</v>
      </c>
      <c r="S24" s="67"/>
    </row>
    <row r="25" spans="1:19" s="443" customFormat="1" ht="15" thickBot="1">
      <c r="A25" s="824" t="s">
        <v>690</v>
      </c>
      <c r="B25" s="937"/>
      <c r="C25" s="938">
        <f>IF(Onbekend_ele_kWh="---",0,Onbekend_ele_kWh)/1000+IF(REST_rest_ele_kWh="---",0,REST_rest_ele_kWh)/1000</f>
        <v>506.03149025878901</v>
      </c>
      <c r="D25" s="938"/>
      <c r="E25" s="938">
        <f>IF(onbekend_gas_kWh="---",0,onbekend_gas_kWh)/1000+IF(REST_rest_gas_kWh="---",0,REST_rest_gas_kWh)/1000</f>
        <v>1193.1967486624999</v>
      </c>
      <c r="F25" s="938"/>
      <c r="G25" s="938"/>
      <c r="H25" s="938"/>
      <c r="I25" s="938"/>
      <c r="J25" s="938"/>
      <c r="K25" s="938"/>
      <c r="L25" s="938"/>
      <c r="M25" s="938"/>
      <c r="N25" s="938"/>
      <c r="O25" s="938"/>
      <c r="P25" s="938"/>
      <c r="Q25" s="939"/>
      <c r="R25" s="684">
        <f>SUM(C25:Q25)</f>
        <v>1699.2282389212889</v>
      </c>
      <c r="S25" s="67"/>
    </row>
    <row r="26" spans="1:19" s="443" customFormat="1" ht="15.75" thickBot="1">
      <c r="A26" s="689" t="s">
        <v>691</v>
      </c>
      <c r="B26" s="810"/>
      <c r="C26" s="805">
        <f>SUM(C24:C25)</f>
        <v>11742.850938061489</v>
      </c>
      <c r="D26" s="805">
        <f t="shared" ref="D26:R26" si="2">SUM(D24:D25)</f>
        <v>82579.5</v>
      </c>
      <c r="E26" s="805">
        <f t="shared" si="2"/>
        <v>1193.1967486624999</v>
      </c>
      <c r="F26" s="805">
        <f t="shared" si="2"/>
        <v>321.84152516504696</v>
      </c>
      <c r="G26" s="805">
        <f t="shared" si="2"/>
        <v>35569.965848651707</v>
      </c>
      <c r="H26" s="805">
        <f t="shared" si="2"/>
        <v>0</v>
      </c>
      <c r="I26" s="805">
        <f t="shared" si="2"/>
        <v>0</v>
      </c>
      <c r="J26" s="805">
        <f t="shared" si="2"/>
        <v>0</v>
      </c>
      <c r="K26" s="805">
        <f t="shared" si="2"/>
        <v>2857.1703225671286</v>
      </c>
      <c r="L26" s="805">
        <f t="shared" si="2"/>
        <v>0</v>
      </c>
      <c r="M26" s="805">
        <f t="shared" si="2"/>
        <v>0</v>
      </c>
      <c r="N26" s="805">
        <f t="shared" si="2"/>
        <v>0</v>
      </c>
      <c r="O26" s="805">
        <f t="shared" si="2"/>
        <v>0</v>
      </c>
      <c r="P26" s="805">
        <f t="shared" si="2"/>
        <v>0</v>
      </c>
      <c r="Q26" s="805">
        <f t="shared" si="2"/>
        <v>0</v>
      </c>
      <c r="R26" s="805">
        <f t="shared" si="2"/>
        <v>134264.52538310789</v>
      </c>
      <c r="S26" s="67"/>
    </row>
    <row r="27" spans="1:19" s="443" customFormat="1" ht="17.25" thickTop="1" thickBot="1">
      <c r="A27" s="690" t="s">
        <v>109</v>
      </c>
      <c r="B27" s="797"/>
      <c r="C27" s="691">
        <f ca="1">C22+C16+C26</f>
        <v>76439.699974693009</v>
      </c>
      <c r="D27" s="691">
        <f t="shared" ref="D27:R27" ca="1" si="3">D22+D16+D26</f>
        <v>82579.5</v>
      </c>
      <c r="E27" s="691">
        <f t="shared" ca="1" si="3"/>
        <v>100751.6304575816</v>
      </c>
      <c r="F27" s="691">
        <f t="shared" si="3"/>
        <v>2386.5789368898068</v>
      </c>
      <c r="G27" s="691">
        <f t="shared" ca="1" si="3"/>
        <v>72432.430309839561</v>
      </c>
      <c r="H27" s="691">
        <f t="shared" si="3"/>
        <v>51099.256720561069</v>
      </c>
      <c r="I27" s="691">
        <f t="shared" si="3"/>
        <v>14059.058140884033</v>
      </c>
      <c r="J27" s="691">
        <f t="shared" si="3"/>
        <v>0</v>
      </c>
      <c r="K27" s="691">
        <f t="shared" si="3"/>
        <v>3134.6107025110991</v>
      </c>
      <c r="L27" s="691">
        <f t="shared" si="3"/>
        <v>0</v>
      </c>
      <c r="M27" s="691">
        <f t="shared" ca="1" si="3"/>
        <v>0</v>
      </c>
      <c r="N27" s="691">
        <f t="shared" si="3"/>
        <v>3930.6967395241031</v>
      </c>
      <c r="O27" s="691">
        <f t="shared" ca="1" si="3"/>
        <v>10424.237747009196</v>
      </c>
      <c r="P27" s="691">
        <f t="shared" si="3"/>
        <v>441.24279946573529</v>
      </c>
      <c r="Q27" s="691">
        <f t="shared" si="3"/>
        <v>884.85258184554186</v>
      </c>
      <c r="R27" s="691">
        <f t="shared" ca="1" si="3"/>
        <v>418563.79511080479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3008.5626162868662</v>
      </c>
      <c r="D40" s="681">
        <f ca="1">tertiair!C20</f>
        <v>0</v>
      </c>
      <c r="E40" s="681">
        <f ca="1">tertiair!D20</f>
        <v>2471.1467993348256</v>
      </c>
      <c r="F40" s="681">
        <f>tertiair!E20</f>
        <v>15.762697504472609</v>
      </c>
      <c r="G40" s="681">
        <f ca="1">tertiair!F20</f>
        <v>666.60594653531518</v>
      </c>
      <c r="H40" s="681">
        <f>tertiair!G20</f>
        <v>0</v>
      </c>
      <c r="I40" s="681">
        <f>tertiair!H20</f>
        <v>0</v>
      </c>
      <c r="J40" s="681">
        <f>tertiair!I20</f>
        <v>0</v>
      </c>
      <c r="K40" s="681">
        <f>tertiair!J20</f>
        <v>5.4401944461020708E-3</v>
      </c>
      <c r="L40" s="681">
        <f>tertiair!K20</f>
        <v>0</v>
      </c>
      <c r="M40" s="681">
        <f ca="1">tertiair!L20</f>
        <v>0</v>
      </c>
      <c r="N40" s="681">
        <f>tertiair!M20</f>
        <v>0</v>
      </c>
      <c r="O40" s="681">
        <f ca="1">tertiair!N20</f>
        <v>0</v>
      </c>
      <c r="P40" s="681">
        <f>tertiair!O20</f>
        <v>0</v>
      </c>
      <c r="Q40" s="764">
        <f>tertiair!P20</f>
        <v>0</v>
      </c>
      <c r="R40" s="843">
        <f t="shared" ca="1" si="4"/>
        <v>6162.0834998559258</v>
      </c>
    </row>
    <row r="41" spans="1:18">
      <c r="A41" s="815" t="s">
        <v>214</v>
      </c>
      <c r="B41" s="822"/>
      <c r="C41" s="681">
        <f ca="1">huishoudens!B12</f>
        <v>5379.0161799310408</v>
      </c>
      <c r="D41" s="681">
        <f ca="1">huishoudens!C12</f>
        <v>0</v>
      </c>
      <c r="E41" s="681">
        <f>huishoudens!D12</f>
        <v>12846.25644242646</v>
      </c>
      <c r="F41" s="681">
        <f>huishoudens!E12</f>
        <v>325.64263488710253</v>
      </c>
      <c r="G41" s="681">
        <f>huishoudens!F12</f>
        <v>8390.7686568896188</v>
      </c>
      <c r="H41" s="681">
        <f>huishoudens!G12</f>
        <v>0</v>
      </c>
      <c r="I41" s="681">
        <f>huishoudens!H12</f>
        <v>0</v>
      </c>
      <c r="J41" s="681">
        <f>huishoudens!I12</f>
        <v>0</v>
      </c>
      <c r="K41" s="681">
        <f>huishoudens!J12</f>
        <v>63.401676180347749</v>
      </c>
      <c r="L41" s="681">
        <f>huishoudens!K12</f>
        <v>0</v>
      </c>
      <c r="M41" s="681">
        <f>huishoudens!L12</f>
        <v>0</v>
      </c>
      <c r="N41" s="681">
        <f>huishoudens!M12</f>
        <v>0</v>
      </c>
      <c r="O41" s="681">
        <f>huishoudens!N12</f>
        <v>0</v>
      </c>
      <c r="P41" s="681">
        <f>huishoudens!O12</f>
        <v>0</v>
      </c>
      <c r="Q41" s="764">
        <f>huishoudens!P12</f>
        <v>0</v>
      </c>
      <c r="R41" s="843">
        <f t="shared" ca="1" si="4"/>
        <v>27005.085590314568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4612.1087646961423</v>
      </c>
      <c r="D43" s="681">
        <f ca="1">industrie!C22</f>
        <v>0</v>
      </c>
      <c r="E43" s="681">
        <f>industrie!D22</f>
        <v>4735.3132561616685</v>
      </c>
      <c r="F43" s="681">
        <f>industrie!E22</f>
        <v>101.7742657620749</v>
      </c>
      <c r="G43" s="681">
        <f>industrie!F22</f>
        <v>784.90340771222247</v>
      </c>
      <c r="H43" s="681">
        <f>industrie!G22</f>
        <v>0</v>
      </c>
      <c r="I43" s="681">
        <f>industrie!H22</f>
        <v>0</v>
      </c>
      <c r="J43" s="681">
        <f>industrie!I22</f>
        <v>0</v>
      </c>
      <c r="K43" s="681">
        <f>industrie!J22</f>
        <v>34.806778125371686</v>
      </c>
      <c r="L43" s="681">
        <f>industrie!K22</f>
        <v>0</v>
      </c>
      <c r="M43" s="681">
        <f>industrie!L22</f>
        <v>0</v>
      </c>
      <c r="N43" s="681">
        <f>industrie!M22</f>
        <v>0</v>
      </c>
      <c r="O43" s="681">
        <f>industrie!N22</f>
        <v>0</v>
      </c>
      <c r="P43" s="681">
        <f>industrie!O22</f>
        <v>0</v>
      </c>
      <c r="Q43" s="764">
        <f>industrie!P22</f>
        <v>0</v>
      </c>
      <c r="R43" s="842">
        <f t="shared" ca="1" si="4"/>
        <v>10268.906472457482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12999.68756091405</v>
      </c>
      <c r="D46" s="717">
        <f t="shared" ref="D46:Q46" ca="1" si="5">SUM(D39:D45)</f>
        <v>0</v>
      </c>
      <c r="E46" s="717">
        <f t="shared" ca="1" si="5"/>
        <v>20052.716497922953</v>
      </c>
      <c r="F46" s="717">
        <f t="shared" si="5"/>
        <v>443.17959815365003</v>
      </c>
      <c r="G46" s="717">
        <f t="shared" ca="1" si="5"/>
        <v>9842.2780111371576</v>
      </c>
      <c r="H46" s="717">
        <f t="shared" si="5"/>
        <v>0</v>
      </c>
      <c r="I46" s="717">
        <f t="shared" si="5"/>
        <v>0</v>
      </c>
      <c r="J46" s="717">
        <f t="shared" si="5"/>
        <v>0</v>
      </c>
      <c r="K46" s="717">
        <f t="shared" si="5"/>
        <v>98.213894500165537</v>
      </c>
      <c r="L46" s="717">
        <f t="shared" si="5"/>
        <v>0</v>
      </c>
      <c r="M46" s="717">
        <f t="shared" ca="1" si="5"/>
        <v>0</v>
      </c>
      <c r="N46" s="717">
        <f t="shared" si="5"/>
        <v>0</v>
      </c>
      <c r="O46" s="717">
        <f t="shared" ca="1" si="5"/>
        <v>0</v>
      </c>
      <c r="P46" s="717">
        <f t="shared" si="5"/>
        <v>0</v>
      </c>
      <c r="Q46" s="717">
        <f t="shared" si="5"/>
        <v>0</v>
      </c>
      <c r="R46" s="717">
        <f ca="1">SUM(R39:R45)</f>
        <v>43436.075562627972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3.9391653139843368</v>
      </c>
      <c r="D49" s="681">
        <f ca="1">transport!C58</f>
        <v>0</v>
      </c>
      <c r="E49" s="681">
        <f>transport!D58</f>
        <v>0</v>
      </c>
      <c r="F49" s="681">
        <f>transport!E58</f>
        <v>0</v>
      </c>
      <c r="G49" s="681">
        <f>transport!F58</f>
        <v>0</v>
      </c>
      <c r="H49" s="681">
        <f>transport!G58</f>
        <v>326.79152763568442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330.73069294966876</v>
      </c>
    </row>
    <row r="50" spans="1:18">
      <c r="A50" s="818" t="s">
        <v>296</v>
      </c>
      <c r="B50" s="828"/>
      <c r="C50" s="687">
        <f ca="1">transport!B18</f>
        <v>31.735866610508641</v>
      </c>
      <c r="D50" s="687">
        <f>transport!C18</f>
        <v>0</v>
      </c>
      <c r="E50" s="687">
        <f>transport!D18</f>
        <v>58.087111278702402</v>
      </c>
      <c r="F50" s="687">
        <f>transport!E18</f>
        <v>25.515794307870429</v>
      </c>
      <c r="G50" s="687">
        <f>transport!F18</f>
        <v>0</v>
      </c>
      <c r="H50" s="687">
        <f>transport!G18</f>
        <v>13316.710016754123</v>
      </c>
      <c r="I50" s="687">
        <f>transport!H18</f>
        <v>3500.7054770801242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16932.754266031327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35.675031924492977</v>
      </c>
      <c r="D52" s="717">
        <f t="shared" ref="D52:Q52" ca="1" si="6">SUM(D48:D51)</f>
        <v>0</v>
      </c>
      <c r="E52" s="717">
        <f t="shared" si="6"/>
        <v>58.087111278702402</v>
      </c>
      <c r="F52" s="717">
        <f t="shared" si="6"/>
        <v>25.515794307870429</v>
      </c>
      <c r="G52" s="717">
        <f t="shared" si="6"/>
        <v>0</v>
      </c>
      <c r="H52" s="717">
        <f t="shared" si="6"/>
        <v>13643.501544389808</v>
      </c>
      <c r="I52" s="717">
        <f t="shared" si="6"/>
        <v>3500.7054770801242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17263.484958980996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2264.0363182051242</v>
      </c>
      <c r="D54" s="687">
        <f ca="1">+landbouw!C12</f>
        <v>19609.956302521012</v>
      </c>
      <c r="E54" s="687">
        <f>+landbouw!D12</f>
        <v>0</v>
      </c>
      <c r="F54" s="687">
        <f>+landbouw!E12</f>
        <v>73.058026212465663</v>
      </c>
      <c r="G54" s="687">
        <f>+landbouw!F12</f>
        <v>9497.1808815900058</v>
      </c>
      <c r="H54" s="687">
        <f>+landbouw!G12</f>
        <v>0</v>
      </c>
      <c r="I54" s="687">
        <f>+landbouw!H12</f>
        <v>0</v>
      </c>
      <c r="J54" s="687">
        <f>+landbouw!I12</f>
        <v>0</v>
      </c>
      <c r="K54" s="687">
        <f>+landbouw!J12</f>
        <v>1011.4382941887635</v>
      </c>
      <c r="L54" s="687">
        <f>+landbouw!K12</f>
        <v>0</v>
      </c>
      <c r="M54" s="687">
        <f>+landbouw!L12</f>
        <v>0</v>
      </c>
      <c r="N54" s="687">
        <f>+landbouw!M12</f>
        <v>0</v>
      </c>
      <c r="O54" s="687">
        <f>+landbouw!N12</f>
        <v>0</v>
      </c>
      <c r="P54" s="687">
        <f>+landbouw!O12</f>
        <v>0</v>
      </c>
      <c r="Q54" s="688">
        <f>+landbouw!P12</f>
        <v>0</v>
      </c>
      <c r="R54" s="716">
        <f ca="1">SUM(C54:Q54)</f>
        <v>32455.669822717373</v>
      </c>
    </row>
    <row r="55" spans="1:18" ht="15" thickBot="1">
      <c r="A55" s="818" t="s">
        <v>690</v>
      </c>
      <c r="B55" s="828"/>
      <c r="C55" s="687">
        <f ca="1">C25*'EF ele_warmte'!B12</f>
        <v>101.95711316918874</v>
      </c>
      <c r="D55" s="687"/>
      <c r="E55" s="687">
        <f>E25*EF_CO2_aardgas</f>
        <v>241.025743229825</v>
      </c>
      <c r="F55" s="687"/>
      <c r="G55" s="687"/>
      <c r="H55" s="687"/>
      <c r="I55" s="687"/>
      <c r="J55" s="687"/>
      <c r="K55" s="687"/>
      <c r="L55" s="687"/>
      <c r="M55" s="687"/>
      <c r="N55" s="687"/>
      <c r="O55" s="687"/>
      <c r="P55" s="687"/>
      <c r="Q55" s="688"/>
      <c r="R55" s="716">
        <f ca="1">SUM(C55:Q55)</f>
        <v>342.98285639901371</v>
      </c>
    </row>
    <row r="56" spans="1:18" ht="15.75" thickBot="1">
      <c r="A56" s="816" t="s">
        <v>691</v>
      </c>
      <c r="B56" s="829"/>
      <c r="C56" s="717">
        <f ca="1">SUM(C54:C55)</f>
        <v>2365.9934313743129</v>
      </c>
      <c r="D56" s="717">
        <f t="shared" ref="D56:Q56" ca="1" si="7">SUM(D54:D55)</f>
        <v>19609.956302521012</v>
      </c>
      <c r="E56" s="717">
        <f t="shared" si="7"/>
        <v>241.025743229825</v>
      </c>
      <c r="F56" s="717">
        <f t="shared" si="7"/>
        <v>73.058026212465663</v>
      </c>
      <c r="G56" s="717">
        <f t="shared" si="7"/>
        <v>9497.1808815900058</v>
      </c>
      <c r="H56" s="717">
        <f t="shared" si="7"/>
        <v>0</v>
      </c>
      <c r="I56" s="717">
        <f t="shared" si="7"/>
        <v>0</v>
      </c>
      <c r="J56" s="717">
        <f t="shared" si="7"/>
        <v>0</v>
      </c>
      <c r="K56" s="717">
        <f t="shared" si="7"/>
        <v>1011.4382941887635</v>
      </c>
      <c r="L56" s="717">
        <f t="shared" si="7"/>
        <v>0</v>
      </c>
      <c r="M56" s="717">
        <f t="shared" si="7"/>
        <v>0</v>
      </c>
      <c r="N56" s="717">
        <f t="shared" si="7"/>
        <v>0</v>
      </c>
      <c r="O56" s="717">
        <f t="shared" si="7"/>
        <v>0</v>
      </c>
      <c r="P56" s="717">
        <f t="shared" si="7"/>
        <v>0</v>
      </c>
      <c r="Q56" s="718">
        <f t="shared" si="7"/>
        <v>0</v>
      </c>
      <c r="R56" s="719">
        <f ca="1">SUM(R54:R55)</f>
        <v>32798.652679116385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15401.356024212855</v>
      </c>
      <c r="D61" s="725">
        <f t="shared" ref="D61:Q61" ca="1" si="8">D46+D52+D56</f>
        <v>19609.956302521012</v>
      </c>
      <c r="E61" s="725">
        <f t="shared" ca="1" si="8"/>
        <v>20351.829352431479</v>
      </c>
      <c r="F61" s="725">
        <f t="shared" si="8"/>
        <v>541.75341867398606</v>
      </c>
      <c r="G61" s="725">
        <f t="shared" ca="1" si="8"/>
        <v>19339.458892727162</v>
      </c>
      <c r="H61" s="725">
        <f t="shared" si="8"/>
        <v>13643.501544389808</v>
      </c>
      <c r="I61" s="725">
        <f t="shared" si="8"/>
        <v>3500.7054770801242</v>
      </c>
      <c r="J61" s="725">
        <f t="shared" si="8"/>
        <v>0</v>
      </c>
      <c r="K61" s="725">
        <f t="shared" si="8"/>
        <v>1109.6521886889291</v>
      </c>
      <c r="L61" s="725">
        <f t="shared" si="8"/>
        <v>0</v>
      </c>
      <c r="M61" s="725">
        <f t="shared" ca="1" si="8"/>
        <v>0</v>
      </c>
      <c r="N61" s="725">
        <f t="shared" si="8"/>
        <v>0</v>
      </c>
      <c r="O61" s="725">
        <f t="shared" ca="1" si="8"/>
        <v>0</v>
      </c>
      <c r="P61" s="725">
        <f t="shared" si="8"/>
        <v>0</v>
      </c>
      <c r="Q61" s="725">
        <f t="shared" si="8"/>
        <v>0</v>
      </c>
      <c r="R61" s="725">
        <f ca="1">R46+R52+R56</f>
        <v>93498.213200725353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0.20148373200459713</v>
      </c>
      <c r="D63" s="771">
        <f t="shared" ca="1" si="9"/>
        <v>0.23746760760868027</v>
      </c>
      <c r="E63" s="963">
        <f t="shared" ca="1" si="9"/>
        <v>0.20199999999999996</v>
      </c>
      <c r="F63" s="771">
        <f t="shared" si="9"/>
        <v>0.22699999999999998</v>
      </c>
      <c r="G63" s="771">
        <f t="shared" ca="1" si="9"/>
        <v>0.26699999999999996</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11057.639963615413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43.65</v>
      </c>
      <c r="C76" s="738">
        <f>'lokale energieproductie'!B8*IFERROR(SUM(D76:H76)/SUM(D76:O76),0)</f>
        <v>57761.999999999993</v>
      </c>
      <c r="D76" s="946">
        <f>'lokale energieproductie'!C8</f>
        <v>67955.294117647063</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13726.969411764707</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11101.289963615412</v>
      </c>
      <c r="C78" s="743">
        <f>SUM(C72:C77)</f>
        <v>57761.999999999993</v>
      </c>
      <c r="D78" s="744">
        <f t="shared" ref="D78:H78" si="10">SUM(D76:D77)</f>
        <v>67955.294117647063</v>
      </c>
      <c r="E78" s="744">
        <f t="shared" si="10"/>
        <v>0</v>
      </c>
      <c r="F78" s="744">
        <f t="shared" si="10"/>
        <v>0</v>
      </c>
      <c r="G78" s="744">
        <f t="shared" si="10"/>
        <v>0</v>
      </c>
      <c r="H78" s="744">
        <f t="shared" si="10"/>
        <v>0</v>
      </c>
      <c r="I78" s="744">
        <f>SUM(I76:I77)</f>
        <v>0</v>
      </c>
      <c r="J78" s="744">
        <f>SUM(J76:J77)</f>
        <v>51.352941176470587</v>
      </c>
      <c r="K78" s="744">
        <f t="shared" ref="K78:L78" si="11">SUM(K76:K77)</f>
        <v>0</v>
      </c>
      <c r="L78" s="744">
        <f t="shared" si="11"/>
        <v>0</v>
      </c>
      <c r="M78" s="744">
        <f>SUM(M76:M77)</f>
        <v>0</v>
      </c>
      <c r="N78" s="744">
        <f>SUM(N76:N77)</f>
        <v>0</v>
      </c>
      <c r="O78" s="853">
        <f>SUM(O76:O77)</f>
        <v>0</v>
      </c>
      <c r="P78" s="745">
        <v>0</v>
      </c>
      <c r="Q78" s="745">
        <f>SUM(Q76:Q77)</f>
        <v>13726.969411764707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v>
      </c>
      <c r="C87" s="756">
        <f>'lokale energieproductie'!B17*IFERROR(SUM(D87:H87)/SUM(D87:O87),0)</f>
        <v>82517.142857142855</v>
      </c>
      <c r="D87" s="767">
        <f>'lokale energieproductie'!C17</f>
        <v>97078.991596638662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19609.956302521012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v>
      </c>
      <c r="C90" s="743">
        <f>SUM(C87:C89)</f>
        <v>82517.142857142855</v>
      </c>
      <c r="D90" s="743">
        <f t="shared" ref="D90:H90" si="12">SUM(D87:D89)</f>
        <v>97078.991596638662</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19609.956302521012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26697.024749414068</v>
      </c>
      <c r="C4" s="447">
        <f>huishoudens!C8</f>
        <v>0</v>
      </c>
      <c r="D4" s="447">
        <f>huishoudens!D8</f>
        <v>63595.32892290326</v>
      </c>
      <c r="E4" s="447">
        <f>huishoudens!E8</f>
        <v>1434.5490523660903</v>
      </c>
      <c r="F4" s="447">
        <f>huishoudens!F8</f>
        <v>31426.099838537899</v>
      </c>
      <c r="G4" s="447">
        <f>huishoudens!G8</f>
        <v>0</v>
      </c>
      <c r="H4" s="447">
        <f>huishoudens!H8</f>
        <v>0</v>
      </c>
      <c r="I4" s="447">
        <f>huishoudens!I8</f>
        <v>0</v>
      </c>
      <c r="J4" s="447">
        <f>huishoudens!J8</f>
        <v>179.10078017047388</v>
      </c>
      <c r="K4" s="447">
        <f>huishoudens!K8</f>
        <v>0</v>
      </c>
      <c r="L4" s="447">
        <f>huishoudens!L8</f>
        <v>0</v>
      </c>
      <c r="M4" s="447">
        <f>huishoudens!M8</f>
        <v>0</v>
      </c>
      <c r="N4" s="447">
        <f>huishoudens!N8</f>
        <v>8125.4225796459559</v>
      </c>
      <c r="O4" s="447">
        <f>huishoudens!O8</f>
        <v>426.55101716821184</v>
      </c>
      <c r="P4" s="448">
        <f>huishoudens!P8</f>
        <v>884.85258184554186</v>
      </c>
      <c r="Q4" s="449">
        <f>SUM(B4:P4)</f>
        <v>132768.92952205151</v>
      </c>
    </row>
    <row r="5" spans="1:17">
      <c r="A5" s="446" t="s">
        <v>149</v>
      </c>
      <c r="B5" s="447">
        <f ca="1">tertiair!B16</f>
        <v>13978.813372715638</v>
      </c>
      <c r="C5" s="447">
        <f ca="1">tertiair!C16</f>
        <v>0</v>
      </c>
      <c r="D5" s="447">
        <f ca="1">tertiair!D16</f>
        <v>12233.399996707056</v>
      </c>
      <c r="E5" s="447">
        <f>tertiair!E16</f>
        <v>69.439196054945413</v>
      </c>
      <c r="F5" s="447">
        <f ca="1">tertiair!F16</f>
        <v>2496.6514851509933</v>
      </c>
      <c r="G5" s="447">
        <f>tertiair!G16</f>
        <v>0</v>
      </c>
      <c r="H5" s="447">
        <f>tertiair!H16</f>
        <v>0</v>
      </c>
      <c r="I5" s="447">
        <f>tertiair!I16</f>
        <v>0</v>
      </c>
      <c r="J5" s="447">
        <f>tertiair!J16</f>
        <v>1.5367780921192292E-2</v>
      </c>
      <c r="K5" s="447">
        <f>tertiair!K16</f>
        <v>0</v>
      </c>
      <c r="L5" s="447">
        <f ca="1">tertiair!L16</f>
        <v>0</v>
      </c>
      <c r="M5" s="447">
        <f>tertiair!M16</f>
        <v>0</v>
      </c>
      <c r="N5" s="447">
        <f ca="1">tertiair!N16</f>
        <v>595.57622248368432</v>
      </c>
      <c r="O5" s="447">
        <f>tertiair!O16</f>
        <v>14.691782297523464</v>
      </c>
      <c r="P5" s="448">
        <f>tertiair!P16</f>
        <v>0</v>
      </c>
      <c r="Q5" s="446">
        <f t="shared" ref="Q5:Q14" ca="1" si="0">SUM(B5:P5)</f>
        <v>29388.587423190758</v>
      </c>
    </row>
    <row r="6" spans="1:17">
      <c r="A6" s="446" t="s">
        <v>187</v>
      </c>
      <c r="B6" s="447">
        <f>'openbare verlichting'!B8</f>
        <v>953.22400000000005</v>
      </c>
      <c r="C6" s="447"/>
      <c r="D6" s="447"/>
      <c r="E6" s="447"/>
      <c r="F6" s="447"/>
      <c r="G6" s="447"/>
      <c r="H6" s="447"/>
      <c r="I6" s="447"/>
      <c r="J6" s="447"/>
      <c r="K6" s="447"/>
      <c r="L6" s="447"/>
      <c r="M6" s="447"/>
      <c r="N6" s="447"/>
      <c r="O6" s="447"/>
      <c r="P6" s="448"/>
      <c r="Q6" s="446">
        <f t="shared" si="0"/>
        <v>953.22400000000005</v>
      </c>
    </row>
    <row r="7" spans="1:17">
      <c r="A7" s="446" t="s">
        <v>105</v>
      </c>
      <c r="B7" s="447">
        <f>landbouw!B8</f>
        <v>11236.8194478027</v>
      </c>
      <c r="C7" s="447">
        <f>landbouw!C8</f>
        <v>82579.5</v>
      </c>
      <c r="D7" s="447">
        <f>landbouw!D8</f>
        <v>0</v>
      </c>
      <c r="E7" s="447">
        <f>landbouw!E8</f>
        <v>321.84152516504696</v>
      </c>
      <c r="F7" s="447">
        <f>landbouw!F8</f>
        <v>35569.965848651707</v>
      </c>
      <c r="G7" s="447">
        <f>landbouw!G8</f>
        <v>0</v>
      </c>
      <c r="H7" s="447">
        <f>landbouw!H8</f>
        <v>0</v>
      </c>
      <c r="I7" s="447">
        <f>landbouw!I8</f>
        <v>0</v>
      </c>
      <c r="J7" s="447">
        <f>landbouw!J8</f>
        <v>2857.1703225671286</v>
      </c>
      <c r="K7" s="447">
        <f>landbouw!K8</f>
        <v>0</v>
      </c>
      <c r="L7" s="447">
        <f>landbouw!L8</f>
        <v>0</v>
      </c>
      <c r="M7" s="447">
        <f>landbouw!M8</f>
        <v>0</v>
      </c>
      <c r="N7" s="447">
        <f>landbouw!N8</f>
        <v>0</v>
      </c>
      <c r="O7" s="447">
        <f>landbouw!O8</f>
        <v>0</v>
      </c>
      <c r="P7" s="448">
        <f>landbouw!P8</f>
        <v>0</v>
      </c>
      <c r="Q7" s="446">
        <f t="shared" si="0"/>
        <v>132565.2971441866</v>
      </c>
    </row>
    <row r="8" spans="1:17">
      <c r="A8" s="446" t="s">
        <v>611</v>
      </c>
      <c r="B8" s="447">
        <f>industrie!B18</f>
        <v>22890.725314691466</v>
      </c>
      <c r="C8" s="447">
        <f>industrie!C18</f>
        <v>0</v>
      </c>
      <c r="D8" s="447">
        <f>industrie!D18</f>
        <v>23442.144832483507</v>
      </c>
      <c r="E8" s="447">
        <f>industrie!E18</f>
        <v>448.344783092841</v>
      </c>
      <c r="F8" s="447">
        <f>industrie!F18</f>
        <v>2939.7131374989604</v>
      </c>
      <c r="G8" s="447">
        <f>industrie!G18</f>
        <v>0</v>
      </c>
      <c r="H8" s="447">
        <f>industrie!H18</f>
        <v>0</v>
      </c>
      <c r="I8" s="447">
        <f>industrie!I18</f>
        <v>0</v>
      </c>
      <c r="J8" s="447">
        <f>industrie!J18</f>
        <v>98.324231992575392</v>
      </c>
      <c r="K8" s="447">
        <f>industrie!K18</f>
        <v>0</v>
      </c>
      <c r="L8" s="447">
        <f>industrie!L18</f>
        <v>0</v>
      </c>
      <c r="M8" s="447">
        <f>industrie!M18</f>
        <v>0</v>
      </c>
      <c r="N8" s="447">
        <f>industrie!N18</f>
        <v>1703.2389448795566</v>
      </c>
      <c r="O8" s="447">
        <f>industrie!O18</f>
        <v>0</v>
      </c>
      <c r="P8" s="448">
        <f>industrie!P18</f>
        <v>0</v>
      </c>
      <c r="Q8" s="446">
        <f t="shared" si="0"/>
        <v>51522.491244638913</v>
      </c>
    </row>
    <row r="9" spans="1:17" s="452" customFormat="1">
      <c r="A9" s="450" t="s">
        <v>537</v>
      </c>
      <c r="B9" s="451">
        <f>transport!B14</f>
        <v>157.51081387446479</v>
      </c>
      <c r="C9" s="451">
        <f>transport!C14</f>
        <v>0</v>
      </c>
      <c r="D9" s="451">
        <f>transport!D14</f>
        <v>287.55995682525941</v>
      </c>
      <c r="E9" s="451">
        <f>transport!E14</f>
        <v>112.40438021088295</v>
      </c>
      <c r="F9" s="451">
        <f>transport!F14</f>
        <v>0</v>
      </c>
      <c r="G9" s="451">
        <f>transport!G14</f>
        <v>49875.318414809444</v>
      </c>
      <c r="H9" s="451">
        <f>transport!H14</f>
        <v>14059.058140884033</v>
      </c>
      <c r="I9" s="451">
        <f>transport!I14</f>
        <v>0</v>
      </c>
      <c r="J9" s="451">
        <f>transport!J14</f>
        <v>0</v>
      </c>
      <c r="K9" s="451">
        <f>transport!K14</f>
        <v>0</v>
      </c>
      <c r="L9" s="451">
        <f>transport!L14</f>
        <v>0</v>
      </c>
      <c r="M9" s="451">
        <f>transport!M14</f>
        <v>3860.4209120922396</v>
      </c>
      <c r="N9" s="451">
        <f>transport!N14</f>
        <v>0</v>
      </c>
      <c r="O9" s="451">
        <f>transport!O14</f>
        <v>0</v>
      </c>
      <c r="P9" s="451">
        <f>transport!P14</f>
        <v>0</v>
      </c>
      <c r="Q9" s="450">
        <f>SUM(B9:P9)</f>
        <v>68352.272618696326</v>
      </c>
    </row>
    <row r="10" spans="1:17">
      <c r="A10" s="446" t="s">
        <v>527</v>
      </c>
      <c r="B10" s="447">
        <f>transport!B54</f>
        <v>19.550785935881212</v>
      </c>
      <c r="C10" s="447">
        <f>transport!C54</f>
        <v>0</v>
      </c>
      <c r="D10" s="447">
        <f>transport!D54</f>
        <v>0</v>
      </c>
      <c r="E10" s="447">
        <f>transport!E54</f>
        <v>0</v>
      </c>
      <c r="F10" s="447">
        <f>transport!F54</f>
        <v>0</v>
      </c>
      <c r="G10" s="447">
        <f>transport!G54</f>
        <v>1223.938305751627</v>
      </c>
      <c r="H10" s="447">
        <f>transport!H54</f>
        <v>0</v>
      </c>
      <c r="I10" s="447">
        <f>transport!I54</f>
        <v>0</v>
      </c>
      <c r="J10" s="447">
        <f>transport!J54</f>
        <v>0</v>
      </c>
      <c r="K10" s="447">
        <f>transport!K54</f>
        <v>0</v>
      </c>
      <c r="L10" s="447">
        <f>transport!L54</f>
        <v>0</v>
      </c>
      <c r="M10" s="447">
        <f>transport!M54</f>
        <v>70.275827431863547</v>
      </c>
      <c r="N10" s="447">
        <f>transport!N54</f>
        <v>0</v>
      </c>
      <c r="O10" s="447">
        <f>transport!O54</f>
        <v>0</v>
      </c>
      <c r="P10" s="448">
        <f>transport!P54</f>
        <v>0</v>
      </c>
      <c r="Q10" s="446">
        <f t="shared" si="0"/>
        <v>1313.7649191193718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506.03149025878901</v>
      </c>
      <c r="C14" s="454"/>
      <c r="D14" s="454">
        <f>'SEAP template'!E25</f>
        <v>1193.1967486624999</v>
      </c>
      <c r="E14" s="454"/>
      <c r="F14" s="454"/>
      <c r="G14" s="454"/>
      <c r="H14" s="454"/>
      <c r="I14" s="454"/>
      <c r="J14" s="454"/>
      <c r="K14" s="454"/>
      <c r="L14" s="454"/>
      <c r="M14" s="454"/>
      <c r="N14" s="454"/>
      <c r="O14" s="454"/>
      <c r="P14" s="455"/>
      <c r="Q14" s="446">
        <f t="shared" si="0"/>
        <v>1699.2282389212889</v>
      </c>
    </row>
    <row r="15" spans="1:17" s="458" customFormat="1">
      <c r="A15" s="456" t="s">
        <v>531</v>
      </c>
      <c r="B15" s="457">
        <f ca="1">SUM(B4:B14)</f>
        <v>76439.699974693009</v>
      </c>
      <c r="C15" s="457">
        <f t="shared" ref="C15:Q15" ca="1" si="1">SUM(C4:C14)</f>
        <v>82579.5</v>
      </c>
      <c r="D15" s="457">
        <f t="shared" ca="1" si="1"/>
        <v>100751.6304575816</v>
      </c>
      <c r="E15" s="457">
        <f t="shared" si="1"/>
        <v>2386.5789368898068</v>
      </c>
      <c r="F15" s="457">
        <f t="shared" ca="1" si="1"/>
        <v>72432.430309839561</v>
      </c>
      <c r="G15" s="457">
        <f t="shared" si="1"/>
        <v>51099.256720561069</v>
      </c>
      <c r="H15" s="457">
        <f t="shared" si="1"/>
        <v>14059.058140884033</v>
      </c>
      <c r="I15" s="457">
        <f t="shared" si="1"/>
        <v>0</v>
      </c>
      <c r="J15" s="457">
        <f t="shared" si="1"/>
        <v>3134.6107025110991</v>
      </c>
      <c r="K15" s="457">
        <f t="shared" si="1"/>
        <v>0</v>
      </c>
      <c r="L15" s="457">
        <f t="shared" ca="1" si="1"/>
        <v>0</v>
      </c>
      <c r="M15" s="457">
        <f t="shared" si="1"/>
        <v>3930.6967395241031</v>
      </c>
      <c r="N15" s="457">
        <f t="shared" ca="1" si="1"/>
        <v>10424.237747009196</v>
      </c>
      <c r="O15" s="457">
        <f t="shared" si="1"/>
        <v>441.24279946573529</v>
      </c>
      <c r="P15" s="457">
        <f t="shared" si="1"/>
        <v>884.85258184554186</v>
      </c>
      <c r="Q15" s="457">
        <f t="shared" ca="1" si="1"/>
        <v>418563.79511080473</v>
      </c>
    </row>
    <row r="17" spans="1:17">
      <c r="A17" s="459" t="s">
        <v>532</v>
      </c>
      <c r="B17" s="776">
        <f ca="1">huishoudens!B10</f>
        <v>0.20148373200459713</v>
      </c>
      <c r="C17" s="776">
        <f ca="1">huishoudens!C10</f>
        <v>0.23746760760868027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5379.0161799310408</v>
      </c>
      <c r="C22" s="447">
        <f t="shared" ref="C22:C32" ca="1" si="3">C4*$C$17</f>
        <v>0</v>
      </c>
      <c r="D22" s="447">
        <f t="shared" ref="D22:D32" si="4">D4*$D$17</f>
        <v>12846.25644242646</v>
      </c>
      <c r="E22" s="447">
        <f t="shared" ref="E22:E32" si="5">E4*$E$17</f>
        <v>325.64263488710253</v>
      </c>
      <c r="F22" s="447">
        <f t="shared" ref="F22:F32" si="6">F4*$F$17</f>
        <v>8390.7686568896188</v>
      </c>
      <c r="G22" s="447">
        <f t="shared" ref="G22:G32" si="7">G4*$G$17</f>
        <v>0</v>
      </c>
      <c r="H22" s="447">
        <f t="shared" ref="H22:H32" si="8">H4*$H$17</f>
        <v>0</v>
      </c>
      <c r="I22" s="447">
        <f t="shared" ref="I22:I32" si="9">I4*$I$17</f>
        <v>0</v>
      </c>
      <c r="J22" s="447">
        <f t="shared" ref="J22:J32" si="10">J4*$J$17</f>
        <v>63.401676180347749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27005.085590314568</v>
      </c>
    </row>
    <row r="23" spans="1:17">
      <c r="A23" s="446" t="s">
        <v>149</v>
      </c>
      <c r="B23" s="447">
        <f t="shared" ca="1" si="2"/>
        <v>2816.5034873305162</v>
      </c>
      <c r="C23" s="447">
        <f t="shared" ca="1" si="3"/>
        <v>0</v>
      </c>
      <c r="D23" s="447">
        <f t="shared" ca="1" si="4"/>
        <v>2471.1467993348256</v>
      </c>
      <c r="E23" s="447">
        <f t="shared" si="5"/>
        <v>15.762697504472609</v>
      </c>
      <c r="F23" s="447">
        <f t="shared" ca="1" si="6"/>
        <v>666.60594653531518</v>
      </c>
      <c r="G23" s="447">
        <f t="shared" si="7"/>
        <v>0</v>
      </c>
      <c r="H23" s="447">
        <f t="shared" si="8"/>
        <v>0</v>
      </c>
      <c r="I23" s="447">
        <f t="shared" si="9"/>
        <v>0</v>
      </c>
      <c r="J23" s="447">
        <f t="shared" si="10"/>
        <v>5.4401944461020708E-3</v>
      </c>
      <c r="K23" s="447">
        <f t="shared" si="11"/>
        <v>0</v>
      </c>
      <c r="L23" s="447">
        <f t="shared" ca="1" si="12"/>
        <v>0</v>
      </c>
      <c r="M23" s="447">
        <f t="shared" si="13"/>
        <v>0</v>
      </c>
      <c r="N23" s="447">
        <f t="shared" ca="1" si="14"/>
        <v>0</v>
      </c>
      <c r="O23" s="447">
        <f t="shared" si="15"/>
        <v>0</v>
      </c>
      <c r="P23" s="448">
        <f t="shared" si="16"/>
        <v>0</v>
      </c>
      <c r="Q23" s="446">
        <f t="shared" ref="Q23:Q31" ca="1" si="17">SUM(B23:P23)</f>
        <v>5970.0243708995758</v>
      </c>
    </row>
    <row r="24" spans="1:17">
      <c r="A24" s="446" t="s">
        <v>187</v>
      </c>
      <c r="B24" s="447">
        <f t="shared" ca="1" si="2"/>
        <v>192.05912895635009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192.05912895635009</v>
      </c>
    </row>
    <row r="25" spans="1:17">
      <c r="A25" s="446" t="s">
        <v>105</v>
      </c>
      <c r="B25" s="447">
        <f t="shared" ca="1" si="2"/>
        <v>2264.0363182051242</v>
      </c>
      <c r="C25" s="447">
        <f t="shared" ca="1" si="3"/>
        <v>19609.956302521012</v>
      </c>
      <c r="D25" s="447">
        <f t="shared" si="4"/>
        <v>0</v>
      </c>
      <c r="E25" s="447">
        <f t="shared" si="5"/>
        <v>73.058026212465663</v>
      </c>
      <c r="F25" s="447">
        <f t="shared" si="6"/>
        <v>9497.1808815900058</v>
      </c>
      <c r="G25" s="447">
        <f t="shared" si="7"/>
        <v>0</v>
      </c>
      <c r="H25" s="447">
        <f t="shared" si="8"/>
        <v>0</v>
      </c>
      <c r="I25" s="447">
        <f t="shared" si="9"/>
        <v>0</v>
      </c>
      <c r="J25" s="447">
        <f t="shared" si="10"/>
        <v>1011.4382941887635</v>
      </c>
      <c r="K25" s="447">
        <f t="shared" si="11"/>
        <v>0</v>
      </c>
      <c r="L25" s="447">
        <f t="shared" si="12"/>
        <v>0</v>
      </c>
      <c r="M25" s="447">
        <f t="shared" si="13"/>
        <v>0</v>
      </c>
      <c r="N25" s="447">
        <f t="shared" si="14"/>
        <v>0</v>
      </c>
      <c r="O25" s="447">
        <f t="shared" si="15"/>
        <v>0</v>
      </c>
      <c r="P25" s="448">
        <f t="shared" si="16"/>
        <v>0</v>
      </c>
      <c r="Q25" s="446">
        <f t="shared" ca="1" si="17"/>
        <v>32455.669822717373</v>
      </c>
    </row>
    <row r="26" spans="1:17">
      <c r="A26" s="446" t="s">
        <v>611</v>
      </c>
      <c r="B26" s="447">
        <f t="shared" ca="1" si="2"/>
        <v>4612.1087646961423</v>
      </c>
      <c r="C26" s="447">
        <f t="shared" ca="1" si="3"/>
        <v>0</v>
      </c>
      <c r="D26" s="447">
        <f t="shared" si="4"/>
        <v>4735.3132561616685</v>
      </c>
      <c r="E26" s="447">
        <f t="shared" si="5"/>
        <v>101.7742657620749</v>
      </c>
      <c r="F26" s="447">
        <f t="shared" si="6"/>
        <v>784.90340771222247</v>
      </c>
      <c r="G26" s="447">
        <f t="shared" si="7"/>
        <v>0</v>
      </c>
      <c r="H26" s="447">
        <f t="shared" si="8"/>
        <v>0</v>
      </c>
      <c r="I26" s="447">
        <f t="shared" si="9"/>
        <v>0</v>
      </c>
      <c r="J26" s="447">
        <f t="shared" si="10"/>
        <v>34.806778125371686</v>
      </c>
      <c r="K26" s="447">
        <f t="shared" si="11"/>
        <v>0</v>
      </c>
      <c r="L26" s="447">
        <f t="shared" si="12"/>
        <v>0</v>
      </c>
      <c r="M26" s="447">
        <f t="shared" si="13"/>
        <v>0</v>
      </c>
      <c r="N26" s="447">
        <f t="shared" si="14"/>
        <v>0</v>
      </c>
      <c r="O26" s="447">
        <f t="shared" si="15"/>
        <v>0</v>
      </c>
      <c r="P26" s="448">
        <f t="shared" si="16"/>
        <v>0</v>
      </c>
      <c r="Q26" s="446">
        <f t="shared" ca="1" si="17"/>
        <v>10268.906472457482</v>
      </c>
    </row>
    <row r="27" spans="1:17" s="452" customFormat="1">
      <c r="A27" s="450" t="s">
        <v>537</v>
      </c>
      <c r="B27" s="770">
        <f t="shared" ca="1" si="2"/>
        <v>31.735866610508641</v>
      </c>
      <c r="C27" s="451">
        <f t="shared" ca="1" si="3"/>
        <v>0</v>
      </c>
      <c r="D27" s="451">
        <f t="shared" si="4"/>
        <v>58.087111278702402</v>
      </c>
      <c r="E27" s="451">
        <f t="shared" si="5"/>
        <v>25.515794307870429</v>
      </c>
      <c r="F27" s="451">
        <f t="shared" si="6"/>
        <v>0</v>
      </c>
      <c r="G27" s="451">
        <f t="shared" si="7"/>
        <v>13316.710016754123</v>
      </c>
      <c r="H27" s="451">
        <f t="shared" si="8"/>
        <v>3500.7054770801242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16932.754266031327</v>
      </c>
    </row>
    <row r="28" spans="1:17" ht="16.5" customHeight="1">
      <c r="A28" s="446" t="s">
        <v>527</v>
      </c>
      <c r="B28" s="447">
        <f t="shared" ca="1" si="2"/>
        <v>3.9391653139843368</v>
      </c>
      <c r="C28" s="447">
        <f t="shared" ca="1" si="3"/>
        <v>0</v>
      </c>
      <c r="D28" s="447">
        <f t="shared" si="4"/>
        <v>0</v>
      </c>
      <c r="E28" s="447">
        <f t="shared" si="5"/>
        <v>0</v>
      </c>
      <c r="F28" s="447">
        <f t="shared" si="6"/>
        <v>0</v>
      </c>
      <c r="G28" s="447">
        <f t="shared" si="7"/>
        <v>326.79152763568442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330.73069294966876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101.95711316918874</v>
      </c>
      <c r="C32" s="447">
        <f t="shared" ca="1" si="3"/>
        <v>0</v>
      </c>
      <c r="D32" s="447">
        <f t="shared" si="4"/>
        <v>241.025743229825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342.98285639901371</v>
      </c>
    </row>
    <row r="33" spans="1:17" s="458" customFormat="1">
      <c r="A33" s="456" t="s">
        <v>531</v>
      </c>
      <c r="B33" s="457">
        <f ca="1">SUM(B22:B32)</f>
        <v>15401.356024212855</v>
      </c>
      <c r="C33" s="457">
        <f t="shared" ref="C33:Q33" ca="1" si="19">SUM(C22:C32)</f>
        <v>19609.956302521012</v>
      </c>
      <c r="D33" s="457">
        <f t="shared" ca="1" si="19"/>
        <v>20351.829352431479</v>
      </c>
      <c r="E33" s="457">
        <f t="shared" si="19"/>
        <v>541.75341867398618</v>
      </c>
      <c r="F33" s="457">
        <f t="shared" ca="1" si="19"/>
        <v>19339.458892727165</v>
      </c>
      <c r="G33" s="457">
        <f t="shared" si="19"/>
        <v>13643.501544389808</v>
      </c>
      <c r="H33" s="457">
        <f t="shared" si="19"/>
        <v>3500.7054770801242</v>
      </c>
      <c r="I33" s="457">
        <f t="shared" si="19"/>
        <v>0</v>
      </c>
      <c r="J33" s="457">
        <f t="shared" si="19"/>
        <v>1109.6521886889291</v>
      </c>
      <c r="K33" s="457">
        <f t="shared" si="19"/>
        <v>0</v>
      </c>
      <c r="L33" s="457">
        <f t="shared" ca="1" si="19"/>
        <v>0</v>
      </c>
      <c r="M33" s="457">
        <f t="shared" si="19"/>
        <v>0</v>
      </c>
      <c r="N33" s="457">
        <f t="shared" ca="1" si="19"/>
        <v>0</v>
      </c>
      <c r="O33" s="457">
        <f t="shared" si="19"/>
        <v>0</v>
      </c>
      <c r="P33" s="457">
        <f t="shared" si="19"/>
        <v>0</v>
      </c>
      <c r="Q33" s="457">
        <f t="shared" ca="1" si="19"/>
        <v>93498.213200725368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11057.639963615413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43.65</v>
      </c>
      <c r="C8" s="1014">
        <f>'SEAP template'!C76</f>
        <v>57761.999999999993</v>
      </c>
      <c r="D8" s="1014">
        <f>'SEAP template'!D76</f>
        <v>67955.294117647063</v>
      </c>
      <c r="E8" s="1014">
        <f>'SEAP template'!E76</f>
        <v>0</v>
      </c>
      <c r="F8" s="1014">
        <f>'SEAP template'!F76</f>
        <v>0</v>
      </c>
      <c r="G8" s="1014">
        <f>'SEAP template'!G76</f>
        <v>0</v>
      </c>
      <c r="H8" s="1014">
        <f>'SEAP template'!H76</f>
        <v>0</v>
      </c>
      <c r="I8" s="1014">
        <f>'SEAP template'!I76</f>
        <v>0</v>
      </c>
      <c r="J8" s="1014">
        <f>'SEAP template'!J76</f>
        <v>51.352941176470587</v>
      </c>
      <c r="K8" s="1014">
        <f>'SEAP template'!K76</f>
        <v>0</v>
      </c>
      <c r="L8" s="1014">
        <f>'SEAP template'!L76</f>
        <v>0</v>
      </c>
      <c r="M8" s="1014">
        <f>'SEAP template'!M76</f>
        <v>0</v>
      </c>
      <c r="N8" s="1014">
        <f>'SEAP template'!N76</f>
        <v>0</v>
      </c>
      <c r="O8" s="1014">
        <f>'SEAP template'!O76</f>
        <v>0</v>
      </c>
      <c r="P8" s="1015">
        <f>'SEAP template'!Q76</f>
        <v>13726.969411764707</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11101.289963615412</v>
      </c>
      <c r="C10" s="1016">
        <f>SUM(C4:C9)</f>
        <v>57761.999999999993</v>
      </c>
      <c r="D10" s="1016">
        <f t="shared" ref="D10:H10" si="0">SUM(D8:D9)</f>
        <v>67955.294117647063</v>
      </c>
      <c r="E10" s="1016">
        <f t="shared" si="0"/>
        <v>0</v>
      </c>
      <c r="F10" s="1016">
        <f t="shared" si="0"/>
        <v>0</v>
      </c>
      <c r="G10" s="1016">
        <f t="shared" si="0"/>
        <v>0</v>
      </c>
      <c r="H10" s="1016">
        <f t="shared" si="0"/>
        <v>0</v>
      </c>
      <c r="I10" s="1016">
        <f>SUM(I8:I9)</f>
        <v>0</v>
      </c>
      <c r="J10" s="1016">
        <f>SUM(J8:J9)</f>
        <v>51.352941176470587</v>
      </c>
      <c r="K10" s="1016">
        <f t="shared" ref="K10:L10" si="1">SUM(K8:K9)</f>
        <v>0</v>
      </c>
      <c r="L10" s="1016">
        <f t="shared" si="1"/>
        <v>0</v>
      </c>
      <c r="M10" s="1016">
        <f>SUM(M8:M9)</f>
        <v>0</v>
      </c>
      <c r="N10" s="1016">
        <f>SUM(N8:N9)</f>
        <v>0</v>
      </c>
      <c r="O10" s="1016">
        <f>SUM(O8:O9)</f>
        <v>0</v>
      </c>
      <c r="P10" s="1016">
        <f>SUM(P8:P9)</f>
        <v>13726.969411764707</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0.20148373200459713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v>
      </c>
      <c r="C17" s="1017">
        <f>'SEAP template'!C87</f>
        <v>82517.142857142855</v>
      </c>
      <c r="D17" s="1015">
        <f>'SEAP template'!D87</f>
        <v>97078.991596638662</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19609.956302521012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v>
      </c>
      <c r="C20" s="1016">
        <f>SUM(C17:C19)</f>
        <v>82517.142857142855</v>
      </c>
      <c r="D20" s="1016">
        <f t="shared" ref="D20:H20" si="2">SUM(D17:D19)</f>
        <v>97078.991596638662</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19609.956302521012</v>
      </c>
    </row>
    <row r="21" spans="1:16">
      <c r="B21" s="881"/>
    </row>
    <row r="22" spans="1:16">
      <c r="A22" s="459" t="s">
        <v>749</v>
      </c>
      <c r="B22" s="776" t="s">
        <v>747</v>
      </c>
      <c r="C22" s="776">
        <f ca="1">'EF ele_warmte'!B22</f>
        <v>0.23746760760868027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0.20148373200459713</v>
      </c>
      <c r="C17" s="496">
        <f ca="1">'EF ele_warmte'!B22</f>
        <v>0.23746760760868027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0.20148373200459713</v>
      </c>
      <c r="C17" s="496">
        <f ca="1">'EF ele_warmte'!B22</f>
        <v>0.23746760760868027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0.20148373200459713</v>
      </c>
      <c r="C29" s="497">
        <f ca="1">'EF ele_warmte'!B22</f>
        <v>0.23746760760868027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6162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5014.01</v>
      </c>
      <c r="C14" s="326"/>
      <c r="D14" s="326"/>
      <c r="E14" s="326"/>
      <c r="F14" s="326"/>
    </row>
    <row r="15" spans="1:6">
      <c r="A15" s="1310" t="s">
        <v>177</v>
      </c>
      <c r="B15" s="1311">
        <v>23389</v>
      </c>
      <c r="C15" s="326"/>
      <c r="D15" s="326"/>
      <c r="E15" s="326"/>
      <c r="F15" s="326"/>
    </row>
    <row r="16" spans="1:6">
      <c r="A16" s="1310" t="s">
        <v>6</v>
      </c>
      <c r="B16" s="1311">
        <v>4299</v>
      </c>
      <c r="C16" s="326"/>
      <c r="D16" s="326"/>
      <c r="E16" s="326"/>
      <c r="F16" s="326"/>
    </row>
    <row r="17" spans="1:6">
      <c r="A17" s="1310" t="s">
        <v>7</v>
      </c>
      <c r="B17" s="1311">
        <v>344</v>
      </c>
      <c r="C17" s="326"/>
      <c r="D17" s="326"/>
      <c r="E17" s="326"/>
      <c r="F17" s="326"/>
    </row>
    <row r="18" spans="1:6">
      <c r="A18" s="1310" t="s">
        <v>8</v>
      </c>
      <c r="B18" s="1311">
        <v>2247</v>
      </c>
      <c r="C18" s="326"/>
      <c r="D18" s="326"/>
      <c r="E18" s="326"/>
      <c r="F18" s="326"/>
    </row>
    <row r="19" spans="1:6">
      <c r="A19" s="1310" t="s">
        <v>9</v>
      </c>
      <c r="B19" s="1311">
        <v>2123</v>
      </c>
      <c r="C19" s="326"/>
      <c r="D19" s="326"/>
      <c r="E19" s="326"/>
      <c r="F19" s="326"/>
    </row>
    <row r="20" spans="1:6">
      <c r="A20" s="1310" t="s">
        <v>10</v>
      </c>
      <c r="B20" s="1311">
        <v>1909</v>
      </c>
      <c r="C20" s="326"/>
      <c r="D20" s="326"/>
      <c r="E20" s="326"/>
      <c r="F20" s="326"/>
    </row>
    <row r="21" spans="1:6">
      <c r="A21" s="1310" t="s">
        <v>11</v>
      </c>
      <c r="B21" s="1311">
        <v>22310</v>
      </c>
      <c r="C21" s="326"/>
      <c r="D21" s="326"/>
      <c r="E21" s="326"/>
      <c r="F21" s="326"/>
    </row>
    <row r="22" spans="1:6">
      <c r="A22" s="1310" t="s">
        <v>12</v>
      </c>
      <c r="B22" s="1311">
        <v>62449</v>
      </c>
      <c r="C22" s="326"/>
      <c r="D22" s="326"/>
      <c r="E22" s="326"/>
      <c r="F22" s="326"/>
    </row>
    <row r="23" spans="1:6">
      <c r="A23" s="1310" t="s">
        <v>13</v>
      </c>
      <c r="B23" s="1311">
        <v>982</v>
      </c>
      <c r="C23" s="326"/>
      <c r="D23" s="326"/>
      <c r="E23" s="326"/>
      <c r="F23" s="326"/>
    </row>
    <row r="24" spans="1:6">
      <c r="A24" s="1310" t="s">
        <v>14</v>
      </c>
      <c r="B24" s="1311">
        <v>82</v>
      </c>
      <c r="C24" s="326"/>
      <c r="D24" s="326"/>
      <c r="E24" s="326"/>
      <c r="F24" s="326"/>
    </row>
    <row r="25" spans="1:6">
      <c r="A25" s="1310" t="s">
        <v>15</v>
      </c>
      <c r="B25" s="1311">
        <v>3401</v>
      </c>
      <c r="C25" s="326"/>
      <c r="D25" s="326"/>
      <c r="E25" s="326"/>
      <c r="F25" s="326"/>
    </row>
    <row r="26" spans="1:6">
      <c r="A26" s="1310" t="s">
        <v>16</v>
      </c>
      <c r="B26" s="1311">
        <v>109</v>
      </c>
      <c r="C26" s="326"/>
      <c r="D26" s="326"/>
      <c r="E26" s="326"/>
      <c r="F26" s="326"/>
    </row>
    <row r="27" spans="1:6">
      <c r="A27" s="1310" t="s">
        <v>17</v>
      </c>
      <c r="B27" s="1311">
        <v>3379</v>
      </c>
      <c r="C27" s="326"/>
      <c r="D27" s="326"/>
      <c r="E27" s="326"/>
      <c r="F27" s="326"/>
    </row>
    <row r="28" spans="1:6">
      <c r="A28" s="1310" t="s">
        <v>18</v>
      </c>
      <c r="B28" s="1312">
        <v>2102428</v>
      </c>
      <c r="C28" s="326"/>
      <c r="D28" s="326"/>
      <c r="E28" s="326"/>
      <c r="F28" s="326"/>
    </row>
    <row r="29" spans="1:6">
      <c r="A29" s="1310" t="s">
        <v>678</v>
      </c>
      <c r="B29" s="1312">
        <v>158</v>
      </c>
      <c r="C29" s="326"/>
      <c r="D29" s="326"/>
      <c r="E29" s="326"/>
      <c r="F29" s="326"/>
    </row>
    <row r="30" spans="1:6">
      <c r="A30" s="1305" t="s">
        <v>679</v>
      </c>
      <c r="B30" s="1313">
        <v>24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226339.503125057</v>
      </c>
      <c r="E38" s="1311">
        <v>4</v>
      </c>
      <c r="F38" s="1311">
        <v>925978.56041048921</v>
      </c>
    </row>
    <row r="39" spans="1:6">
      <c r="A39" s="1310" t="s">
        <v>29</v>
      </c>
      <c r="B39" s="1310" t="s">
        <v>30</v>
      </c>
      <c r="C39" s="1311">
        <v>4019</v>
      </c>
      <c r="D39" s="1311">
        <v>70426720.844854102</v>
      </c>
      <c r="E39" s="1311">
        <v>5767</v>
      </c>
      <c r="F39" s="1311">
        <v>21097505.0041922</v>
      </c>
    </row>
    <row r="40" spans="1:6">
      <c r="A40" s="1310" t="s">
        <v>29</v>
      </c>
      <c r="B40" s="1310" t="s">
        <v>28</v>
      </c>
      <c r="C40" s="1311">
        <v>0</v>
      </c>
      <c r="D40" s="1311">
        <v>0</v>
      </c>
      <c r="E40" s="1311">
        <v>1</v>
      </c>
      <c r="F40" s="1311">
        <v>18945.925448295999</v>
      </c>
    </row>
    <row r="41" spans="1:6">
      <c r="A41" s="1310" t="s">
        <v>31</v>
      </c>
      <c r="B41" s="1310" t="s">
        <v>32</v>
      </c>
      <c r="C41" s="1311">
        <v>92</v>
      </c>
      <c r="D41" s="1311">
        <v>1756169.89009308</v>
      </c>
      <c r="E41" s="1311">
        <v>180</v>
      </c>
      <c r="F41" s="1311">
        <v>2115844.5673696999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12</v>
      </c>
      <c r="D44" s="1311">
        <v>322857.976030669</v>
      </c>
      <c r="E44" s="1311">
        <v>26</v>
      </c>
      <c r="F44" s="1311">
        <v>1692879.4424476901</v>
      </c>
    </row>
    <row r="45" spans="1:6">
      <c r="A45" s="1310" t="s">
        <v>31</v>
      </c>
      <c r="B45" s="1310" t="s">
        <v>36</v>
      </c>
      <c r="C45" s="1311">
        <v>0</v>
      </c>
      <c r="D45" s="1311">
        <v>0</v>
      </c>
      <c r="E45" s="1311">
        <v>4</v>
      </c>
      <c r="F45" s="1311">
        <v>1725745.0600230901</v>
      </c>
    </row>
    <row r="46" spans="1:6">
      <c r="A46" s="1310" t="s">
        <v>31</v>
      </c>
      <c r="B46" s="1310" t="s">
        <v>37</v>
      </c>
      <c r="C46" s="1311">
        <v>0</v>
      </c>
      <c r="D46" s="1311">
        <v>0</v>
      </c>
      <c r="E46" s="1311">
        <v>0</v>
      </c>
      <c r="F46" s="1311">
        <v>0</v>
      </c>
    </row>
    <row r="47" spans="1:6">
      <c r="A47" s="1310" t="s">
        <v>31</v>
      </c>
      <c r="B47" s="1310" t="s">
        <v>38</v>
      </c>
      <c r="C47" s="1311">
        <v>3</v>
      </c>
      <c r="D47" s="1311">
        <v>68212.958959659998</v>
      </c>
      <c r="E47" s="1311">
        <v>6</v>
      </c>
      <c r="F47" s="1311">
        <v>49133.145750547403</v>
      </c>
    </row>
    <row r="48" spans="1:6">
      <c r="A48" s="1310" t="s">
        <v>31</v>
      </c>
      <c r="B48" s="1310" t="s">
        <v>28</v>
      </c>
      <c r="C48" s="1311">
        <v>3</v>
      </c>
      <c r="D48" s="1311">
        <v>10683742.366214626</v>
      </c>
      <c r="E48" s="1311">
        <v>4</v>
      </c>
      <c r="F48" s="1311">
        <v>6477435.1513921395</v>
      </c>
    </row>
    <row r="49" spans="1:6">
      <c r="A49" s="1310" t="s">
        <v>31</v>
      </c>
      <c r="B49" s="1310" t="s">
        <v>39</v>
      </c>
      <c r="C49" s="1311">
        <v>0</v>
      </c>
      <c r="D49" s="1311">
        <v>0</v>
      </c>
      <c r="E49" s="1311">
        <v>0</v>
      </c>
      <c r="F49" s="1311">
        <v>0</v>
      </c>
    </row>
    <row r="50" spans="1:6">
      <c r="A50" s="1310" t="s">
        <v>31</v>
      </c>
      <c r="B50" s="1310" t="s">
        <v>40</v>
      </c>
      <c r="C50" s="1311">
        <v>8</v>
      </c>
      <c r="D50" s="1311">
        <v>13129310.0894146</v>
      </c>
      <c r="E50" s="1311">
        <v>15</v>
      </c>
      <c r="F50" s="1311">
        <v>10829687.947708299</v>
      </c>
    </row>
    <row r="51" spans="1:6">
      <c r="A51" s="1310" t="s">
        <v>41</v>
      </c>
      <c r="B51" s="1310" t="s">
        <v>42</v>
      </c>
      <c r="C51" s="1311">
        <v>37</v>
      </c>
      <c r="D51" s="1311">
        <v>178194661.46550399</v>
      </c>
      <c r="E51" s="1311">
        <v>260</v>
      </c>
      <c r="F51" s="1311">
        <v>11236819.4478027</v>
      </c>
    </row>
    <row r="52" spans="1:6">
      <c r="A52" s="1310" t="s">
        <v>41</v>
      </c>
      <c r="B52" s="1310" t="s">
        <v>28</v>
      </c>
      <c r="C52" s="1311">
        <v>0</v>
      </c>
      <c r="D52" s="1311">
        <v>0</v>
      </c>
      <c r="E52" s="1311">
        <v>0</v>
      </c>
      <c r="F52" s="1311">
        <v>0</v>
      </c>
    </row>
    <row r="53" spans="1:6">
      <c r="A53" s="1310" t="s">
        <v>43</v>
      </c>
      <c r="B53" s="1310" t="s">
        <v>44</v>
      </c>
      <c r="C53" s="1311">
        <v>56</v>
      </c>
      <c r="D53" s="1311">
        <v>1193196.7486624999</v>
      </c>
      <c r="E53" s="1311">
        <v>168</v>
      </c>
      <c r="F53" s="1311">
        <v>506031.49025878898</v>
      </c>
    </row>
    <row r="54" spans="1:6">
      <c r="A54" s="1310" t="s">
        <v>45</v>
      </c>
      <c r="B54" s="1310" t="s">
        <v>46</v>
      </c>
      <c r="C54" s="1311">
        <v>0</v>
      </c>
      <c r="D54" s="1311">
        <v>0</v>
      </c>
      <c r="E54" s="1311">
        <v>1</v>
      </c>
      <c r="F54" s="1311">
        <v>953224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604773.48585947999</v>
      </c>
      <c r="E57" s="1311">
        <v>79</v>
      </c>
      <c r="F57" s="1311">
        <v>1519430.43310432</v>
      </c>
    </row>
    <row r="58" spans="1:6">
      <c r="A58" s="1310" t="s">
        <v>48</v>
      </c>
      <c r="B58" s="1310" t="s">
        <v>50</v>
      </c>
      <c r="C58" s="1311">
        <v>22</v>
      </c>
      <c r="D58" s="1311">
        <v>1302665.4088405501</v>
      </c>
      <c r="E58" s="1311">
        <v>31</v>
      </c>
      <c r="F58" s="1311">
        <v>542140.95990678703</v>
      </c>
    </row>
    <row r="59" spans="1:6">
      <c r="A59" s="1310" t="s">
        <v>48</v>
      </c>
      <c r="B59" s="1310" t="s">
        <v>51</v>
      </c>
      <c r="C59" s="1311">
        <v>109</v>
      </c>
      <c r="D59" s="1311">
        <v>3146082.9049045201</v>
      </c>
      <c r="E59" s="1311">
        <v>205</v>
      </c>
      <c r="F59" s="1311">
        <v>6121883.2295687804</v>
      </c>
    </row>
    <row r="60" spans="1:6">
      <c r="A60" s="1310" t="s">
        <v>48</v>
      </c>
      <c r="B60" s="1310" t="s">
        <v>52</v>
      </c>
      <c r="C60" s="1311">
        <v>44</v>
      </c>
      <c r="D60" s="1311">
        <v>2294074.78497229</v>
      </c>
      <c r="E60" s="1311">
        <v>57</v>
      </c>
      <c r="F60" s="1311">
        <v>1358360.3599130099</v>
      </c>
    </row>
    <row r="61" spans="1:6">
      <c r="A61" s="1310" t="s">
        <v>48</v>
      </c>
      <c r="B61" s="1310" t="s">
        <v>53</v>
      </c>
      <c r="C61" s="1311">
        <v>79</v>
      </c>
      <c r="D61" s="1311">
        <v>1896152.44618855</v>
      </c>
      <c r="E61" s="1311">
        <v>228</v>
      </c>
      <c r="F61" s="1311">
        <v>3376654.6895020502</v>
      </c>
    </row>
    <row r="62" spans="1:6">
      <c r="A62" s="1310" t="s">
        <v>48</v>
      </c>
      <c r="B62" s="1310" t="s">
        <v>54</v>
      </c>
      <c r="C62" s="1311">
        <v>37</v>
      </c>
      <c r="D62" s="1311">
        <v>4303759.2712357799</v>
      </c>
      <c r="E62" s="1311">
        <v>91</v>
      </c>
      <c r="F62" s="1311">
        <v>1060343.70072069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37159.348533179997</v>
      </c>
    </row>
    <row r="67" spans="1:6">
      <c r="A67" s="1310" t="s">
        <v>55</v>
      </c>
      <c r="B67" s="1310" t="s">
        <v>58</v>
      </c>
      <c r="C67" s="1311">
        <v>0</v>
      </c>
      <c r="D67" s="1311">
        <v>0</v>
      </c>
      <c r="E67" s="1311">
        <v>0</v>
      </c>
      <c r="F67" s="1311">
        <v>0</v>
      </c>
    </row>
    <row r="68" spans="1:6">
      <c r="A68" s="1305" t="s">
        <v>55</v>
      </c>
      <c r="B68" s="1305" t="s">
        <v>59</v>
      </c>
      <c r="C68" s="1313">
        <v>6</v>
      </c>
      <c r="D68" s="1313">
        <v>170420.905188209</v>
      </c>
      <c r="E68" s="1313">
        <v>13</v>
      </c>
      <c r="F68" s="1313">
        <v>372640.34483549499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59287555</v>
      </c>
      <c r="E73" s="445"/>
      <c r="F73" s="326"/>
    </row>
    <row r="74" spans="1:6">
      <c r="A74" s="1310" t="s">
        <v>63</v>
      </c>
      <c r="B74" s="1310" t="s">
        <v>632</v>
      </c>
      <c r="C74" s="1323" t="s">
        <v>634</v>
      </c>
      <c r="D74" s="1311">
        <v>5553581.6296456186</v>
      </c>
      <c r="E74" s="445"/>
      <c r="F74" s="326"/>
    </row>
    <row r="75" spans="1:6">
      <c r="A75" s="1310" t="s">
        <v>64</v>
      </c>
      <c r="B75" s="1310" t="s">
        <v>631</v>
      </c>
      <c r="C75" s="1323" t="s">
        <v>635</v>
      </c>
      <c r="D75" s="1311">
        <v>17120267</v>
      </c>
      <c r="E75" s="445"/>
      <c r="F75" s="326"/>
    </row>
    <row r="76" spans="1:6">
      <c r="A76" s="1310" t="s">
        <v>64</v>
      </c>
      <c r="B76" s="1310" t="s">
        <v>632</v>
      </c>
      <c r="C76" s="1323" t="s">
        <v>636</v>
      </c>
      <c r="D76" s="1311">
        <v>616631.62964561849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364664.74070876301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5580.5738197735727</v>
      </c>
      <c r="C91" s="326"/>
      <c r="D91" s="326"/>
      <c r="E91" s="326"/>
      <c r="F91" s="326"/>
    </row>
    <row r="92" spans="1:6">
      <c r="A92" s="1305" t="s">
        <v>68</v>
      </c>
      <c r="B92" s="1306">
        <v>5477.0661438418392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1899</v>
      </c>
      <c r="C97" s="326"/>
      <c r="D97" s="326"/>
      <c r="E97" s="326"/>
      <c r="F97" s="326"/>
    </row>
    <row r="98" spans="1:6">
      <c r="A98" s="1310" t="s">
        <v>71</v>
      </c>
      <c r="B98" s="1311">
        <v>15</v>
      </c>
      <c r="C98" s="326"/>
      <c r="D98" s="326"/>
      <c r="E98" s="326"/>
      <c r="F98" s="326"/>
    </row>
    <row r="99" spans="1:6">
      <c r="A99" s="1310" t="s">
        <v>72</v>
      </c>
      <c r="B99" s="1311">
        <v>217</v>
      </c>
      <c r="C99" s="326"/>
      <c r="D99" s="326"/>
      <c r="E99" s="326"/>
      <c r="F99" s="326"/>
    </row>
    <row r="100" spans="1:6">
      <c r="A100" s="1310" t="s">
        <v>73</v>
      </c>
      <c r="B100" s="1311">
        <v>180</v>
      </c>
      <c r="C100" s="326"/>
      <c r="D100" s="326"/>
      <c r="E100" s="326"/>
      <c r="F100" s="326"/>
    </row>
    <row r="101" spans="1:6">
      <c r="A101" s="1310" t="s">
        <v>74</v>
      </c>
      <c r="B101" s="1311">
        <v>177</v>
      </c>
      <c r="C101" s="326"/>
      <c r="D101" s="326"/>
      <c r="E101" s="326"/>
      <c r="F101" s="326"/>
    </row>
    <row r="102" spans="1:6">
      <c r="A102" s="1310" t="s">
        <v>75</v>
      </c>
      <c r="B102" s="1311">
        <v>45</v>
      </c>
      <c r="C102" s="326"/>
      <c r="D102" s="326"/>
      <c r="E102" s="326"/>
      <c r="F102" s="326"/>
    </row>
    <row r="103" spans="1:6">
      <c r="A103" s="1310" t="s">
        <v>76</v>
      </c>
      <c r="B103" s="1311">
        <v>73</v>
      </c>
      <c r="C103" s="326"/>
      <c r="D103" s="326"/>
      <c r="E103" s="326"/>
      <c r="F103" s="326"/>
    </row>
    <row r="104" spans="1:6">
      <c r="A104" s="1310" t="s">
        <v>77</v>
      </c>
      <c r="B104" s="1311">
        <v>2212</v>
      </c>
      <c r="C104" s="326"/>
      <c r="D104" s="326"/>
      <c r="E104" s="326"/>
      <c r="F104" s="326"/>
    </row>
    <row r="105" spans="1:6">
      <c r="A105" s="1305" t="s">
        <v>78</v>
      </c>
      <c r="B105" s="131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51</v>
      </c>
      <c r="C123" s="1311">
        <v>43</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171</v>
      </c>
      <c r="C129" s="326"/>
      <c r="D129" s="326"/>
      <c r="E129" s="326"/>
      <c r="F129" s="326"/>
    </row>
    <row r="130" spans="1:6">
      <c r="A130" s="1310" t="s">
        <v>284</v>
      </c>
      <c r="B130" s="1311">
        <v>3</v>
      </c>
      <c r="C130" s="326"/>
      <c r="D130" s="326"/>
      <c r="E130" s="326"/>
      <c r="F130" s="326"/>
    </row>
    <row r="131" spans="1:6">
      <c r="A131" s="1310" t="s">
        <v>285</v>
      </c>
      <c r="B131" s="1311">
        <v>0</v>
      </c>
      <c r="C131" s="326"/>
      <c r="D131" s="326"/>
      <c r="E131" s="326"/>
      <c r="F131" s="326"/>
    </row>
    <row r="132" spans="1:6">
      <c r="A132" s="1305" t="s">
        <v>286</v>
      </c>
      <c r="B132" s="1306">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76439.699974693009</v>
      </c>
      <c r="C3" s="43" t="s">
        <v>163</v>
      </c>
      <c r="D3" s="43"/>
      <c r="E3" s="154"/>
      <c r="F3" s="43"/>
      <c r="G3" s="43"/>
      <c r="H3" s="43"/>
      <c r="I3" s="43"/>
      <c r="J3" s="43"/>
      <c r="K3" s="96"/>
    </row>
    <row r="4" spans="1:11">
      <c r="A4" s="352" t="s">
        <v>164</v>
      </c>
      <c r="B4" s="49">
        <f>IF(ISERROR('SEAP template'!B78+'SEAP template'!C78),0,'SEAP template'!B78+'SEAP template'!C78)</f>
        <v>68863.289963615403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13726.969411764707</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0.20148373200459713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19609.956302521012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82579.5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0.23746760760868027</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953.22400000000005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953.22400000000005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0.20148373200459713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192.05912895635009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21116.450929640494</v>
      </c>
      <c r="C5" s="17">
        <f>IF(ISERROR('Eigen informatie GS &amp; warmtenet'!B59),0,'Eigen informatie GS &amp; warmtenet'!B59)</f>
        <v>0</v>
      </c>
      <c r="D5" s="30">
        <f>(SUM(HH_hh_gas_kWh,HH_rest_gas_kWh)/1000)*0.903</f>
        <v>63595.32892290326</v>
      </c>
      <c r="E5" s="17">
        <f>B32*B41</f>
        <v>1434.5490523660903</v>
      </c>
      <c r="F5" s="17">
        <f>B36*B45</f>
        <v>31426.099838537899</v>
      </c>
      <c r="G5" s="18"/>
      <c r="H5" s="17"/>
      <c r="I5" s="17"/>
      <c r="J5" s="17">
        <f>B35*B44+C35*C44</f>
        <v>179.10078017047388</v>
      </c>
      <c r="K5" s="17"/>
      <c r="L5" s="17"/>
      <c r="M5" s="17"/>
      <c r="N5" s="17">
        <f>B34*B43+C34*C43</f>
        <v>8125.4225796459559</v>
      </c>
      <c r="O5" s="17">
        <f>B52*B53*B54</f>
        <v>426.55101716821184</v>
      </c>
      <c r="P5" s="17">
        <f>B60*B61*B62/1000-B60*B61*B62/1000/B63</f>
        <v>884.85258184554186</v>
      </c>
    </row>
    <row r="6" spans="1:16">
      <c r="A6" s="16" t="s">
        <v>597</v>
      </c>
      <c r="B6" s="778">
        <f>kWh_PV_kleiner_dan_10kW</f>
        <v>5580.5738197735727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26697.024749414068</v>
      </c>
      <c r="C8" s="21">
        <f>C5</f>
        <v>0</v>
      </c>
      <c r="D8" s="21">
        <f>D5</f>
        <v>63595.32892290326</v>
      </c>
      <c r="E8" s="21">
        <f>E5</f>
        <v>1434.5490523660903</v>
      </c>
      <c r="F8" s="21">
        <f>F5</f>
        <v>31426.099838537899</v>
      </c>
      <c r="G8" s="21"/>
      <c r="H8" s="21"/>
      <c r="I8" s="21"/>
      <c r="J8" s="21">
        <f>J5</f>
        <v>179.10078017047388</v>
      </c>
      <c r="K8" s="21"/>
      <c r="L8" s="21">
        <f>L5</f>
        <v>0</v>
      </c>
      <c r="M8" s="21">
        <f>M5</f>
        <v>0</v>
      </c>
      <c r="N8" s="21">
        <f>N5</f>
        <v>8125.4225796459559</v>
      </c>
      <c r="O8" s="21">
        <f>O5</f>
        <v>426.55101716821184</v>
      </c>
      <c r="P8" s="21">
        <f>P5</f>
        <v>884.85258184554186</v>
      </c>
    </row>
    <row r="9" spans="1:16">
      <c r="B9" s="19"/>
      <c r="C9" s="19"/>
      <c r="D9" s="254"/>
      <c r="E9" s="19"/>
      <c r="F9" s="19"/>
      <c r="G9" s="19"/>
      <c r="H9" s="19"/>
      <c r="I9" s="19"/>
      <c r="J9" s="19"/>
      <c r="K9" s="19"/>
      <c r="L9" s="19"/>
      <c r="M9" s="19"/>
      <c r="N9" s="19"/>
      <c r="O9" s="19"/>
      <c r="P9" s="19"/>
    </row>
    <row r="10" spans="1:16">
      <c r="A10" s="24" t="s">
        <v>207</v>
      </c>
      <c r="B10" s="25">
        <f ca="1">'EF ele_warmte'!B12</f>
        <v>0.20148373200459713</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5379.0161799310408</v>
      </c>
      <c r="C12" s="23">
        <f ca="1">C10*C8</f>
        <v>0</v>
      </c>
      <c r="D12" s="23">
        <f>D8*D10</f>
        <v>12846.25644242646</v>
      </c>
      <c r="E12" s="23">
        <f>E10*E8</f>
        <v>325.64263488710253</v>
      </c>
      <c r="F12" s="23">
        <f>F10*F8</f>
        <v>8390.7686568896188</v>
      </c>
      <c r="G12" s="23"/>
      <c r="H12" s="23"/>
      <c r="I12" s="23"/>
      <c r="J12" s="23">
        <f>J10*J8</f>
        <v>63.401676180347749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6162</v>
      </c>
      <c r="C26" s="36"/>
      <c r="D26" s="225"/>
    </row>
    <row r="27" spans="1:5" s="15" customFormat="1">
      <c r="A27" s="227" t="s">
        <v>860</v>
      </c>
      <c r="B27" s="37">
        <f>SUM(HH_hh_gas_aantal,HH_rest_gas_aantal)</f>
        <v>4019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3818.05</v>
      </c>
      <c r="C31" s="34" t="s">
        <v>104</v>
      </c>
      <c r="D31" s="171"/>
    </row>
    <row r="32" spans="1:5">
      <c r="A32" s="168" t="s">
        <v>72</v>
      </c>
      <c r="B32" s="33">
        <f>IF((B21*($B$26-($B$27-0.05*$B$27)-$B$60))&lt;0,0,(B21*($B$26-($B$27-0.05*$B$27)-$B$60)))</f>
        <v>35.87715528835772</v>
      </c>
      <c r="C32" s="34" t="s">
        <v>104</v>
      </c>
      <c r="D32" s="171"/>
    </row>
    <row r="33" spans="1:6">
      <c r="A33" s="168" t="s">
        <v>73</v>
      </c>
      <c r="B33" s="33">
        <f>IF((B22*($B$26-($B$27-0.05*$B$27)-$B$60))&lt;0,0,B22*($B$26-($B$27-0.05*$B$27)-$B$60))</f>
        <v>582.57394639698373</v>
      </c>
      <c r="C33" s="34" t="s">
        <v>104</v>
      </c>
      <c r="D33" s="171"/>
    </row>
    <row r="34" spans="1:6">
      <c r="A34" s="168" t="s">
        <v>74</v>
      </c>
      <c r="B34" s="33">
        <f>IF((B24*($B$26-($B$27-0.05*$B$27)-$B$60))&lt;0,0,B24*($B$26-($B$27-0.05*$B$27)-$B$60))</f>
        <v>111.68722179922264</v>
      </c>
      <c r="C34" s="33">
        <f>B26*C24</f>
        <v>1262.6304010879253</v>
      </c>
      <c r="D34" s="230"/>
    </row>
    <row r="35" spans="1:6">
      <c r="A35" s="168" t="s">
        <v>76</v>
      </c>
      <c r="B35" s="33">
        <f>IF((B19*($B$26-($B$27-0.05*$B$27)-$B$60))&lt;0,0,B19*($B$26-($B$27-0.05*$B$27)-$B$60))</f>
        <v>15.595713870369721</v>
      </c>
      <c r="C35" s="33">
        <f>B35/2</f>
        <v>7.7978569351848606</v>
      </c>
      <c r="D35" s="230"/>
    </row>
    <row r="36" spans="1:6">
      <c r="A36" s="168" t="s">
        <v>77</v>
      </c>
      <c r="B36" s="33">
        <f>IF((B18*($B$26-($B$27-0.05*$B$27)-$B$60))&lt;0,0,B18*($B$26-($B$27-0.05*$B$27)-$B$60))</f>
        <v>1514.2159626450657</v>
      </c>
      <c r="C36" s="34" t="s">
        <v>104</v>
      </c>
      <c r="D36" s="171"/>
    </row>
    <row r="37" spans="1:6">
      <c r="A37" s="168" t="s">
        <v>78</v>
      </c>
      <c r="B37" s="33">
        <f>B60</f>
        <v>84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13978.813372715638</v>
      </c>
      <c r="C5" s="17">
        <f>IF(ISERROR('Eigen informatie GS &amp; warmtenet'!B60),0,'Eigen informatie GS &amp; warmtenet'!B60)</f>
        <v>0</v>
      </c>
      <c r="D5" s="30">
        <f>SUM(D6:D12)</f>
        <v>12233.399996707056</v>
      </c>
      <c r="E5" s="17">
        <f>SUM(E6:E12)</f>
        <v>69.439196054945413</v>
      </c>
      <c r="F5" s="17">
        <f>SUM(F6:F12)</f>
        <v>2496.6514851509933</v>
      </c>
      <c r="G5" s="18"/>
      <c r="H5" s="17"/>
      <c r="I5" s="17"/>
      <c r="J5" s="17">
        <f>SUM(J6:J12)</f>
        <v>1.5367780921192292E-2</v>
      </c>
      <c r="K5" s="17"/>
      <c r="L5" s="17"/>
      <c r="M5" s="17"/>
      <c r="N5" s="17">
        <f>SUM(N6:N12)</f>
        <v>595.57622248368432</v>
      </c>
      <c r="O5" s="17">
        <f>B38*B39*B40</f>
        <v>14.691782297523464</v>
      </c>
      <c r="P5" s="17">
        <f>B46*B47*B48/1000-B46*B47*B48/1000/B49</f>
        <v>0</v>
      </c>
      <c r="R5" s="32"/>
    </row>
    <row r="6" spans="1:18">
      <c r="A6" s="32" t="s">
        <v>53</v>
      </c>
      <c r="B6" s="37">
        <f>B26</f>
        <v>3376.6546895020501</v>
      </c>
      <c r="C6" s="33"/>
      <c r="D6" s="37">
        <f>IF(ISERROR(TER_kantoor_gas_kWh/1000),0,TER_kantoor_gas_kWh/1000)*0.903</f>
        <v>1712.2256589082606</v>
      </c>
      <c r="E6" s="33">
        <f>$C$26*'E Balans VL '!I12/100/3.6*1000000</f>
        <v>0.80455728669960758</v>
      </c>
      <c r="F6" s="33">
        <f>$C$26*('E Balans VL '!L12+'E Balans VL '!N12)/100/3.6*1000000</f>
        <v>293.29553799554265</v>
      </c>
      <c r="G6" s="34"/>
      <c r="H6" s="33"/>
      <c r="I6" s="33"/>
      <c r="J6" s="33">
        <f>$C$26*('E Balans VL '!D12+'E Balans VL '!E12)/100/3.6*1000000</f>
        <v>0</v>
      </c>
      <c r="K6" s="33"/>
      <c r="L6" s="33"/>
      <c r="M6" s="33"/>
      <c r="N6" s="33">
        <f>$C$26*'E Balans VL '!Y12/100/3.6*1000000</f>
        <v>4.5133713871826782</v>
      </c>
      <c r="O6" s="33"/>
      <c r="P6" s="33"/>
      <c r="R6" s="32"/>
    </row>
    <row r="7" spans="1:18">
      <c r="A7" s="32" t="s">
        <v>52</v>
      </c>
      <c r="B7" s="37">
        <f t="shared" ref="B7:B12" si="0">B27</f>
        <v>1358.3603599130099</v>
      </c>
      <c r="C7" s="33"/>
      <c r="D7" s="37">
        <f>IF(ISERROR(TER_horeca_gas_kWh/1000),0,TER_horeca_gas_kWh/1000)*0.903</f>
        <v>2071.5495308299783</v>
      </c>
      <c r="E7" s="33">
        <f>$C$27*'E Balans VL '!I9/100/3.6*1000000</f>
        <v>0</v>
      </c>
      <c r="F7" s="33">
        <f>$C$27*('E Balans VL '!L9+'E Balans VL '!N9)/100/3.6*1000000</f>
        <v>110.68178652197068</v>
      </c>
      <c r="G7" s="34"/>
      <c r="H7" s="33"/>
      <c r="I7" s="33"/>
      <c r="J7" s="33">
        <f>$C$27*('E Balans VL '!D9+'E Balans VL '!E9)/100/3.6*1000000</f>
        <v>0</v>
      </c>
      <c r="K7" s="33"/>
      <c r="L7" s="33"/>
      <c r="M7" s="33"/>
      <c r="N7" s="33">
        <f>$C$27*'E Balans VL '!Y9/100/3.6*1000000</f>
        <v>0.37624053062460744</v>
      </c>
      <c r="O7" s="33"/>
      <c r="P7" s="33"/>
      <c r="R7" s="32"/>
    </row>
    <row r="8" spans="1:18">
      <c r="A8" s="6" t="s">
        <v>51</v>
      </c>
      <c r="B8" s="37">
        <f t="shared" si="0"/>
        <v>6121.8832295687807</v>
      </c>
      <c r="C8" s="33"/>
      <c r="D8" s="37">
        <f>IF(ISERROR(TER_handel_gas_kWh/1000),0,TER_handel_gas_kWh/1000)*0.903</f>
        <v>2840.9128631287817</v>
      </c>
      <c r="E8" s="33">
        <f>$C$28*'E Balans VL '!I13/100/3.6*1000000</f>
        <v>48.935975154924996</v>
      </c>
      <c r="F8" s="33">
        <f>$C$28*('E Balans VL '!L13+'E Balans VL '!N13)/100/3.6*1000000</f>
        <v>608.17104301114205</v>
      </c>
      <c r="G8" s="34"/>
      <c r="H8" s="33"/>
      <c r="I8" s="33"/>
      <c r="J8" s="33">
        <f>$C$28*('E Balans VL '!D13+'E Balans VL '!E13)/100/3.6*1000000</f>
        <v>0</v>
      </c>
      <c r="K8" s="33"/>
      <c r="L8" s="33"/>
      <c r="M8" s="33"/>
      <c r="N8" s="33">
        <f>$C$28*'E Balans VL '!Y13/100/3.6*1000000</f>
        <v>2.2868877849894185</v>
      </c>
      <c r="O8" s="33"/>
      <c r="P8" s="33"/>
      <c r="R8" s="32"/>
    </row>
    <row r="9" spans="1:18">
      <c r="A9" s="32" t="s">
        <v>50</v>
      </c>
      <c r="B9" s="37">
        <f t="shared" si="0"/>
        <v>542.14095990678697</v>
      </c>
      <c r="C9" s="33"/>
      <c r="D9" s="37">
        <f>IF(ISERROR(TER_gezond_gas_kWh/1000),0,TER_gezond_gas_kWh/1000)*0.903</f>
        <v>1176.3068641830168</v>
      </c>
      <c r="E9" s="33">
        <f>$C$29*'E Balans VL '!I10/100/3.6*1000000</f>
        <v>0</v>
      </c>
      <c r="F9" s="33">
        <f>$C$29*('E Balans VL '!L10+'E Balans VL '!N10)/100/3.6*1000000</f>
        <v>49.424983060129797</v>
      </c>
      <c r="G9" s="34"/>
      <c r="H9" s="33"/>
      <c r="I9" s="33"/>
      <c r="J9" s="33">
        <f>$C$29*('E Balans VL '!D10+'E Balans VL '!E10)/100/3.6*1000000</f>
        <v>0</v>
      </c>
      <c r="K9" s="33"/>
      <c r="L9" s="33"/>
      <c r="M9" s="33"/>
      <c r="N9" s="33">
        <f>$C$29*'E Balans VL '!Y10/100/3.6*1000000</f>
        <v>3.9625645718522686</v>
      </c>
      <c r="O9" s="33"/>
      <c r="P9" s="33"/>
      <c r="R9" s="32"/>
    </row>
    <row r="10" spans="1:18">
      <c r="A10" s="32" t="s">
        <v>49</v>
      </c>
      <c r="B10" s="37">
        <f t="shared" si="0"/>
        <v>1519.4304331043199</v>
      </c>
      <c r="C10" s="33"/>
      <c r="D10" s="37">
        <f>IF(ISERROR(TER_ander_gas_kWh/1000),0,TER_ander_gas_kWh/1000)*0.903</f>
        <v>546.11045773111039</v>
      </c>
      <c r="E10" s="33">
        <f>$C$30*'E Balans VL '!I14/100/3.6*1000000</f>
        <v>19.698663613320807</v>
      </c>
      <c r="F10" s="33">
        <f>$C$30*('E Balans VL '!L14+'E Balans VL '!N14)/100/3.6*1000000</f>
        <v>1393.5310392400502</v>
      </c>
      <c r="G10" s="34"/>
      <c r="H10" s="33"/>
      <c r="I10" s="33"/>
      <c r="J10" s="33">
        <f>$C$30*('E Balans VL '!D14+'E Balans VL '!E14)/100/3.6*1000000</f>
        <v>1.5367780921192292E-2</v>
      </c>
      <c r="K10" s="33"/>
      <c r="L10" s="33"/>
      <c r="M10" s="33"/>
      <c r="N10" s="33">
        <f>$C$30*'E Balans VL '!Y14/100/3.6*1000000</f>
        <v>581.09787391335078</v>
      </c>
      <c r="O10" s="33"/>
      <c r="P10" s="33"/>
      <c r="R10" s="32"/>
    </row>
    <row r="11" spans="1:18">
      <c r="A11" s="32" t="s">
        <v>54</v>
      </c>
      <c r="B11" s="37">
        <f t="shared" si="0"/>
        <v>1060.3437007206899</v>
      </c>
      <c r="C11" s="33"/>
      <c r="D11" s="37">
        <f>IF(ISERROR(TER_onderwijs_gas_kWh/1000),0,TER_onderwijs_gas_kWh/1000)*0.903</f>
        <v>3886.2946219259093</v>
      </c>
      <c r="E11" s="33">
        <f>$C$31*'E Balans VL '!I11/100/3.6*1000000</f>
        <v>0</v>
      </c>
      <c r="F11" s="33">
        <f>$C$31*('E Balans VL '!L11+'E Balans VL '!N11)/100/3.6*1000000</f>
        <v>41.547095322157723</v>
      </c>
      <c r="G11" s="34"/>
      <c r="H11" s="33"/>
      <c r="I11" s="33"/>
      <c r="J11" s="33">
        <f>$C$31*('E Balans VL '!D11+'E Balans VL '!E11)/100/3.6*1000000</f>
        <v>0</v>
      </c>
      <c r="K11" s="33"/>
      <c r="L11" s="33"/>
      <c r="M11" s="33"/>
      <c r="N11" s="33">
        <f>$C$31*'E Balans VL '!Y11/100/3.6*1000000</f>
        <v>3.3392842956845401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energieproductie'!N42+'lokale energieproductie'!N35</f>
        <v>0</v>
      </c>
      <c r="C13" s="243">
        <f ca="1">'lokale energieproductie'!O42+'lokale energieproductie'!O35</f>
        <v>0</v>
      </c>
      <c r="D13" s="304">
        <f ca="1">('lokale energieproductie'!P35+'lokale energieproductie'!P42)*(-1)</f>
        <v>0</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13978.813372715638</v>
      </c>
      <c r="C16" s="21">
        <f t="shared" ca="1" si="1"/>
        <v>0</v>
      </c>
      <c r="D16" s="21">
        <f t="shared" ca="1" si="1"/>
        <v>12233.399996707056</v>
      </c>
      <c r="E16" s="21">
        <f t="shared" si="1"/>
        <v>69.439196054945413</v>
      </c>
      <c r="F16" s="21">
        <f t="shared" ca="1" si="1"/>
        <v>2496.6514851509933</v>
      </c>
      <c r="G16" s="21">
        <f t="shared" si="1"/>
        <v>0</v>
      </c>
      <c r="H16" s="21">
        <f t="shared" si="1"/>
        <v>0</v>
      </c>
      <c r="I16" s="21">
        <f t="shared" si="1"/>
        <v>0</v>
      </c>
      <c r="J16" s="21">
        <f t="shared" si="1"/>
        <v>1.5367780921192292E-2</v>
      </c>
      <c r="K16" s="21">
        <f t="shared" si="1"/>
        <v>0</v>
      </c>
      <c r="L16" s="21">
        <f t="shared" ca="1" si="1"/>
        <v>0</v>
      </c>
      <c r="M16" s="21">
        <f t="shared" si="1"/>
        <v>0</v>
      </c>
      <c r="N16" s="21">
        <f t="shared" ca="1" si="1"/>
        <v>595.57622248368432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0.20148373200459713</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2816.5034873305162</v>
      </c>
      <c r="C20" s="23">
        <f t="shared" ref="C20:P20" ca="1" si="2">C16*C18</f>
        <v>0</v>
      </c>
      <c r="D20" s="23">
        <f t="shared" ca="1" si="2"/>
        <v>2471.1467993348256</v>
      </c>
      <c r="E20" s="23">
        <f t="shared" si="2"/>
        <v>15.762697504472609</v>
      </c>
      <c r="F20" s="23">
        <f t="shared" ca="1" si="2"/>
        <v>666.60594653531518</v>
      </c>
      <c r="G20" s="23">
        <f t="shared" si="2"/>
        <v>0</v>
      </c>
      <c r="H20" s="23">
        <f t="shared" si="2"/>
        <v>0</v>
      </c>
      <c r="I20" s="23">
        <f t="shared" si="2"/>
        <v>0</v>
      </c>
      <c r="J20" s="23">
        <f t="shared" si="2"/>
        <v>5.4401944461020708E-3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3376.6546895020501</v>
      </c>
      <c r="C26" s="39">
        <f>IF(ISERROR(B26*3.6/1000000/'E Balans VL '!Z12*100),0,B26*3.6/1000000/'E Balans VL '!Z12*100)</f>
        <v>9.6875905281365179E-2</v>
      </c>
      <c r="D26" s="233" t="s">
        <v>835</v>
      </c>
      <c r="F26" s="6"/>
    </row>
    <row r="27" spans="1:18" ht="30">
      <c r="A27" s="228" t="s">
        <v>52</v>
      </c>
      <c r="B27" s="33">
        <f>IF(ISERROR(TER_horeca_ele_kWh/1000),0,TER_horeca_ele_kWh/1000)</f>
        <v>1358.3603599130099</v>
      </c>
      <c r="C27" s="39">
        <f>IF(ISERROR(B27*3.6/1000000/'E Balans VL '!Z9*100),0,B27*3.6/1000000/'E Balans VL '!Z9*100)</f>
        <v>9.9513960875097854E-2</v>
      </c>
      <c r="D27" s="233" t="s">
        <v>835</v>
      </c>
      <c r="F27" s="6"/>
    </row>
    <row r="28" spans="1:18" ht="30">
      <c r="A28" s="168" t="s">
        <v>51</v>
      </c>
      <c r="B28" s="33">
        <f>IF(ISERROR(TER_handel_ele_kWh/1000),0,TER_handel_ele_kWh/1000)</f>
        <v>6121.8832295687807</v>
      </c>
      <c r="C28" s="39">
        <f>IF(ISERROR(B28*3.6/1000000/'E Balans VL '!Z13*100),0,B28*3.6/1000000/'E Balans VL '!Z13*100)</f>
        <v>0.18917135530426843</v>
      </c>
      <c r="D28" s="233" t="s">
        <v>835</v>
      </c>
      <c r="F28" s="6"/>
    </row>
    <row r="29" spans="1:18" ht="30">
      <c r="A29" s="228" t="s">
        <v>50</v>
      </c>
      <c r="B29" s="33">
        <f>IF(ISERROR(TER_gezond_ele_kWh/1000),0,TER_gezond_ele_kWh/1000)</f>
        <v>542.14095990678697</v>
      </c>
      <c r="C29" s="39">
        <f>IF(ISERROR(B29*3.6/1000000/'E Balans VL '!Z10*100),0,B29*3.6/1000000/'E Balans VL '!Z10*100)</f>
        <v>5.313314767123057E-2</v>
      </c>
      <c r="D29" s="233" t="s">
        <v>835</v>
      </c>
      <c r="F29" s="6"/>
    </row>
    <row r="30" spans="1:18" ht="30">
      <c r="A30" s="228" t="s">
        <v>49</v>
      </c>
      <c r="B30" s="33">
        <f>IF(ISERROR(TER_ander_ele_kWh/1000),0,TER_ander_ele_kWh/1000)</f>
        <v>1519.4304331043199</v>
      </c>
      <c r="C30" s="39">
        <f>IF(ISERROR(B30*3.6/1000000/'E Balans VL '!Z14*100),0,B30*3.6/1000000/'E Balans VL '!Z14*100)</f>
        <v>6.2939717083381391E-2</v>
      </c>
      <c r="D30" s="233" t="s">
        <v>835</v>
      </c>
      <c r="F30" s="6"/>
    </row>
    <row r="31" spans="1:18" ht="30">
      <c r="A31" s="228" t="s">
        <v>54</v>
      </c>
      <c r="B31" s="33">
        <f>IF(ISERROR(TER_onderwijs_ele_kWh/1000),0,TER_onderwijs_ele_kWh/1000)</f>
        <v>1060.3437007206899</v>
      </c>
      <c r="C31" s="39">
        <f>IF(ISERROR(B31*3.6/1000000/'E Balans VL '!Z11*100),0,B31*3.6/1000000/'E Balans VL '!Z11*100)</f>
        <v>0.32581138200477505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22890.725314691466</v>
      </c>
      <c r="C5" s="17">
        <f>IF(ISERROR('Eigen informatie GS &amp; warmtenet'!B61),0,'Eigen informatie GS &amp; warmtenet'!B61)</f>
        <v>0</v>
      </c>
      <c r="D5" s="30">
        <f>SUM(D6:D15)</f>
        <v>23442.144832483507</v>
      </c>
      <c r="E5" s="17">
        <f>SUM(E6:E15)</f>
        <v>448.344783092841</v>
      </c>
      <c r="F5" s="17">
        <f>SUM(F6:F15)</f>
        <v>2939.7131374989604</v>
      </c>
      <c r="G5" s="18"/>
      <c r="H5" s="17"/>
      <c r="I5" s="17"/>
      <c r="J5" s="17">
        <f>SUM(J6:J15)</f>
        <v>98.324231992575392</v>
      </c>
      <c r="K5" s="17"/>
      <c r="L5" s="17"/>
      <c r="M5" s="17"/>
      <c r="N5" s="17">
        <f>SUM(N6:N15)</f>
        <v>1703.2389448795566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1692.8794424476901</v>
      </c>
      <c r="C8" s="33"/>
      <c r="D8" s="37">
        <f>IF( ISERROR(IND_metaal_Gas_kWH/1000),0,IND_metaal_Gas_kWH/1000)*0.903</f>
        <v>291.54075235569411</v>
      </c>
      <c r="E8" s="33">
        <f>C30*'E Balans VL '!I18/100/3.6*1000000</f>
        <v>9.2281498579806378</v>
      </c>
      <c r="F8" s="33">
        <f>C30*'E Balans VL '!L18/100/3.6*1000000+C30*'E Balans VL '!N18/100/3.6*1000000</f>
        <v>109.0215654003364</v>
      </c>
      <c r="G8" s="34"/>
      <c r="H8" s="33"/>
      <c r="I8" s="33"/>
      <c r="J8" s="40">
        <f>C30*'E Balans VL '!D18/100/3.6*1000000+C30*'E Balans VL '!E18/100/3.6*1000000</f>
        <v>1.3866747581040042</v>
      </c>
      <c r="K8" s="33"/>
      <c r="L8" s="33"/>
      <c r="M8" s="33"/>
      <c r="N8" s="33">
        <f>C30*'E Balans VL '!Y18/100/3.6*1000000</f>
        <v>36.573541704598966</v>
      </c>
      <c r="O8" s="33"/>
      <c r="P8" s="33"/>
      <c r="R8" s="32"/>
    </row>
    <row r="9" spans="1:18">
      <c r="A9" s="6" t="s">
        <v>32</v>
      </c>
      <c r="B9" s="37">
        <f t="shared" si="0"/>
        <v>2115.8445673697001</v>
      </c>
      <c r="C9" s="33"/>
      <c r="D9" s="37">
        <f>IF( ISERROR(IND_andere_gas_kWh/1000),0,IND_andere_gas_kWh/1000)*0.903</f>
        <v>1585.8214107540514</v>
      </c>
      <c r="E9" s="33">
        <f>C31*'E Balans VL '!I19/100/3.6*1000000</f>
        <v>6.8303065929748588</v>
      </c>
      <c r="F9" s="33">
        <f>C31*'E Balans VL '!L19/100/3.6*1000000+C31*'E Balans VL '!N19/100/3.6*1000000</f>
        <v>1368.1217067710545</v>
      </c>
      <c r="G9" s="34"/>
      <c r="H9" s="33"/>
      <c r="I9" s="33"/>
      <c r="J9" s="40">
        <f>C31*'E Balans VL '!D19/100/3.6*1000000+C31*'E Balans VL '!E19/100/3.6*1000000</f>
        <v>0</v>
      </c>
      <c r="K9" s="33"/>
      <c r="L9" s="33"/>
      <c r="M9" s="33"/>
      <c r="N9" s="33">
        <f>C31*'E Balans VL '!Y19/100/3.6*1000000</f>
        <v>85.498834952594393</v>
      </c>
      <c r="O9" s="33"/>
      <c r="P9" s="33"/>
      <c r="R9" s="32"/>
    </row>
    <row r="10" spans="1:18">
      <c r="A10" s="6" t="s">
        <v>40</v>
      </c>
      <c r="B10" s="37">
        <f t="shared" si="0"/>
        <v>10829.6879477083</v>
      </c>
      <c r="C10" s="33"/>
      <c r="D10" s="37">
        <f>IF( ISERROR(IND_voed_gas_kWh/1000),0,IND_voed_gas_kWh/1000)*0.903</f>
        <v>11855.767010741385</v>
      </c>
      <c r="E10" s="33">
        <f>C32*'E Balans VL '!I20/100/3.6*1000000</f>
        <v>22.701680008568548</v>
      </c>
      <c r="F10" s="33">
        <f>C32*'E Balans VL '!L20/100/3.6*1000000+C32*'E Balans VL '!N20/100/3.6*1000000</f>
        <v>210.99974729254595</v>
      </c>
      <c r="G10" s="34"/>
      <c r="H10" s="33"/>
      <c r="I10" s="33"/>
      <c r="J10" s="40">
        <f>C32*'E Balans VL '!D20/100/3.6*1000000+C32*'E Balans VL '!E20/100/3.6*1000000</f>
        <v>0</v>
      </c>
      <c r="K10" s="33"/>
      <c r="L10" s="33"/>
      <c r="M10" s="33"/>
      <c r="N10" s="33">
        <f>C32*'E Balans VL '!Y20/100/3.6*1000000</f>
        <v>430.77496226454605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1725.74506002309</v>
      </c>
      <c r="C12" s="33"/>
      <c r="D12" s="37">
        <f>IF( ISERROR(IND_min_gas_kWh/1000),0,IND_min_gas_kWh/1000)*0.903</f>
        <v>0</v>
      </c>
      <c r="E12" s="33">
        <f>C34*'E Balans VL '!I22/100/3.6*1000000</f>
        <v>28.241919529843795</v>
      </c>
      <c r="F12" s="33">
        <f>C34*'E Balans VL '!L22/100/3.6*1000000+C34*'E Balans VL '!N22/100/3.6*1000000</f>
        <v>263.40793793832506</v>
      </c>
      <c r="G12" s="34"/>
      <c r="H12" s="33"/>
      <c r="I12" s="33"/>
      <c r="J12" s="40">
        <f>C34*'E Balans VL '!D22/100/3.6*1000000+C34*'E Balans VL '!E22/100/3.6*1000000</f>
        <v>61.75848888699317</v>
      </c>
      <c r="K12" s="33"/>
      <c r="L12" s="33"/>
      <c r="M12" s="33"/>
      <c r="N12" s="33">
        <f>C34*'E Balans VL '!Y22/100/3.6*1000000</f>
        <v>945.74491987021293</v>
      </c>
      <c r="O12" s="33"/>
      <c r="P12" s="33"/>
      <c r="R12" s="32"/>
    </row>
    <row r="13" spans="1:18">
      <c r="A13" s="6" t="s">
        <v>38</v>
      </c>
      <c r="B13" s="37">
        <f t="shared" si="0"/>
        <v>49.133145750547399</v>
      </c>
      <c r="C13" s="33"/>
      <c r="D13" s="37">
        <f>IF( ISERROR(IND_papier_gas_kWh/1000),0,IND_papier_gas_kWh/1000)*0.903</f>
        <v>61.596301940572978</v>
      </c>
      <c r="E13" s="33">
        <f>C35*'E Balans VL '!I23/100/3.6*1000000</f>
        <v>0</v>
      </c>
      <c r="F13" s="33">
        <f>C35*'E Balans VL '!L23/100/3.6*1000000+C35*'E Balans VL '!N23/100/3.6*1000000</f>
        <v>6.5815397736426143E-3</v>
      </c>
      <c r="G13" s="34"/>
      <c r="H13" s="33"/>
      <c r="I13" s="33"/>
      <c r="J13" s="40">
        <f>C35*'E Balans VL '!D23/100/3.6*1000000+C35*'E Balans VL '!E23/100/3.6*1000000</f>
        <v>9.7188453737677635E-3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6477.4351513921392</v>
      </c>
      <c r="C15" s="33"/>
      <c r="D15" s="37">
        <f>IF( ISERROR(IND_rest_gas_kWh/1000),0,IND_rest_gas_kWh/1000)*0.903</f>
        <v>9647.4193566918057</v>
      </c>
      <c r="E15" s="33">
        <f>C37*'E Balans VL '!I15/100/3.6*1000000</f>
        <v>381.34272710347318</v>
      </c>
      <c r="F15" s="33">
        <f>C37*'E Balans VL '!L15/100/3.6*1000000+C37*'E Balans VL '!N15/100/3.6*1000000</f>
        <v>988.15559855692504</v>
      </c>
      <c r="G15" s="34"/>
      <c r="H15" s="33"/>
      <c r="I15" s="33"/>
      <c r="J15" s="40">
        <f>C37*'E Balans VL '!D15/100/3.6*1000000+C37*'E Balans VL '!E15/100/3.6*1000000</f>
        <v>35.169349502104453</v>
      </c>
      <c r="K15" s="33"/>
      <c r="L15" s="33"/>
      <c r="M15" s="33"/>
      <c r="N15" s="33">
        <f>C37*'E Balans VL '!Y15/100/3.6*1000000</f>
        <v>204.64668608760434</v>
      </c>
      <c r="O15" s="33"/>
      <c r="P15" s="33"/>
      <c r="R15" s="32"/>
    </row>
    <row r="16" spans="1:18">
      <c r="A16" s="16" t="s">
        <v>467</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22890.725314691466</v>
      </c>
      <c r="C18" s="21">
        <f>C5+C16</f>
        <v>0</v>
      </c>
      <c r="D18" s="21">
        <f>MAX((D5+D16),0)</f>
        <v>23442.144832483507</v>
      </c>
      <c r="E18" s="21">
        <f>MAX((E5+E16),0)</f>
        <v>448.344783092841</v>
      </c>
      <c r="F18" s="21">
        <f>MAX((F5+F16),0)</f>
        <v>2939.7131374989604</v>
      </c>
      <c r="G18" s="21"/>
      <c r="H18" s="21"/>
      <c r="I18" s="21"/>
      <c r="J18" s="21">
        <f>MAX((J5+J16),0)</f>
        <v>98.324231992575392</v>
      </c>
      <c r="K18" s="21"/>
      <c r="L18" s="21">
        <f>MAX((L5+L16),0)</f>
        <v>0</v>
      </c>
      <c r="M18" s="21"/>
      <c r="N18" s="21">
        <f>MAX((N5+N16),0)</f>
        <v>1703.2389448795566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0.20148373200459713</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4612.1087646961423</v>
      </c>
      <c r="C22" s="23">
        <f ca="1">C18*C20</f>
        <v>0</v>
      </c>
      <c r="D22" s="23">
        <f>D18*D20</f>
        <v>4735.3132561616685</v>
      </c>
      <c r="E22" s="23">
        <f>E18*E20</f>
        <v>101.7742657620749</v>
      </c>
      <c r="F22" s="23">
        <f>F18*F20</f>
        <v>784.90340771222247</v>
      </c>
      <c r="G22" s="23"/>
      <c r="H22" s="23"/>
      <c r="I22" s="23"/>
      <c r="J22" s="23">
        <f>J18*J20</f>
        <v>34.806778125371686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1692.8794424476901</v>
      </c>
      <c r="C30" s="39">
        <f>IF(ISERROR(B30*3.6/1000000/'E Balans VL '!Z18*100),0,B30*3.6/1000000/'E Balans VL '!Z18*100)</f>
        <v>0.1019405580799353</v>
      </c>
      <c r="D30" s="233" t="s">
        <v>835</v>
      </c>
    </row>
    <row r="31" spans="1:18" ht="30">
      <c r="A31" s="6" t="s">
        <v>32</v>
      </c>
      <c r="B31" s="37">
        <f>IF( ISERROR(IND_ander_ele_kWh/1000),0,IND_ander_ele_kWh/1000)</f>
        <v>2115.8445673697001</v>
      </c>
      <c r="C31" s="39">
        <f>IF(ISERROR(B31*3.6/1000000/'E Balans VL '!Z19*100),0,B31*3.6/1000000/'E Balans VL '!Z19*100)</f>
        <v>8.6203887976986832E-2</v>
      </c>
      <c r="D31" s="233" t="s">
        <v>835</v>
      </c>
    </row>
    <row r="32" spans="1:18" ht="30">
      <c r="A32" s="168" t="s">
        <v>40</v>
      </c>
      <c r="B32" s="37">
        <f>IF( ISERROR(IND_voed_ele_kWh/1000),0,IND_voed_ele_kWh/1000)</f>
        <v>10829.6879477083</v>
      </c>
      <c r="C32" s="39">
        <f>IF(ISERROR(B32*3.6/1000000/'E Balans VL '!Z20*100),0,B32*3.6/1000000/'E Balans VL '!Z20*100)</f>
        <v>0.31312986048911057</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1725.74506002309</v>
      </c>
      <c r="C34" s="39">
        <f>IF(ISERROR(B34*3.6/1000000/'E Balans VL '!Z22*100),0,B34*3.6/1000000/'E Balans VL '!Z22*100)</f>
        <v>0.73687710457767197</v>
      </c>
      <c r="D34" s="233" t="s">
        <v>835</v>
      </c>
    </row>
    <row r="35" spans="1:5" ht="30">
      <c r="A35" s="168" t="s">
        <v>38</v>
      </c>
      <c r="B35" s="37">
        <f>IF( ISERROR(IND_papier_ele_kWh/1000),0,IND_papier_ele_kWh/1000)</f>
        <v>49.133145750547399</v>
      </c>
      <c r="C35" s="39">
        <f>IF(ISERROR(B35*3.6/1000000/'E Balans VL '!Z22*100),0,B35*3.6/1000000/'E Balans VL '!Z22*100)</f>
        <v>2.0979396678076946E-2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6477.4351513921392</v>
      </c>
      <c r="C37" s="39">
        <f>IF(ISERROR(B37*3.6/1000000/'E Balans VL '!Z15*100),0,B37*3.6/1000000/'E Balans VL '!Z15*100)</f>
        <v>5.3184648742039299E-2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11236.8194478027</v>
      </c>
      <c r="C5" s="17">
        <f>'Eigen informatie GS &amp; warmtenet'!B62</f>
        <v>0</v>
      </c>
      <c r="D5" s="30">
        <f>IF(ISERROR(SUM(LB_lb_gas_kWh,LB_rest_gas_kWh)/1000),0,SUM(LB_lb_gas_kWh,LB_rest_gas_kWh)/1000)*0.903</f>
        <v>160909.77930335011</v>
      </c>
      <c r="E5" s="17">
        <f>B17*'E Balans VL '!I25/3.6*1000000/100</f>
        <v>321.84152516504696</v>
      </c>
      <c r="F5" s="17">
        <f>B17*('E Balans VL '!L25/3.6*1000000+'E Balans VL '!N25/3.6*1000000)/100</f>
        <v>35569.965848651707</v>
      </c>
      <c r="G5" s="18"/>
      <c r="H5" s="17"/>
      <c r="I5" s="17"/>
      <c r="J5" s="17">
        <f>('E Balans VL '!D25+'E Balans VL '!E25)/3.6*1000000*landbouw!B17/100</f>
        <v>2857.1703225671286</v>
      </c>
      <c r="K5" s="17"/>
      <c r="L5" s="17">
        <f>L6*(-1)</f>
        <v>0</v>
      </c>
      <c r="M5" s="17"/>
      <c r="N5" s="17">
        <f>N6*(-1)</f>
        <v>124.71428571428569</v>
      </c>
      <c r="O5" s="17"/>
      <c r="P5" s="17"/>
      <c r="R5" s="32"/>
    </row>
    <row r="6" spans="1:18">
      <c r="A6" s="16" t="s">
        <v>467</v>
      </c>
      <c r="B6" s="17" t="s">
        <v>204</v>
      </c>
      <c r="C6" s="17">
        <f>'lokale energieproductie'!O43+'lokale energieproductie'!O36</f>
        <v>82579.5</v>
      </c>
      <c r="D6" s="304">
        <f>('lokale energieproductie'!P36+'lokale energieproductie'!P43)*(-1)</f>
        <v>-165034.28571428571</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11236.8194478027</v>
      </c>
      <c r="C8" s="21">
        <f>C5+C6</f>
        <v>82579.5</v>
      </c>
      <c r="D8" s="21">
        <f>MAX((D5+D6),0)</f>
        <v>0</v>
      </c>
      <c r="E8" s="21">
        <f>MAX((E5+E6),0)</f>
        <v>321.84152516504696</v>
      </c>
      <c r="F8" s="21">
        <f>MAX((F5+F6),0)</f>
        <v>35569.965848651707</v>
      </c>
      <c r="G8" s="21"/>
      <c r="H8" s="21"/>
      <c r="I8" s="21"/>
      <c r="J8" s="21">
        <f>MAX((J5+J6),0)</f>
        <v>2857.1703225671286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0.20148373200459713</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2264.0363182051242</v>
      </c>
      <c r="C12" s="23">
        <f ca="1">C8*C10</f>
        <v>19609.956302521012</v>
      </c>
      <c r="D12" s="23">
        <f>D8*D10</f>
        <v>0</v>
      </c>
      <c r="E12" s="23">
        <f>E8*E10</f>
        <v>73.058026212465663</v>
      </c>
      <c r="F12" s="23">
        <f>F8*F10</f>
        <v>9497.1808815900058</v>
      </c>
      <c r="G12" s="23"/>
      <c r="H12" s="23"/>
      <c r="I12" s="23"/>
      <c r="J12" s="23">
        <f>J8*J10</f>
        <v>1011.4382941887635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1.5560445806558438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1104.4211062788472</v>
      </c>
      <c r="C26" s="243">
        <f>B26*'GWP N2O_CH4'!B5</f>
        <v>23192.84323185579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698.2290094166641</v>
      </c>
      <c r="C27" s="243">
        <f>B27*'GWP N2O_CH4'!B5</f>
        <v>14662.809197749946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35.306932271139587</v>
      </c>
      <c r="C28" s="243">
        <f>B28*'GWP N2O_CH4'!B4</f>
        <v>10945.149004053272</v>
      </c>
      <c r="D28" s="50"/>
    </row>
    <row r="29" spans="1:4">
      <c r="A29" s="41" t="s">
        <v>266</v>
      </c>
      <c r="B29" s="243">
        <f>B34*'ha_N2O bodem landbouw'!B4</f>
        <v>32.699881401391806</v>
      </c>
      <c r="C29" s="243">
        <f>B29*'GWP N2O_CH4'!B4</f>
        <v>10136.96323443146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7.4288278155382756E-3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5.6703892994807326E-4</v>
      </c>
      <c r="C5" s="432" t="s">
        <v>204</v>
      </c>
      <c r="D5" s="417">
        <f>SUM(D6:D11)</f>
        <v>1.0352158445709339E-3</v>
      </c>
      <c r="E5" s="417">
        <f>SUM(E6:E11)</f>
        <v>4.0465576875917862E-4</v>
      </c>
      <c r="F5" s="430" t="s">
        <v>204</v>
      </c>
      <c r="G5" s="417">
        <f>SUM(G6:G11)</f>
        <v>0.17955114629331401</v>
      </c>
      <c r="H5" s="417">
        <f>SUM(H6:H11)</f>
        <v>5.0612609307182518E-2</v>
      </c>
      <c r="I5" s="432" t="s">
        <v>204</v>
      </c>
      <c r="J5" s="432" t="s">
        <v>204</v>
      </c>
      <c r="K5" s="432" t="s">
        <v>204</v>
      </c>
      <c r="L5" s="432" t="s">
        <v>204</v>
      </c>
      <c r="M5" s="417">
        <f>SUM(M6:M11)</f>
        <v>1.3897515283532063E-2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4.157365140157218E-4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6.9315178085319583E-4</v>
      </c>
      <c r="E6" s="884">
        <f>vkm_GW_PW*SUMIFS(TableVerdeelsleutelVkm[LPG],TableVerdeelsleutelVkm[Voertuigtype],"Lichte voertuigen")*SUMIFS(TableECFTransport[EnergieConsumptieFactor (PJ per km)],TableECFTransport[Index],CONCATENATE($A6,"_LPG_LPG"))</f>
        <v>2.7480648911406511E-4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8.258625323876391E-2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3.3993376519269876E-2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7.1518164819777442E-3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1.3511768710239513E-6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5.3561502828672433E-2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3.9520636321951366E-7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3.0754109121977216E-3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1.4980121364503197E-4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3.4206406371773806E-4</v>
      </c>
      <c r="E8" s="420">
        <f>vkm_NGW_PW*SUMIFS(TableVerdeelsleutelVkm[LPG],TableVerdeelsleutelVkm[Voertuigtype],"Lichte voertuigen")*SUMIFS(TableECFTransport[EnergieConsumptieFactor (PJ per km)],TableECFTransport[Index],CONCATENATE($A8,"_LPG_LPG"))</f>
        <v>1.2984927964511351E-4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3.5744920286118587E-2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1.6618784616057182E-2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3.2305517481620483E-3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1.500254162955615E-7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7.6584699397590902E-3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5.2965492239876795E-8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4.3973614119455109E-4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157.51081387446479</v>
      </c>
      <c r="C14" s="21"/>
      <c r="D14" s="21">
        <f t="shared" ref="D14:M14" si="0">((D5)*10^9/3600)+D12</f>
        <v>287.55995682525941</v>
      </c>
      <c r="E14" s="21">
        <f t="shared" si="0"/>
        <v>112.40438021088295</v>
      </c>
      <c r="F14" s="21"/>
      <c r="G14" s="21">
        <f t="shared" si="0"/>
        <v>49875.318414809444</v>
      </c>
      <c r="H14" s="21">
        <f t="shared" si="0"/>
        <v>14059.058140884033</v>
      </c>
      <c r="I14" s="21"/>
      <c r="J14" s="21"/>
      <c r="K14" s="21"/>
      <c r="L14" s="21"/>
      <c r="M14" s="21">
        <f t="shared" si="0"/>
        <v>3860.4209120922396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0.20148373200459713</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31.735866610508641</v>
      </c>
      <c r="C18" s="23"/>
      <c r="D18" s="23">
        <f t="shared" ref="D18:M18" si="1">D14*D16</f>
        <v>58.087111278702402</v>
      </c>
      <c r="E18" s="23">
        <f t="shared" si="1"/>
        <v>25.515794307870429</v>
      </c>
      <c r="F18" s="23"/>
      <c r="G18" s="23">
        <f t="shared" si="1"/>
        <v>13316.710016754123</v>
      </c>
      <c r="H18" s="23">
        <f t="shared" si="1"/>
        <v>3500.7054770801242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7.038282936917237E-5</v>
      </c>
      <c r="C50" s="315">
        <f t="shared" ref="C50:P50" si="2">SUM(C51:C52)</f>
        <v>0</v>
      </c>
      <c r="D50" s="315">
        <f t="shared" si="2"/>
        <v>0</v>
      </c>
      <c r="E50" s="315">
        <f t="shared" si="2"/>
        <v>0</v>
      </c>
      <c r="F50" s="315">
        <f t="shared" si="2"/>
        <v>0</v>
      </c>
      <c r="G50" s="315">
        <f t="shared" si="2"/>
        <v>4.406177900705857E-3</v>
      </c>
      <c r="H50" s="315">
        <f t="shared" si="2"/>
        <v>0</v>
      </c>
      <c r="I50" s="315">
        <f t="shared" si="2"/>
        <v>0</v>
      </c>
      <c r="J50" s="315">
        <f t="shared" si="2"/>
        <v>0</v>
      </c>
      <c r="K50" s="315">
        <f t="shared" si="2"/>
        <v>0</v>
      </c>
      <c r="L50" s="315">
        <f t="shared" si="2"/>
        <v>0</v>
      </c>
      <c r="M50" s="315">
        <f t="shared" si="2"/>
        <v>2.5299297875470874E-4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7.038282936917237E-5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4.406177900705857E-3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2.5299297875470874E-4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19.550785935881212</v>
      </c>
      <c r="C54" s="21">
        <f t="shared" ref="C54:P54" si="3">(C50)*10^9/3600</f>
        <v>0</v>
      </c>
      <c r="D54" s="21">
        <f t="shared" si="3"/>
        <v>0</v>
      </c>
      <c r="E54" s="21">
        <f t="shared" si="3"/>
        <v>0</v>
      </c>
      <c r="F54" s="21">
        <f t="shared" si="3"/>
        <v>0</v>
      </c>
      <c r="G54" s="21">
        <f t="shared" si="3"/>
        <v>1223.938305751627</v>
      </c>
      <c r="H54" s="21">
        <f t="shared" si="3"/>
        <v>0</v>
      </c>
      <c r="I54" s="21">
        <f t="shared" si="3"/>
        <v>0</v>
      </c>
      <c r="J54" s="21">
        <f t="shared" si="3"/>
        <v>0</v>
      </c>
      <c r="K54" s="21">
        <f t="shared" si="3"/>
        <v>0</v>
      </c>
      <c r="L54" s="21">
        <f t="shared" si="3"/>
        <v>0</v>
      </c>
      <c r="M54" s="21">
        <f t="shared" si="3"/>
        <v>70.275827431863547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0.20148373200459713</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3.9391653139843368</v>
      </c>
      <c r="C58" s="23">
        <f t="shared" ref="C58:P58" ca="1" si="4">C54*C56</f>
        <v>0</v>
      </c>
      <c r="D58" s="23">
        <f t="shared" si="4"/>
        <v>0</v>
      </c>
      <c r="E58" s="23">
        <f t="shared" si="4"/>
        <v>0</v>
      </c>
      <c r="F58" s="23">
        <f t="shared" si="4"/>
        <v>0</v>
      </c>
      <c r="G58" s="23">
        <f t="shared" si="4"/>
        <v>326.79152763568442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11057.639963615413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N33</f>
        <v>57805.65</v>
      </c>
      <c r="C8" s="543">
        <f>B52</f>
        <v>67955.294117647063</v>
      </c>
      <c r="D8" s="544"/>
      <c r="E8" s="544">
        <f>E52</f>
        <v>0</v>
      </c>
      <c r="F8" s="545"/>
      <c r="G8" s="546"/>
      <c r="H8" s="544">
        <f>I52</f>
        <v>0</v>
      </c>
      <c r="I8" s="544">
        <f>G52+F52</f>
        <v>0</v>
      </c>
      <c r="J8" s="544">
        <f>H52+D52+C52</f>
        <v>51.352941176470587</v>
      </c>
      <c r="K8" s="544"/>
      <c r="L8" s="544"/>
      <c r="M8" s="544"/>
      <c r="N8" s="547"/>
      <c r="O8" s="548">
        <f>C8*$C$12+D8*$D$12+E8*$E$12+F8*$F$12+G8*$G$12+H8*$H$12+I8*$I$12+J8*$J$12</f>
        <v>13726.969411764707</v>
      </c>
      <c r="P8" s="1256"/>
      <c r="Q8" s="1257"/>
      <c r="S8" s="538"/>
      <c r="T8" s="1244"/>
      <c r="U8" s="1244"/>
    </row>
    <row r="9" spans="1:21" s="529" customFormat="1" ht="17.45" customHeight="1" thickBot="1">
      <c r="A9" s="549" t="s">
        <v>237</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68863.289963615418</v>
      </c>
      <c r="C10" s="558">
        <f t="shared" ref="C10:L10" si="0">SUM(C8:C9)</f>
        <v>67955.294117647063</v>
      </c>
      <c r="D10" s="558">
        <f t="shared" si="0"/>
        <v>0</v>
      </c>
      <c r="E10" s="558">
        <f t="shared" si="0"/>
        <v>0</v>
      </c>
      <c r="F10" s="558">
        <f t="shared" si="0"/>
        <v>0</v>
      </c>
      <c r="G10" s="558">
        <f t="shared" si="0"/>
        <v>0</v>
      </c>
      <c r="H10" s="558">
        <f t="shared" si="0"/>
        <v>0</v>
      </c>
      <c r="I10" s="558">
        <f t="shared" si="0"/>
        <v>0</v>
      </c>
      <c r="J10" s="558">
        <f t="shared" si="0"/>
        <v>51.352941176470587</v>
      </c>
      <c r="K10" s="558">
        <f t="shared" si="0"/>
        <v>0</v>
      </c>
      <c r="L10" s="558">
        <f t="shared" si="0"/>
        <v>0</v>
      </c>
      <c r="M10" s="959"/>
      <c r="N10" s="959"/>
      <c r="O10" s="559">
        <f>SUM(O4:O9)</f>
        <v>13726.969411764707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O33</f>
        <v>82579.5</v>
      </c>
      <c r="C17" s="574">
        <f>B53</f>
        <v>97078.991596638662</v>
      </c>
      <c r="D17" s="575"/>
      <c r="E17" s="575">
        <f>E53</f>
        <v>0</v>
      </c>
      <c r="F17" s="576"/>
      <c r="G17" s="577"/>
      <c r="H17" s="574">
        <f>I53</f>
        <v>0</v>
      </c>
      <c r="I17" s="575">
        <f>G53+F53</f>
        <v>0</v>
      </c>
      <c r="J17" s="575">
        <f>H53+D53+C53</f>
        <v>73.361344537815114</v>
      </c>
      <c r="K17" s="575"/>
      <c r="L17" s="575"/>
      <c r="M17" s="575"/>
      <c r="N17" s="960"/>
      <c r="O17" s="578">
        <f>C17*$C$22+E17*$E$22+H17*$H$22+I17*$I$22+J17*$J$22+D17*$D$22+F17*$F$22+G17*$G$22+K17*$K$22+L17*$L$22</f>
        <v>19609.956302521012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82579.5</v>
      </c>
      <c r="C20" s="557">
        <f>SUM(C17:C19)</f>
        <v>97078.991596638662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19609.956302521012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13035</v>
      </c>
      <c r="C28" s="785">
        <v>2381</v>
      </c>
      <c r="D28" s="635"/>
      <c r="E28" s="634"/>
      <c r="F28" s="634"/>
      <c r="G28" s="634" t="s">
        <v>868</v>
      </c>
      <c r="H28" s="634" t="s">
        <v>869</v>
      </c>
      <c r="I28" s="634"/>
      <c r="J28" s="784"/>
      <c r="K28" s="784"/>
      <c r="L28" s="634" t="s">
        <v>870</v>
      </c>
      <c r="M28" s="634">
        <v>5024</v>
      </c>
      <c r="N28" s="634">
        <v>22608</v>
      </c>
      <c r="O28" s="634">
        <v>32297.142857142859</v>
      </c>
      <c r="P28" s="634">
        <v>64594.285714285717</v>
      </c>
      <c r="Q28" s="634">
        <v>0</v>
      </c>
      <c r="R28" s="634">
        <v>0</v>
      </c>
      <c r="S28" s="634">
        <v>0</v>
      </c>
      <c r="T28" s="634">
        <v>0</v>
      </c>
      <c r="U28" s="634">
        <v>0</v>
      </c>
      <c r="V28" s="634">
        <v>0</v>
      </c>
      <c r="W28" s="634">
        <v>0</v>
      </c>
      <c r="X28" s="634">
        <v>10</v>
      </c>
      <c r="Y28" s="634" t="s">
        <v>105</v>
      </c>
      <c r="Z28" s="636" t="s">
        <v>105</v>
      </c>
    </row>
    <row r="29" spans="1:26" s="588" customFormat="1" ht="25.5" hidden="1">
      <c r="A29" s="587"/>
      <c r="B29" s="785">
        <v>13035</v>
      </c>
      <c r="C29" s="785">
        <v>2382</v>
      </c>
      <c r="D29" s="635"/>
      <c r="E29" s="634"/>
      <c r="F29" s="634"/>
      <c r="G29" s="634" t="s">
        <v>868</v>
      </c>
      <c r="H29" s="634" t="s">
        <v>869</v>
      </c>
      <c r="I29" s="634"/>
      <c r="J29" s="784"/>
      <c r="K29" s="784"/>
      <c r="L29" s="634" t="s">
        <v>870</v>
      </c>
      <c r="M29" s="634">
        <v>2014</v>
      </c>
      <c r="N29" s="634">
        <v>9062.9999999999982</v>
      </c>
      <c r="O29" s="634">
        <v>12947.142857142855</v>
      </c>
      <c r="P29" s="634">
        <v>25894.28571428571</v>
      </c>
      <c r="Q29" s="634">
        <v>0</v>
      </c>
      <c r="R29" s="634">
        <v>0</v>
      </c>
      <c r="S29" s="634">
        <v>0</v>
      </c>
      <c r="T29" s="634">
        <v>0</v>
      </c>
      <c r="U29" s="634">
        <v>0</v>
      </c>
      <c r="V29" s="634">
        <v>0</v>
      </c>
      <c r="W29" s="634">
        <v>0</v>
      </c>
      <c r="X29" s="634">
        <v>10</v>
      </c>
      <c r="Y29" s="634" t="s">
        <v>105</v>
      </c>
      <c r="Z29" s="636" t="s">
        <v>105</v>
      </c>
    </row>
    <row r="30" spans="1:26" s="588" customFormat="1" ht="25.5" hidden="1">
      <c r="A30" s="587"/>
      <c r="B30" s="785">
        <v>13035</v>
      </c>
      <c r="C30" s="785">
        <v>2380</v>
      </c>
      <c r="D30" s="635"/>
      <c r="E30" s="634"/>
      <c r="F30" s="634"/>
      <c r="G30" s="634" t="s">
        <v>868</v>
      </c>
      <c r="H30" s="634" t="s">
        <v>869</v>
      </c>
      <c r="I30" s="634"/>
      <c r="J30" s="784"/>
      <c r="K30" s="784"/>
      <c r="L30" s="634" t="s">
        <v>870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88" customFormat="1" ht="25.5" hidden="1">
      <c r="A31" s="587"/>
      <c r="B31" s="785">
        <v>13035</v>
      </c>
      <c r="C31" s="785">
        <v>2381</v>
      </c>
      <c r="D31" s="635"/>
      <c r="E31" s="634"/>
      <c r="F31" s="634"/>
      <c r="G31" s="634" t="s">
        <v>868</v>
      </c>
      <c r="H31" s="634" t="s">
        <v>869</v>
      </c>
      <c r="I31" s="634"/>
      <c r="J31" s="784"/>
      <c r="K31" s="784"/>
      <c r="L31" s="634" t="s">
        <v>870</v>
      </c>
      <c r="M31" s="634">
        <v>2678</v>
      </c>
      <c r="N31" s="634">
        <v>12051</v>
      </c>
      <c r="O31" s="634">
        <v>17215.714285714286</v>
      </c>
      <c r="P31" s="634">
        <v>34431.428571428572</v>
      </c>
      <c r="Q31" s="634">
        <v>0</v>
      </c>
      <c r="R31" s="634">
        <v>0</v>
      </c>
      <c r="S31" s="634">
        <v>0</v>
      </c>
      <c r="T31" s="634">
        <v>0</v>
      </c>
      <c r="U31" s="634">
        <v>0</v>
      </c>
      <c r="V31" s="634">
        <v>0</v>
      </c>
      <c r="W31" s="634">
        <v>0</v>
      </c>
      <c r="X31" s="634">
        <v>10</v>
      </c>
      <c r="Y31" s="634" t="s">
        <v>105</v>
      </c>
      <c r="Z31" s="636" t="s">
        <v>105</v>
      </c>
    </row>
    <row r="32" spans="1:26" s="588" customFormat="1" ht="25.5" hidden="1">
      <c r="A32" s="587"/>
      <c r="B32" s="785">
        <v>13035</v>
      </c>
      <c r="C32" s="785">
        <v>2381</v>
      </c>
      <c r="D32" s="635"/>
      <c r="E32" s="634"/>
      <c r="F32" s="634"/>
      <c r="G32" s="634" t="s">
        <v>868</v>
      </c>
      <c r="H32" s="634" t="s">
        <v>869</v>
      </c>
      <c r="I32" s="634"/>
      <c r="J32" s="784"/>
      <c r="K32" s="784"/>
      <c r="L32" s="634" t="s">
        <v>870</v>
      </c>
      <c r="M32" s="634">
        <v>3120</v>
      </c>
      <c r="N32" s="634">
        <v>14040</v>
      </c>
      <c r="O32" s="634">
        <v>20057.142857142859</v>
      </c>
      <c r="P32" s="634">
        <v>40114.285714285717</v>
      </c>
      <c r="Q32" s="634">
        <v>0</v>
      </c>
      <c r="R32" s="634">
        <v>0</v>
      </c>
      <c r="S32" s="634">
        <v>0</v>
      </c>
      <c r="T32" s="634">
        <v>0</v>
      </c>
      <c r="U32" s="634">
        <v>0</v>
      </c>
      <c r="V32" s="634">
        <v>0</v>
      </c>
      <c r="W32" s="634">
        <v>0</v>
      </c>
      <c r="X32" s="634">
        <v>10</v>
      </c>
      <c r="Y32" s="634" t="s">
        <v>105</v>
      </c>
      <c r="Z32" s="636" t="s">
        <v>105</v>
      </c>
    </row>
    <row r="33" spans="1:27" s="568" customFormat="1" hidden="1">
      <c r="A33" s="590" t="s">
        <v>269</v>
      </c>
      <c r="B33" s="591"/>
      <c r="C33" s="591"/>
      <c r="D33" s="591"/>
      <c r="E33" s="591"/>
      <c r="F33" s="591"/>
      <c r="G33" s="591"/>
      <c r="H33" s="591"/>
      <c r="I33" s="591"/>
      <c r="J33" s="591"/>
      <c r="K33" s="591"/>
      <c r="L33" s="592"/>
      <c r="M33" s="592">
        <f>SUM(M28:M32)</f>
        <v>12845.7</v>
      </c>
      <c r="N33" s="592">
        <f>SUM(N28:N32)</f>
        <v>57805.65</v>
      </c>
      <c r="O33" s="592">
        <f>SUM(O28:O32)</f>
        <v>82579.5</v>
      </c>
      <c r="P33" s="592">
        <f>SUM(P28:P32)</f>
        <v>165034.28571428571</v>
      </c>
      <c r="Q33" s="592">
        <f>SUM(Q28:Q32)</f>
        <v>124.71428571428569</v>
      </c>
      <c r="R33" s="592">
        <f>SUM(R28:R32)</f>
        <v>0</v>
      </c>
      <c r="S33" s="592">
        <f>SUM(S28:S32)</f>
        <v>0</v>
      </c>
      <c r="T33" s="592">
        <f>SUM(T28:T32)</f>
        <v>0</v>
      </c>
      <c r="U33" s="592">
        <f>SUM(U28:U32)</f>
        <v>0</v>
      </c>
      <c r="V33" s="592">
        <f>SUM(V28:V32)</f>
        <v>0</v>
      </c>
      <c r="W33" s="592">
        <f>SUM(W28:W32)</f>
        <v>0</v>
      </c>
      <c r="X33" s="593"/>
      <c r="Y33" s="593"/>
      <c r="Z33" s="594"/>
    </row>
    <row r="34" spans="1:27" s="568" customFormat="1">
      <c r="A34" s="590" t="s">
        <v>276</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277</v>
      </c>
      <c r="B35" s="591"/>
      <c r="C35" s="591"/>
      <c r="D35" s="591"/>
      <c r="E35" s="591"/>
      <c r="F35" s="591"/>
      <c r="G35" s="591"/>
      <c r="H35" s="591"/>
      <c r="I35" s="591"/>
      <c r="J35" s="591"/>
      <c r="K35" s="591"/>
      <c r="L35" s="592"/>
      <c r="M35" s="592">
        <f ca="1">SUMIF($Z$28:AC32,"tertiair",M28:M32)</f>
        <v>0</v>
      </c>
      <c r="N35" s="592">
        <f ca="1">SUMIF($Z$28:AD32,"tertiair",N28:N32)</f>
        <v>0</v>
      </c>
      <c r="O35" s="592">
        <f ca="1">SUMIF($Z$28:AE32,"tertiair",O28:O32)</f>
        <v>0</v>
      </c>
      <c r="P35" s="592">
        <f ca="1">SUMIF($Z$28:AF32,"tertiair",P28:P32)</f>
        <v>0</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278</v>
      </c>
      <c r="B36" s="596"/>
      <c r="C36" s="596"/>
      <c r="D36" s="596"/>
      <c r="E36" s="596"/>
      <c r="F36" s="596"/>
      <c r="G36" s="596"/>
      <c r="H36" s="596"/>
      <c r="I36" s="596"/>
      <c r="J36" s="596"/>
      <c r="K36" s="596"/>
      <c r="L36" s="597"/>
      <c r="M36" s="597">
        <f>SUMIF($Z$28:$Z$32,"landbouw",M28:M32)</f>
        <v>12845.7</v>
      </c>
      <c r="N36" s="597">
        <f>SUMIF($Z$28:$Z$32,"landbouw",N28:N32)</f>
        <v>57805.65</v>
      </c>
      <c r="O36" s="597">
        <f>SUMIF($Z$28:$Z$32,"landbouw",O28:O32)</f>
        <v>82579.5</v>
      </c>
      <c r="P36" s="597">
        <f>SUMIF($Z$28:$Z$32,"landbouw",P28:P32)</f>
        <v>165034.28571428571</v>
      </c>
      <c r="Q36" s="597">
        <f>SUMIF($Z$28:$Z$32,"landbouw",Q28:Q32)</f>
        <v>124.71428571428569</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270</v>
      </c>
      <c r="B38" s="631" t="s">
        <v>89</v>
      </c>
      <c r="C38" s="631" t="s">
        <v>90</v>
      </c>
      <c r="D38" s="631"/>
      <c r="E38" s="631"/>
      <c r="F38" s="631"/>
      <c r="G38" s="631" t="s">
        <v>91</v>
      </c>
      <c r="H38" s="631" t="s">
        <v>92</v>
      </c>
      <c r="I38" s="631"/>
      <c r="J38" s="631"/>
      <c r="K38" s="631"/>
      <c r="L38" s="631" t="s">
        <v>93</v>
      </c>
      <c r="M38" s="632" t="s">
        <v>287</v>
      </c>
      <c r="N38" s="632" t="s">
        <v>94</v>
      </c>
      <c r="O38" s="632" t="s">
        <v>95</v>
      </c>
      <c r="P38" s="632" t="s">
        <v>511</v>
      </c>
      <c r="Q38" s="632" t="s">
        <v>96</v>
      </c>
      <c r="R38" s="632" t="s">
        <v>97</v>
      </c>
      <c r="S38" s="632" t="s">
        <v>98</v>
      </c>
      <c r="T38" s="632" t="s">
        <v>99</v>
      </c>
      <c r="U38" s="632" t="s">
        <v>100</v>
      </c>
      <c r="V38" s="632" t="s">
        <v>101</v>
      </c>
      <c r="W38" s="631" t="s">
        <v>102</v>
      </c>
      <c r="X38" s="631" t="s">
        <v>288</v>
      </c>
      <c r="Y38" s="631" t="s">
        <v>103</v>
      </c>
      <c r="Z38" s="633" t="s">
        <v>289</v>
      </c>
    </row>
    <row r="39" spans="1:27" s="603" customFormat="1" ht="12.75" hidden="1">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hidden="1">
      <c r="A40" s="590" t="s">
        <v>269</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276</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277</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278</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271</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272</v>
      </c>
      <c r="C48" s="614" t="s">
        <v>273</v>
      </c>
      <c r="D48" s="614"/>
      <c r="E48" s="614"/>
      <c r="F48" s="614"/>
      <c r="G48" s="614"/>
      <c r="H48" s="614"/>
      <c r="I48" s="615"/>
      <c r="J48" s="614"/>
      <c r="K48" s="614"/>
      <c r="L48" s="614"/>
      <c r="M48" s="614"/>
      <c r="N48" s="614"/>
      <c r="O48" s="614"/>
      <c r="P48" s="609"/>
    </row>
    <row r="49" spans="1:16">
      <c r="A49" s="611" t="s">
        <v>269</v>
      </c>
      <c r="B49" s="616">
        <f>IF(ISERROR(O33/(O33+N33)),0,O33/(O33+N33))</f>
        <v>0.58823529411764708</v>
      </c>
      <c r="C49" s="617">
        <f>IF(ISERROR(N33/(O33+N33)),0,N33/(N33+O33))</f>
        <v>0.41176470588235298</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511</v>
      </c>
      <c r="C51" s="624" t="s">
        <v>96</v>
      </c>
      <c r="D51" s="624" t="s">
        <v>97</v>
      </c>
      <c r="E51" s="624" t="s">
        <v>98</v>
      </c>
      <c r="F51" s="624" t="s">
        <v>99</v>
      </c>
      <c r="G51" s="624" t="s">
        <v>100</v>
      </c>
      <c r="H51" s="624" t="s">
        <v>101</v>
      </c>
      <c r="I51" s="625" t="s">
        <v>102</v>
      </c>
      <c r="J51" s="614"/>
      <c r="K51" s="614"/>
      <c r="L51" s="622"/>
      <c r="M51" s="622"/>
      <c r="N51" s="622"/>
      <c r="O51" s="609"/>
      <c r="P51" s="609"/>
    </row>
    <row r="52" spans="1:16">
      <c r="A52" s="613" t="s">
        <v>274</v>
      </c>
      <c r="B52" s="626">
        <f t="shared" ref="B52:I52" si="2">$C$49*P33</f>
        <v>67955.294117647063</v>
      </c>
      <c r="C52" s="626">
        <f t="shared" si="2"/>
        <v>51.352941176470587</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275</v>
      </c>
      <c r="B53" s="629">
        <f t="shared" ref="B53:I53" si="3">$B$49*P33</f>
        <v>97078.991596638662</v>
      </c>
      <c r="C53" s="629">
        <f t="shared" si="3"/>
        <v>73.361344537815114</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2021-11-11T12:13:52Z</dcterms:modified>
</cp:coreProperties>
</file>