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430EC20C-8417-4FDF-99C7-4A9834560EE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4" i="13"/>
  <c r="B33" i="13"/>
  <c r="B36"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0" i="16"/>
  <c r="C22" i="16" s="1"/>
  <c r="D43" i="14" s="1"/>
  <c r="C18" i="15"/>
  <c r="C20" i="15" s="1"/>
  <c r="D40" i="14" s="1"/>
  <c r="C10" i="13"/>
  <c r="C12" i="13" s="1"/>
  <c r="C56" i="22"/>
  <c r="C58" i="22" s="1"/>
  <c r="D49" i="14" s="1"/>
  <c r="D52" i="14" s="1"/>
  <c r="C22" i="59"/>
  <c r="C17" i="19"/>
  <c r="C19" i="19" s="1"/>
  <c r="D39" i="14" s="1"/>
  <c r="C10" i="17"/>
  <c r="C12" i="17" s="1"/>
  <c r="D54" i="14" s="1"/>
  <c r="D56" i="14"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<sst xmlns="http://schemas.openxmlformats.org/spreadsheetml/2006/main" count="2427" uniqueCount="874">
  <si>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</si>
  <si>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</si>
  <si>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</si>
  <si>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</si>
  <si>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</si>
  <si>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</si>
  <si>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</si>
  <si>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</si>
  <si>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</si>
  <si>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</si>
  <si>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</si>
  <si>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</si>
  <si>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</si>
  <si>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</si>
  <si>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</si>
  <si>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</si>
  <si>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</si>
  <si>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</si>
  <si>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</si>
  <si>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</si>
  <si>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</si>
  <si>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</si>
  <si>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</si>
  <si>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</si>
  <si>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</si>
  <si>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</si>
  <si>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</si>
  <si>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</si>
  <si>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</si>
  <si>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</si>
  <si>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</si>
  <si>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</si>
  <si>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</si>
  <si>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</si>
  <si>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</si>
  <si>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</si>
  <si>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</si>
  <si>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</si>
  <si>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</si>
  <si>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</si>
  <si>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</si>
  <si>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</si>
  <si>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</si>
  <si>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</si>
  <si>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</si>
  <si>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</si>
  <si>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</si>
  <si>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</si>
  <si>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</si>
  <si>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</si>
  <si>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</si>
  <si>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</si>
  <si>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</si>
  <si>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</si>
  <si>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</si>
  <si>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</si>
  <si>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</si>
  <si>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</si>
  <si>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</si>
  <si>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</si>
  <si>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</si>
  <si>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</si>
  <si>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</si>
  <si>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</si>
  <si>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</si>
  <si>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</si>
  <si>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</si>
  <si>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</si>
  <si>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</si>
  <si>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</si>
  <si>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</si>
  <si>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</si>
  <si>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</si>
  <si>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</si>
  <si>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</si>
  <si>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</si>
  <si>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</si>
  <si>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</si>
  <si>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</si>
  <si>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</si>
  <si>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</si>
  <si>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</si>
  <si>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</si>
  <si>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</si>
  <si>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</si>
  <si>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</si>
  <si>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</si>
  <si>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</si>
  <si>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</si>
  <si>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</si>
  <si>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</si>
  <si>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</si>
  <si>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</si>
  <si>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</si>
  <si>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</si>
  <si>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</si>
  <si>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</si>
  <si>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</si>
  <si>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</si>
  <si>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</si>
  <si>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</si>
  <si>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</si>
  <si>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</si>
  <si>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</si>
  <si>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</si>
  <si>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</si>
  <si>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</si>
  <si>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</si>
  <si>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</si>
  <si>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</si>
  <si>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</si>
  <si>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</si>
  <si>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</si>
  <si>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</si>
  <si>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</si>
  <si>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</si>
  <si>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</si>
  <si>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</si>
  <si>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</si>
  <si>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</si>
  <si>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</si>
  <si>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</si>
  <si>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</si>
  <si>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</si>
  <si>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</si>
  <si>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</si>
  <si>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</si>
  <si>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</si>
  <si>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</si>
  <si>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</si>
  <si>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</si>
  <si>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</si>
  <si>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</si>
  <si>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</si>
  <si>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</si>
  <si>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</si>
  <si>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</si>
  <si>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</si>
  <si>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</si>
  <si>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</si>
  <si>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</si>
  <si>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</si>
  <si>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</si>
  <si>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</si>
  <si>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</si>
  <si>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</si>
  <si>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</si>
  <si>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</si>
  <si>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</si>
  <si>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</si>
  <si>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</si>
  <si>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</si>
  <si>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</si>
  <si>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</si>
  <si>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</si>
  <si>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</si>
  <si>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</si>
  <si>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</si>
  <si>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</si>
  <si>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</si>
  <si>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</si>
  <si>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</si>
  <si>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</si>
  <si>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</si>
  <si>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</si>
  <si>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</si>
  <si>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</si>
  <si>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</si>
  <si>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</si>
  <si>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</si>
  <si>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</si>
  <si>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</si>
  <si>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</si>
  <si>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</si>
  <si>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</si>
  <si>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</si>
  <si>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</si>
  <si>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</si>
  <si>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</si>
  <si>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</si>
  <si>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</si>
  <si>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</si>
  <si>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</si>
  <si>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</si>
  <si>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</si>
  <si>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</si>
  <si>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</si>
  <si>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</si>
  <si>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</si>
  <si>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</si>
  <si>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</si>
  <si>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</si>
  <si>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</si>
  <si>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</si>
  <si>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</si>
  <si>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</si>
  <si>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</si>
  <si>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</si>
  <si>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</si>
  <si>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</si>
  <si>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</si>
  <si>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</si>
  <si>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</si>
  <si>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</si>
  <si>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</si>
  <si>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</si>
  <si>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</si>
  <si>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</si>
  <si>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</si>
  <si>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</si>
  <si>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</si>
  <si>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</si>
  <si>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</si>
  <si>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</si>
  <si>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</si>
  <si>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</si>
  <si>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</si>
  <si>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</si>
  <si>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</si>
  <si>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</si>
  <si>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</si>
  <si>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</si>
  <si>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</si>
  <si>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</si>
  <si>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</si>
  <si>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</si>
  <si>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</si>
  <si>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</si>
  <si>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</si>
  <si>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</si>
  <si>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</si>
  <si>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</si>
  <si>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</si>
  <si>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</si>
  <si>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</si>
  <si>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</si>
  <si>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</si>
  <si>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</si>
  <si>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</si>
  <si>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</si>
  <si>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</si>
  <si>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</si>
  <si>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</si>
  <si>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</si>
  <si>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</si>
  <si>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</si>
  <si>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</si>
  <si>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</si>
  <si>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</si>
  <si>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</si>
  <si>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</si>
  <si>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</si>
  <si>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</si>
  <si>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</si>
  <si>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</si>
  <si>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</si>
  <si>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</si>
  <si>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</si>
  <si>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</si>
  <si>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</si>
  <si>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</si>
  <si>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</si>
  <si>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</si>
  <si>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</si>
  <si>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</si>
  <si>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</si>
  <si>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</si>
  <si>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</si>
  <si>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</si>
  <si>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</si>
  <si>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</si>
  <si>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</si>
  <si>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</si>
  <si>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</si>
  <si>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</si>
  <si>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</si>
  <si>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</si>
  <si>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</si>
  <si>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</si>
  <si>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</si>
  <si>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</si>
  <si>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</si>
  <si>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</si>
  <si>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</si>
  <si>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</si>
  <si>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</si>
  <si>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</si>
  <si>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</si>
  <si>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</si>
  <si>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</si>
  <si>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</si>
  <si>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</si>
  <si>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</si>
  <si>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</si>
  <si>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</si>
  <si>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</si>
  <si>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</si>
  <si>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</si>
  <si>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</si>
  <si>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</si>
  <si>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</si>
  <si>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</si>
  <si>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</si>
  <si>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</si>
  <si>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</si>
  <si>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</si>
  <si>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</si>
  <si>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</si>
  <si>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</si>
  <si>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</si>
  <si>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</si>
  <si>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</si>
  <si>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</si>
  <si>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</si>
  <si>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</si>
  <si>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</si>
  <si>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</si>
  <si>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</si>
  <si>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</si>
  <si>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</si>
  <si>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</si>
  <si>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</si>
  <si>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</si>
  <si>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</si>
  <si>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</si>
  <si>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</si>
  <si>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</si>
  <si>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</si>
  <si>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</si>
  <si>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</si>
  <si>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</si>
  <si>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</si>
  <si>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</si>
  <si>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</si>
  <si>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</si>
  <si>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</si>
  <si>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</si>
  <si>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</si>
  <si>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</si>
  <si>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</si>
  <si>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</si>
  <si>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</si>
  <si>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</si>
  <si>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</si>
  <si>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</si>
  <si>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</si>
  <si>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</si>
  <si>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</si>
  <si>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</si>
  <si>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</si>
  <si>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</si>
  <si>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</si>
  <si>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</si>
  <si>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</si>
  <si>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</si>
  <si>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</si>
  <si>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</si>
  <si>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</si>
  <si>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</si>
  <si>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</si>
  <si>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</si>
  <si>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</si>
  <si>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</si>
  <si>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</si>
  <si>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</si>
  <si>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</si>
  <si>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</si>
  <si>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</si>
  <si>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</si>
  <si>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</si>
  <si>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</si>
  <si>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</si>
  <si>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</si>
  <si>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</si>
  <si>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</si>
  <si>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</si>
  <si>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</si>
  <si>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</si>
  <si>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</si>
  <si>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</si>
  <si>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</si>
  <si>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</si>
  <si>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</si>
  <si>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</si>
  <si>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</si>
  <si>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</si>
  <si>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</si>
  <si>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</si>
  <si>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</si>
  <si>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</si>
  <si>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</si>
  <si>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</si>
  <si>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</si>
  <si>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</si>
  <si>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</si>
  <si>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</si>
  <si>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</si>
  <si>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</si>
  <si>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</si>
  <si>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</si>
  <si>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</si>
  <si>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</si>
  <si>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</si>
  <si>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</si>
  <si>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</si>
  <si>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</si>
  <si>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</si>
  <si>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</si>
  <si>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</si>
  <si>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</si>
  <si>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</si>
  <si>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</si>
  <si>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</si>
  <si>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</si>
  <si>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</si>
  <si>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</si>
  <si>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</si>
  <si>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</si>
  <si>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</si>
  <si>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</si>
  <si>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</si>
  <si>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</si>
  <si>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</si>
  <si>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</si>
  <si>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</si>
  <si>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</si>
  <si>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</si>
  <si>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</si>
  <si>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</si>
  <si>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</si>
  <si>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</si>
  <si>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</si>
  <si>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</si>
  <si>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</si>
  <si>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</si>
  <si>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</si>
  <si>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</si>
  <si>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</si>
  <si>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</si>
  <si>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</si>
  <si>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</si>
  <si>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</si>
  <si>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</si>
  <si>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</si>
  <si>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</si>
  <si>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</si>
  <si>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</si>
  <si>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</si>
  <si>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</si>
  <si>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</si>
  <si>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</si>
  <si>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</si>
  <si>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</si>
  <si>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</si>
  <si>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</si>
  <si>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</si>
  <si>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</si>
  <si>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</si>
  <si>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</si>
  <si>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</si>
  <si>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</si>
  <si>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</si>
  <si>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</si>
  <si>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</si>
  <si>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</si>
  <si>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</si>
  <si>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</si>
  <si>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</si>
  <si>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</si>
  <si>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</si>
  <si>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</si>
  <si>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</si>
  <si>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</si>
  <si>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</si>
  <si>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</si>
  <si>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</si>
  <si>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</si>
  <si>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</si>
  <si>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</si>
  <si>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</si>
  <si>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</si>
  <si>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</si>
  <si>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</si>
  <si>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</si>
  <si>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</si>
  <si>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</si>
  <si>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</si>
  <si>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</si>
  <si>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</si>
  <si>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</si>
  <si>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</si>
  <si>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</si>
  <si>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</si>
  <si>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</si>
  <si>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</si>
  <si>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</si>
  <si>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</si>
  <si>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</si>
  <si>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</si>
  <si>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</si>
  <si>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</si>
  <si>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</si>
  <si>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</si>
  <si>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</si>
  <si>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</si>
  <si>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</si>
  <si>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</si>
  <si>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</si>
  <si>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</si>
  <si>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</si>
  <si>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</si>
  <si>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</si>
  <si>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</si>
  <si>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</si>
  <si>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</si>
  <si>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</si>
  <si>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</si>
  <si>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</si>
  <si>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</si>
  <si>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</si>
  <si>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</si>
  <si>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</si>
  <si>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</si>
  <si>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</si>
  <si>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</si>
  <si>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</si>
  <si>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</si>
  <si>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</si>
  <si>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</si>
  <si>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</si>
  <si>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</si>
  <si>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</si>
  <si>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</si>
  <si>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</si>
  <si>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</si>
  <si>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</si>
  <si>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</si>
  <si>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</si>
  <si>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</si>
  <si>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</si>
  <si>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</si>
  <si>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</si>
  <si>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</si>
  <si>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</si>
  <si>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</si>
  <si>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</si>
  <si>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</si>
  <si>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</si>
  <si>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</si>
  <si>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</si>
  <si>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</si>
  <si>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</si>
  <si>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</si>
  <si>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</si>
  <si>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</si>
  <si>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</si>
  <si>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</si>
  <si>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</si>
  <si>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</si>
  <si>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</si>
  <si>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</si>
  <si>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</si>
  <si>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</si>
  <si>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</si>
  <si>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</si>
  <si>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</si>
  <si>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</si>
  <si>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</si>
  <si>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</si>
  <si>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</si>
  <si>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</si>
  <si>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</si>
  <si>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</si>
  <si>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</si>
  <si>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</si>
  <si>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</si>
  <si>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</si>
  <si>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</si>
  <si>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</si>
  <si>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</si>
  <si>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</si>
  <si>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</si>
  <si>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</si>
  <si>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</si>
  <si>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</si>
  <si>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</si>
  <si>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</si>
  <si>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</si>
  <si>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</si>
  <si>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</si>
  <si>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</si>
  <si>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</si>
  <si>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</si>
  <si>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</si>
  <si>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</si>
  <si>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</si>
  <si>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</si>
  <si>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</si>
  <si>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</si>
  <si>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</si>
  <si>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</si>
  <si>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</si>
  <si>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</si>
  <si>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</si>
  <si>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</si>
  <si>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</si>
  <si>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</si>
  <si>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</si>
  <si>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</si>
  <si>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</si>
  <si>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</si>
  <si>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</si>
  <si>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</si>
  <si>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</si>
  <si>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</si>
  <si>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</si>
  <si>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</si>
  <si>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</si>
  <si>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</si>
  <si>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</si>
  <si>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</si>
  <si>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</si>
  <si>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</si>
  <si>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</si>
  <si>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</si>
  <si>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</si>
  <si>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</si>
  <si>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</si>
  <si>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</si>
  <si>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</si>
  <si>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</si>
  <si>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</si>
  <si>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</si>
  <si>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</si>
  <si>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</si>
  <si>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</si>
  <si>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</si>
  <si>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</si>
  <si>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</si>
  <si>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</si>
  <si>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</si>
  <si>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</si>
  <si>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</si>
  <si>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</si>
  <si>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</si>
  <si>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</si>
  <si>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</si>
  <si>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</si>
  <si>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</si>
  <si>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</si>
  <si>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</si>
  <si>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</si>
  <si>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</si>
  <si>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</si>
  <si>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</si>
  <si>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</si>
  <si>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</si>
  <si>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</si>
  <si>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</si>
  <si>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</si>
  <si>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</si>
  <si>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</si>
  <si>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</si>
  <si>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</si>
  <si>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</si>
  <si>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</si>
  <si>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</si>
  <si>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</si>
  <si>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</si>
  <si>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</si>
  <si>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</si>
  <si>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</si>
  <si>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</si>
  <si>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</si>
  <si>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</si>
  <si>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</si>
  <si>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</si>
  <si>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</si>
  <si>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</si>
  <si>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</si>
  <si>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</si>
  <si>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</si>
  <si>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</si>
  <si>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</si>
  <si>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</si>
  <si>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</si>
  <si>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</si>
  <si>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</si>
  <si>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</si>
  <si>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</si>
  <si>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</si>
  <si>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</si>
  <si>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</si>
  <si>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</si>
  <si>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</si>
  <si>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</si>
  <si>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</si>
  <si>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</si>
  <si>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</si>
  <si>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</si>
  <si>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</si>
  <si>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</si>
  <si>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</si>
  <si>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</si>
  <si>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</si>
  <si>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</si>
  <si>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</si>
  <si>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</si>
  <si>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</si>
  <si>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</si>
  <si>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</si>
  <si>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</si>
  <si>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</si>
  <si>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</si>
  <si>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</si>
  <si>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</si>
  <si>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</si>
  <si>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</si>
  <si>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</si>
  <si>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</si>
  <si>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</si>
  <si>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</si>
  <si>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</si>
  <si>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</si>
  <si>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</si>
  <si>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</si>
  <si>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</si>
  <si>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</si>
  <si>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</si>
  <si>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</si>
  <si>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</si>
  <si>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</si>
  <si>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</si>
  <si>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</si>
  <si>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</si>
  <si>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</si>
  <si>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</si>
  <si>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</si>
  <si>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</si>
  <si>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</si>
  <si>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</si>
  <si>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</si>
  <si>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</si>
  <si>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</si>
  <si>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</si>
  <si>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</si>
  <si>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</si>
  <si>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</si>
  <si>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</si>
  <si>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</si>
  <si>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</si>
  <si>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</si>
  <si>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</si>
  <si>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</si>
  <si>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</si>
  <si>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</si>
  <si>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</si>
  <si>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</si>
  <si>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</si>
  <si>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</si>
  <si>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</si>
  <si>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</si>
  <si>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</si>
  <si>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</si>
  <si>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</si>
  <si>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</si>
  <si>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</si>
  <si>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</si>
  <si>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</si>
  <si>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</si>
  <si>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</si>
  <si>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</si>
  <si>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</si>
  <si>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</si>
  <si>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</si>
  <si>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</si>
  <si>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</si>
  <si>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</si>
  <si>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</si>
  <si>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</si>
  <si>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</si>
  <si>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</si>
  <si>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</si>
  <si>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</si>
  <si>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</si>
  <si>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</si>
  <si>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</si>
  <si>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</si>
  <si>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</si>
  <si>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</si>
  <si>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</si>
  <si>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</si>
  <si>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</si>
  <si>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</si>
  <si>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</si>
  <si>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</si>
  <si>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</si>
  <si>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</si>
  <si>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</si>
  <si>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</si>
  <si>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</si>
  <si>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</si>
  <si>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</si>
  <si>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</si>
  <si>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</si>
  <si>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</si>
  <si>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</si>
  <si>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</si>
  <si>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</si>
  <si>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</si>
  <si>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</si>
  <si>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</si>
  <si>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</si>
  <si>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</si>
  <si>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</si>
  <si>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</si>
  <si>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</si>
  <si>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</si>
  <si>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</si>
  <si>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</si>
  <si>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</si>
  <si>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</si>
  <si>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</si>
  <si>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</si>
  <si>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</si>
  <si>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</si>
  <si>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</si>
  <si>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</si>
  <si>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</si>
  <si>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</si>
  <si>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</si>
  <si>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</si>
  <si>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</si>
  <si>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</si>
  <si>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</si>
  <si>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</si>
  <si>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</si>
  <si>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</si>
  <si>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</si>
  <si>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</si>
  <si>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</si>
  <si>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</si>
  <si>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</si>
  <si>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</si>
  <si>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</si>
  <si>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</si>
  <si>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</si>
  <si>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</si>
  <si>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</si>
  <si>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</si>
  <si>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</si>
  <si>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</si>
  <si>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</si>
  <si>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</si>
  <si>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</si>
  <si>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</si>
  <si>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</si>
  <si>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</si>
  <si>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</si>
  <si>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</si>
  <si>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</si>
  <si>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</si>
  <si>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</si>
  <si>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</si>
  <si>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13029</t>
  </si>
  <si>
    <t>OLEN</t>
  </si>
  <si>
    <t>referentietaak LNE (2017); Jaarverslag De Lijn</t>
  </si>
  <si>
    <t>waterkracht</t>
  </si>
  <si>
    <t>interne verbrandingsmotor</t>
  </si>
  <si>
    <t>WKK interne verbrandinsgmotor (gas)</t>
  </si>
  <si>
    <t>IVEKA</t>
  </si>
  <si>
    <t>Biogas - stortgas</t>
  </si>
  <si>
    <t>niet WKK interne verbrandingsmotor (gas)</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</si>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</sst>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B5046EC-97DA-4C05-AFF0-CD2F89A5867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101355.87942850041</c:v>
                </c:pt>
                <c:pt idx="1">
                  <c:v>66762.59441115307</c:v>
                </c:pt>
                <c:pt idx="2">
                  <c:v>571.60599999999999</c:v>
                </c:pt>
                <c:pt idx="3">
                  <c:v>10827.291907958377</c:v>
                </c:pt>
                <c:pt idx="4">
                  <c:v>191645.61258091484</c:v>
                </c:pt>
                <c:pt idx="5">
                  <c:v>143778.90582088841</c:v>
                </c:pt>
                <c:pt idx="6">
                  <c:v>608.91005873510596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101355.87942850041</c:v>
                </c:pt>
                <c:pt idx="1">
                  <c:v>66762.59441115307</c:v>
                </c:pt>
                <c:pt idx="2">
                  <c:v>571.60599999999999</c:v>
                </c:pt>
                <c:pt idx="3">
                  <c:v>10827.291907958377</c:v>
                </c:pt>
                <c:pt idx="4">
                  <c:v>191645.61258091484</c:v>
                </c:pt>
                <c:pt idx="5">
                  <c:v>143778.90582088841</c:v>
                </c:pt>
                <c:pt idx="6">
                  <c:v>608.91005873510596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18318.66123811292</c:v>
                </c:pt>
                <c:pt idx="1">
                  <c:v>11504.814249266883</c:v>
                </c:pt>
                <c:pt idx="2">
                  <c:v>58.272863433600705</c:v>
                </c:pt>
                <c:pt idx="3">
                  <c:v>2406.4790716785424</c:v>
                </c:pt>
                <c:pt idx="4">
                  <c:v>30311.916625389891</c:v>
                </c:pt>
                <c:pt idx="5">
                  <c:v>35664.358499887843</c:v>
                </c:pt>
                <c:pt idx="6">
                  <c:v>152.38668438943787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18318.66123811292</c:v>
                </c:pt>
                <c:pt idx="1">
                  <c:v>11504.814249266883</c:v>
                </c:pt>
                <c:pt idx="2">
                  <c:v>58.272863433600705</c:v>
                </c:pt>
                <c:pt idx="3">
                  <c:v>2406.4790716785424</c:v>
                </c:pt>
                <c:pt idx="4">
                  <c:v>30311.916625389891</c:v>
                </c:pt>
                <c:pt idx="5">
                  <c:v>35664.358499887843</c:v>
                </c:pt>
                <c:pt idx="6">
                  <c:v>152.38668438943787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13029</v>
      </c>
      <c r="B6" s="384"/>
      <c r="C6" s="385"/>
    </row>
    <row r="7" spans="1:7" s="382" customFormat="1" ht="15.75" customHeight="1">
      <c r="A7" s="386" t="str">
        <f>txtMunicipality</f>
        <v>OLEN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22399.883967383201</v>
      </c>
      <c r="D10" s="681">
        <f ca="1">tertiair!C16</f>
        <v>732.85714285714289</v>
      </c>
      <c r="E10" s="681">
        <f ca="1">tertiair!D16</f>
        <v>40735.570032225631</v>
      </c>
      <c r="F10" s="681">
        <f>tertiair!E16</f>
        <v>88.402511522465247</v>
      </c>
      <c r="G10" s="681">
        <f ca="1">tertiair!F16</f>
        <v>3257.700658304092</v>
      </c>
      <c r="H10" s="681">
        <f>tertiair!G16</f>
        <v>0</v>
      </c>
      <c r="I10" s="681">
        <f>tertiair!H16</f>
        <v>0</v>
      </c>
      <c r="J10" s="681">
        <f>tertiair!I16</f>
        <v>0</v>
      </c>
      <c r="K10" s="681">
        <f>tertiair!J16</f>
        <v>1.6039950023871707E-2</v>
      </c>
      <c r="L10" s="681">
        <f>tertiair!K16</f>
        <v>0</v>
      </c>
      <c r="M10" s="681">
        <f ca="1">tertiair!L16</f>
        <v>0</v>
      </c>
      <c r="N10" s="681">
        <f>tertiair!M16</f>
        <v>0</v>
      </c>
      <c r="O10" s="681">
        <f ca="1">tertiair!N16</f>
        <v>0</v>
      </c>
      <c r="P10" s="681">
        <f>tertiair!O16</f>
        <v>14.691782297523464</v>
      </c>
      <c r="Q10" s="682">
        <f>tertiair!P16</f>
        <v>105.07827661299004</v>
      </c>
      <c r="R10" s="684">
        <f ca="1">SUM(C10:Q10)</f>
        <v>67334.20041115307</v>
      </c>
      <c r="S10" s="67"/>
    </row>
    <row r="11" spans="1:19" s="443" customFormat="1">
      <c r="A11" s="802" t="s">
        <v>214</v>
      </c>
      <c r="B11" s="807"/>
      <c r="C11" s="681">
        <f>huishoudens!B8</f>
        <v>19832.104967808307</v>
      </c>
      <c r="D11" s="681">
        <f>huishoudens!C8</f>
        <v>0</v>
      </c>
      <c r="E11" s="681">
        <f>huishoudens!D8</f>
        <v>51116.258208263265</v>
      </c>
      <c r="F11" s="681">
        <f>huishoudens!E8</f>
        <v>975.67363036319352</v>
      </c>
      <c r="G11" s="681">
        <f>huishoudens!F8</f>
        <v>21373.697098088312</v>
      </c>
      <c r="H11" s="681">
        <f>huishoudens!G8</f>
        <v>0</v>
      </c>
      <c r="I11" s="681">
        <f>huishoudens!H8</f>
        <v>0</v>
      </c>
      <c r="J11" s="681">
        <f>huishoudens!I8</f>
        <v>0</v>
      </c>
      <c r="K11" s="681">
        <f>huishoudens!J8</f>
        <v>121.81103748358458</v>
      </c>
      <c r="L11" s="681">
        <f>huishoudens!K8</f>
        <v>0</v>
      </c>
      <c r="M11" s="681">
        <f>huishoudens!L8</f>
        <v>0</v>
      </c>
      <c r="N11" s="681">
        <f>huishoudens!M8</f>
        <v>0</v>
      </c>
      <c r="O11" s="681">
        <f>huishoudens!N8</f>
        <v>6673.0185993688883</v>
      </c>
      <c r="P11" s="681">
        <f>huishoudens!O8</f>
        <v>420.59914251005074</v>
      </c>
      <c r="Q11" s="682">
        <f>huishoudens!P8</f>
        <v>842.71674461480166</v>
      </c>
      <c r="R11" s="684">
        <f>SUM(C11:Q11)</f>
        <v>101355.87942850041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84018.434477160758</v>
      </c>
      <c r="D13" s="681">
        <f>industrie!C18</f>
        <v>0</v>
      </c>
      <c r="E13" s="681">
        <f>industrie!D18</f>
        <v>94073.367082041907</v>
      </c>
      <c r="F13" s="681">
        <f>industrie!E18</f>
        <v>733.10597602334303</v>
      </c>
      <c r="G13" s="681">
        <f>industrie!F18</f>
        <v>9636.1969522337204</v>
      </c>
      <c r="H13" s="681">
        <f>industrie!G18</f>
        <v>0</v>
      </c>
      <c r="I13" s="681">
        <f>industrie!H18</f>
        <v>0</v>
      </c>
      <c r="J13" s="681">
        <f>industrie!I18</f>
        <v>0</v>
      </c>
      <c r="K13" s="681">
        <f>industrie!J18</f>
        <v>12.671018482545787</v>
      </c>
      <c r="L13" s="681">
        <f>industrie!K18</f>
        <v>0</v>
      </c>
      <c r="M13" s="681">
        <f>industrie!L18</f>
        <v>0</v>
      </c>
      <c r="N13" s="681">
        <f>industrie!M18</f>
        <v>0</v>
      </c>
      <c r="O13" s="681">
        <f>industrie!N18</f>
        <v>3171.8370749725705</v>
      </c>
      <c r="P13" s="681">
        <f>industrie!O18</f>
        <v>0</v>
      </c>
      <c r="Q13" s="682">
        <f>industrie!P18</f>
        <v>0</v>
      </c>
      <c r="R13" s="684">
        <f>SUM(C13:Q13)</f>
        <v>191645.61258091484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126250.42341235226</v>
      </c>
      <c r="D16" s="717">
        <f t="shared" ref="D16:R16" ca="1" si="0">SUM(D9:D15)</f>
        <v>732.85714285714289</v>
      </c>
      <c r="E16" s="717">
        <f t="shared" ca="1" si="0"/>
        <v>185925.19532253081</v>
      </c>
      <c r="F16" s="717">
        <f t="shared" si="0"/>
        <v>1797.1821179090016</v>
      </c>
      <c r="G16" s="717">
        <f t="shared" ca="1" si="0"/>
        <v>34267.594708626129</v>
      </c>
      <c r="H16" s="717">
        <f t="shared" si="0"/>
        <v>0</v>
      </c>
      <c r="I16" s="717">
        <f t="shared" si="0"/>
        <v>0</v>
      </c>
      <c r="J16" s="717">
        <f t="shared" si="0"/>
        <v>0</v>
      </c>
      <c r="K16" s="717">
        <f t="shared" si="0"/>
        <v>134.49809591615423</v>
      </c>
      <c r="L16" s="717">
        <f t="shared" si="0"/>
        <v>0</v>
      </c>
      <c r="M16" s="717">
        <f t="shared" ca="1" si="0"/>
        <v>0</v>
      </c>
      <c r="N16" s="717">
        <f t="shared" si="0"/>
        <v>0</v>
      </c>
      <c r="O16" s="717">
        <f t="shared" ca="1" si="0"/>
        <v>9844.8556743414592</v>
      </c>
      <c r="P16" s="717">
        <f t="shared" si="0"/>
        <v>435.29092480757419</v>
      </c>
      <c r="Q16" s="717">
        <f t="shared" si="0"/>
        <v>947.79502122779172</v>
      </c>
      <c r="R16" s="717">
        <f t="shared" ca="1" si="0"/>
        <v>360335.69242056832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9.061491930013414</v>
      </c>
      <c r="D19" s="681">
        <f>transport!C54</f>
        <v>0</v>
      </c>
      <c r="E19" s="681">
        <f>transport!D54</f>
        <v>0</v>
      </c>
      <c r="F19" s="681">
        <f>transport!E54</f>
        <v>0</v>
      </c>
      <c r="G19" s="681">
        <f>transport!F54</f>
        <v>0</v>
      </c>
      <c r="H19" s="681">
        <f>transport!G54</f>
        <v>567.27678962757602</v>
      </c>
      <c r="I19" s="681">
        <f>transport!H54</f>
        <v>0</v>
      </c>
      <c r="J19" s="681">
        <f>transport!I54</f>
        <v>0</v>
      </c>
      <c r="K19" s="681">
        <f>transport!J54</f>
        <v>0</v>
      </c>
      <c r="L19" s="681">
        <f>transport!K54</f>
        <v>0</v>
      </c>
      <c r="M19" s="681">
        <f>transport!L54</f>
        <v>0</v>
      </c>
      <c r="N19" s="681">
        <f>transport!M54</f>
        <v>32.571777177516523</v>
      </c>
      <c r="O19" s="681">
        <f>transport!N54</f>
        <v>0</v>
      </c>
      <c r="P19" s="681">
        <f>transport!O54</f>
        <v>0</v>
      </c>
      <c r="Q19" s="682">
        <f>transport!P54</f>
        <v>0</v>
      </c>
      <c r="R19" s="684">
        <f>SUM(C19:Q19)</f>
        <v>608.91005873510596</v>
      </c>
      <c r="S19" s="67"/>
    </row>
    <row r="20" spans="1:19" s="443" customFormat="1">
      <c r="A20" s="802" t="s">
        <v>296</v>
      </c>
      <c r="B20" s="807"/>
      <c r="C20" s="681">
        <f>transport!B14</f>
        <v>330.68041616452666</v>
      </c>
      <c r="D20" s="681">
        <f>transport!C14</f>
        <v>0</v>
      </c>
      <c r="E20" s="681">
        <f>transport!D14</f>
        <v>520.88484439564797</v>
      </c>
      <c r="F20" s="681">
        <f>transport!E14</f>
        <v>225.61211345919295</v>
      </c>
      <c r="G20" s="681">
        <f>transport!F14</f>
        <v>0</v>
      </c>
      <c r="H20" s="681">
        <f>transport!G14</f>
        <v>108537.60535343961</v>
      </c>
      <c r="I20" s="681">
        <f>transport!H14</f>
        <v>26083.026842717805</v>
      </c>
      <c r="J20" s="681">
        <f>transport!I14</f>
        <v>0</v>
      </c>
      <c r="K20" s="681">
        <f>transport!J14</f>
        <v>0</v>
      </c>
      <c r="L20" s="681">
        <f>transport!K14</f>
        <v>0</v>
      </c>
      <c r="M20" s="681">
        <f>transport!L14</f>
        <v>0</v>
      </c>
      <c r="N20" s="681">
        <f>transport!M14</f>
        <v>8081.0962507116164</v>
      </c>
      <c r="O20" s="681">
        <f>transport!N14</f>
        <v>0</v>
      </c>
      <c r="P20" s="681">
        <f>transport!O14</f>
        <v>0</v>
      </c>
      <c r="Q20" s="682">
        <f>transport!P14</f>
        <v>0</v>
      </c>
      <c r="R20" s="684">
        <f>SUM(C20:Q20)</f>
        <v>143778.90582088841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339.74190809454007</v>
      </c>
      <c r="D22" s="805">
        <f t="shared" ref="D22:R22" si="1">SUM(D18:D21)</f>
        <v>0</v>
      </c>
      <c r="E22" s="805">
        <f t="shared" si="1"/>
        <v>520.88484439564797</v>
      </c>
      <c r="F22" s="805">
        <f t="shared" si="1"/>
        <v>225.61211345919295</v>
      </c>
      <c r="G22" s="805">
        <f t="shared" si="1"/>
        <v>0</v>
      </c>
      <c r="H22" s="805">
        <f t="shared" si="1"/>
        <v>109104.88214306718</v>
      </c>
      <c r="I22" s="805">
        <f t="shared" si="1"/>
        <v>26083.026842717805</v>
      </c>
      <c r="J22" s="805">
        <f t="shared" si="1"/>
        <v>0</v>
      </c>
      <c r="K22" s="805">
        <f t="shared" si="1"/>
        <v>0</v>
      </c>
      <c r="L22" s="805">
        <f t="shared" si="1"/>
        <v>0</v>
      </c>
      <c r="M22" s="805">
        <f t="shared" si="1"/>
        <v>0</v>
      </c>
      <c r="N22" s="805">
        <f t="shared" si="1"/>
        <v>8113.6680278891326</v>
      </c>
      <c r="O22" s="805">
        <f t="shared" si="1"/>
        <v>0</v>
      </c>
      <c r="P22" s="805">
        <f t="shared" si="1"/>
        <v>0</v>
      </c>
      <c r="Q22" s="805">
        <f t="shared" si="1"/>
        <v>0</v>
      </c>
      <c r="R22" s="805">
        <f t="shared" si="1"/>
        <v>144387.81587962352</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410.77566871507196</v>
      </c>
      <c r="D24" s="681">
        <f>+landbouw!C8</f>
        <v>9000</v>
      </c>
      <c r="E24" s="681">
        <f>+landbouw!D8</f>
        <v>0</v>
      </c>
      <c r="F24" s="681">
        <f>+landbouw!E8</f>
        <v>11.765310311700588</v>
      </c>
      <c r="G24" s="681">
        <f>+landbouw!F8</f>
        <v>1300.3035757159321</v>
      </c>
      <c r="H24" s="681">
        <f>+landbouw!G8</f>
        <v>0</v>
      </c>
      <c r="I24" s="681">
        <f>+landbouw!H8</f>
        <v>0</v>
      </c>
      <c r="J24" s="681">
        <f>+landbouw!I8</f>
        <v>0</v>
      </c>
      <c r="K24" s="681">
        <f>+landbouw!J8</f>
        <v>104.44735321567103</v>
      </c>
      <c r="L24" s="681">
        <f>+landbouw!K8</f>
        <v>0</v>
      </c>
      <c r="M24" s="681">
        <f>+landbouw!L8</f>
        <v>0</v>
      </c>
      <c r="N24" s="681">
        <f>+landbouw!M8</f>
        <v>0</v>
      </c>
      <c r="O24" s="681">
        <f>+landbouw!N8</f>
        <v>0</v>
      </c>
      <c r="P24" s="681">
        <f>+landbouw!O8</f>
        <v>0</v>
      </c>
      <c r="Q24" s="682">
        <f>+landbouw!P8</f>
        <v>0</v>
      </c>
      <c r="R24" s="684">
        <f>SUM(C24:Q24)</f>
        <v>10827.291907958377</v>
      </c>
      <c r="S24" s="67"/>
    </row>
    <row r="25" spans="1:19" s="443" customFormat="1" ht="15" thickBot="1">
      <c r="A25" s="824" t="s">
        <v>690</v>
      </c>
      <c r="B25" s="937"/>
      <c r="C25" s="938">
        <f>IF(Onbekend_ele_kWh="---",0,Onbekend_ele_kWh)/1000+IF(REST_rest_ele_kWh="---",0,REST_rest_ele_kWh)/1000</f>
        <v>332.54224310140103</v>
      </c>
      <c r="D25" s="938"/>
      <c r="E25" s="938">
        <f>IF(onbekend_gas_kWh="---",0,onbekend_gas_kWh)/1000+IF(REST_rest_gas_kWh="---",0,REST_rest_gas_kWh)/1000</f>
        <v>5092.6550886078403</v>
      </c>
      <c r="F25" s="938"/>
      <c r="G25" s="938"/>
      <c r="H25" s="938"/>
      <c r="I25" s="938"/>
      <c r="J25" s="938"/>
      <c r="K25" s="938"/>
      <c r="L25" s="938"/>
      <c r="M25" s="938"/>
      <c r="N25" s="938"/>
      <c r="O25" s="938"/>
      <c r="P25" s="938"/>
      <c r="Q25" s="939"/>
      <c r="R25" s="684">
        <f>SUM(C25:Q25)</f>
        <v>5425.1973317092416</v>
      </c>
      <c r="S25" s="67"/>
    </row>
    <row r="26" spans="1:19" s="443" customFormat="1" ht="15.75" thickBot="1">
      <c r="A26" s="689" t="s">
        <v>691</v>
      </c>
      <c r="B26" s="810"/>
      <c r="C26" s="805">
        <f>SUM(C24:C25)</f>
        <v>743.31791181647304</v>
      </c>
      <c r="D26" s="805">
        <f t="shared" ref="D26:R26" si="2">SUM(D24:D25)</f>
        <v>9000</v>
      </c>
      <c r="E26" s="805">
        <f t="shared" si="2"/>
        <v>5092.6550886078403</v>
      </c>
      <c r="F26" s="805">
        <f t="shared" si="2"/>
        <v>11.765310311700588</v>
      </c>
      <c r="G26" s="805">
        <f t="shared" si="2"/>
        <v>1300.3035757159321</v>
      </c>
      <c r="H26" s="805">
        <f t="shared" si="2"/>
        <v>0</v>
      </c>
      <c r="I26" s="805">
        <f t="shared" si="2"/>
        <v>0</v>
      </c>
      <c r="J26" s="805">
        <f t="shared" si="2"/>
        <v>0</v>
      </c>
      <c r="K26" s="805">
        <f t="shared" si="2"/>
        <v>104.44735321567103</v>
      </c>
      <c r="L26" s="805">
        <f t="shared" si="2"/>
        <v>0</v>
      </c>
      <c r="M26" s="805">
        <f t="shared" si="2"/>
        <v>0</v>
      </c>
      <c r="N26" s="805">
        <f t="shared" si="2"/>
        <v>0</v>
      </c>
      <c r="O26" s="805">
        <f t="shared" si="2"/>
        <v>0</v>
      </c>
      <c r="P26" s="805">
        <f t="shared" si="2"/>
        <v>0</v>
      </c>
      <c r="Q26" s="805">
        <f t="shared" si="2"/>
        <v>0</v>
      </c>
      <c r="R26" s="805">
        <f t="shared" si="2"/>
        <v>16252.489239667619</v>
      </c>
      <c r="S26" s="67"/>
    </row>
    <row r="27" spans="1:19" s="443" customFormat="1" ht="17.25" thickTop="1" thickBot="1">
      <c r="A27" s="690" t="s">
        <v>109</v>
      </c>
      <c r="B27" s="797"/>
      <c r="C27" s="691">
        <f ca="1">C22+C16+C26</f>
        <v>127333.48323226327</v>
      </c>
      <c r="D27" s="691">
        <f t="shared" ref="D27:R27" ca="1" si="3">D22+D16+D26</f>
        <v>9732.8571428571431</v>
      </c>
      <c r="E27" s="691">
        <f t="shared" ca="1" si="3"/>
        <v>191538.73525553429</v>
      </c>
      <c r="F27" s="691">
        <f t="shared" si="3"/>
        <v>2034.5595416798951</v>
      </c>
      <c r="G27" s="691">
        <f t="shared" ca="1" si="3"/>
        <v>35567.89828434206</v>
      </c>
      <c r="H27" s="691">
        <f t="shared" si="3"/>
        <v>109104.88214306718</v>
      </c>
      <c r="I27" s="691">
        <f t="shared" si="3"/>
        <v>26083.026842717805</v>
      </c>
      <c r="J27" s="691">
        <f t="shared" si="3"/>
        <v>0</v>
      </c>
      <c r="K27" s="691">
        <f t="shared" si="3"/>
        <v>238.94544913182526</v>
      </c>
      <c r="L27" s="691">
        <f t="shared" si="3"/>
        <v>0</v>
      </c>
      <c r="M27" s="691">
        <f t="shared" ca="1" si="3"/>
        <v>0</v>
      </c>
      <c r="N27" s="691">
        <f t="shared" si="3"/>
        <v>8113.6680278891326</v>
      </c>
      <c r="O27" s="691">
        <f t="shared" ca="1" si="3"/>
        <v>9844.8556743414592</v>
      </c>
      <c r="P27" s="691">
        <f t="shared" si="3"/>
        <v>435.29092480757419</v>
      </c>
      <c r="Q27" s="691">
        <f t="shared" si="3"/>
        <v>947.79502122779172</v>
      </c>
      <c r="R27" s="691">
        <f t="shared" ca="1" si="3"/>
        <v>520975.99753985944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2283.5753637292528</v>
      </c>
      <c r="D40" s="681">
        <f ca="1">tertiair!C20</f>
        <v>161.04747843655298</v>
      </c>
      <c r="E40" s="681">
        <f ca="1">tertiair!D20</f>
        <v>8228.5851465095784</v>
      </c>
      <c r="F40" s="681">
        <f>tertiair!E20</f>
        <v>20.067370115599612</v>
      </c>
      <c r="G40" s="681">
        <f ca="1">tertiair!F20</f>
        <v>869.80607576719262</v>
      </c>
      <c r="H40" s="681">
        <f>tertiair!G20</f>
        <v>0</v>
      </c>
      <c r="I40" s="681">
        <f>tertiair!H20</f>
        <v>0</v>
      </c>
      <c r="J40" s="681">
        <f>tertiair!I20</f>
        <v>0</v>
      </c>
      <c r="K40" s="681">
        <f>tertiair!J20</f>
        <v>5.6781423084505843E-3</v>
      </c>
      <c r="L40" s="681">
        <f>tertiair!K20</f>
        <v>0</v>
      </c>
      <c r="M40" s="681">
        <f ca="1">tertiair!L20</f>
        <v>0</v>
      </c>
      <c r="N40" s="681">
        <f>tertiair!M20</f>
        <v>0</v>
      </c>
      <c r="O40" s="681">
        <f ca="1">tertiair!N20</f>
        <v>0</v>
      </c>
      <c r="P40" s="681">
        <f>tertiair!O20</f>
        <v>0</v>
      </c>
      <c r="Q40" s="764">
        <f>tertiair!P20</f>
        <v>0</v>
      </c>
      <c r="R40" s="843">
        <f t="shared" ca="1" si="4"/>
        <v>11563.087112700483</v>
      </c>
    </row>
    <row r="41" spans="1:18">
      <c r="A41" s="815" t="s">
        <v>214</v>
      </c>
      <c r="B41" s="822"/>
      <c r="C41" s="681">
        <f ca="1">huishoudens!B12</f>
        <v>2021.8009334925239</v>
      </c>
      <c r="D41" s="681">
        <f ca="1">huishoudens!C12</f>
        <v>0</v>
      </c>
      <c r="E41" s="681">
        <f>huishoudens!D12</f>
        <v>10325.484158069181</v>
      </c>
      <c r="F41" s="681">
        <f>huishoudens!E12</f>
        <v>221.47791409244493</v>
      </c>
      <c r="G41" s="681">
        <f>huishoudens!F12</f>
        <v>5706.7771251895801</v>
      </c>
      <c r="H41" s="681">
        <f>huishoudens!G12</f>
        <v>0</v>
      </c>
      <c r="I41" s="681">
        <f>huishoudens!H12</f>
        <v>0</v>
      </c>
      <c r="J41" s="681">
        <f>huishoudens!I12</f>
        <v>0</v>
      </c>
      <c r="K41" s="681">
        <f>huishoudens!J12</f>
        <v>43.12110726918894</v>
      </c>
      <c r="L41" s="681">
        <f>huishoudens!K12</f>
        <v>0</v>
      </c>
      <c r="M41" s="681">
        <f>huishoudens!L12</f>
        <v>0</v>
      </c>
      <c r="N41" s="681">
        <f>huishoudens!M12</f>
        <v>0</v>
      </c>
      <c r="O41" s="681">
        <f>huishoudens!N12</f>
        <v>0</v>
      </c>
      <c r="P41" s="681">
        <f>huishoudens!O12</f>
        <v>0</v>
      </c>
      <c r="Q41" s="764">
        <f>huishoudens!P12</f>
        <v>0</v>
      </c>
      <c r="R41" s="843">
        <f t="shared" ca="1" si="4"/>
        <v>18318.66123811292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8565.331291470904</v>
      </c>
      <c r="D43" s="681">
        <f ca="1">industrie!C22</f>
        <v>0</v>
      </c>
      <c r="E43" s="681">
        <f>industrie!D22</f>
        <v>19002.820150572465</v>
      </c>
      <c r="F43" s="681">
        <f>industrie!E22</f>
        <v>166.41505655729887</v>
      </c>
      <c r="G43" s="681">
        <f>industrie!F22</f>
        <v>2572.8645862464036</v>
      </c>
      <c r="H43" s="681">
        <f>industrie!G22</f>
        <v>0</v>
      </c>
      <c r="I43" s="681">
        <f>industrie!H22</f>
        <v>0</v>
      </c>
      <c r="J43" s="681">
        <f>industrie!I22</f>
        <v>0</v>
      </c>
      <c r="K43" s="681">
        <f>industrie!J22</f>
        <v>4.4855405428212078</v>
      </c>
      <c r="L43" s="681">
        <f>industrie!K22</f>
        <v>0</v>
      </c>
      <c r="M43" s="681">
        <f>industrie!L22</f>
        <v>0</v>
      </c>
      <c r="N43" s="681">
        <f>industrie!M22</f>
        <v>0</v>
      </c>
      <c r="O43" s="681">
        <f>industrie!N22</f>
        <v>0</v>
      </c>
      <c r="P43" s="681">
        <f>industrie!O22</f>
        <v>0</v>
      </c>
      <c r="Q43" s="764">
        <f>industrie!P22</f>
        <v>0</v>
      </c>
      <c r="R43" s="842">
        <f t="shared" ca="1" si="4"/>
        <v>30311.916625389891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12870.70758869268</v>
      </c>
      <c r="D46" s="717">
        <f t="shared" ref="D46:Q46" ca="1" si="5">SUM(D39:D45)</f>
        <v>161.04747843655298</v>
      </c>
      <c r="E46" s="717">
        <f t="shared" ca="1" si="5"/>
        <v>37556.88945515122</v>
      </c>
      <c r="F46" s="717">
        <f t="shared" si="5"/>
        <v>407.9603407653434</v>
      </c>
      <c r="G46" s="717">
        <f t="shared" ca="1" si="5"/>
        <v>9149.4477872031766</v>
      </c>
      <c r="H46" s="717">
        <f t="shared" si="5"/>
        <v>0</v>
      </c>
      <c r="I46" s="717">
        <f t="shared" si="5"/>
        <v>0</v>
      </c>
      <c r="J46" s="717">
        <f t="shared" si="5"/>
        <v>0</v>
      </c>
      <c r="K46" s="717">
        <f t="shared" si="5"/>
        <v>47.612325954318592</v>
      </c>
      <c r="L46" s="717">
        <f t="shared" si="5"/>
        <v>0</v>
      </c>
      <c r="M46" s="717">
        <f t="shared" ca="1" si="5"/>
        <v>0</v>
      </c>
      <c r="N46" s="717">
        <f t="shared" si="5"/>
        <v>0</v>
      </c>
      <c r="O46" s="717">
        <f t="shared" ca="1" si="5"/>
        <v>0</v>
      </c>
      <c r="P46" s="717">
        <f t="shared" si="5"/>
        <v>0</v>
      </c>
      <c r="Q46" s="717">
        <f t="shared" si="5"/>
        <v>0</v>
      </c>
      <c r="R46" s="717">
        <f ca="1">SUM(R39:R45)</f>
        <v>60193.66497620329</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0.92378155887507574</v>
      </c>
      <c r="D49" s="681">
        <f ca="1">transport!C58</f>
        <v>0</v>
      </c>
      <c r="E49" s="681">
        <f>transport!D58</f>
        <v>0</v>
      </c>
      <c r="F49" s="681">
        <f>transport!E58</f>
        <v>0</v>
      </c>
      <c r="G49" s="681">
        <f>transport!F58</f>
        <v>0</v>
      </c>
      <c r="H49" s="681">
        <f>transport!G58</f>
        <v>151.4629028305628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152.38668438943787</v>
      </c>
    </row>
    <row r="50" spans="1:18">
      <c r="A50" s="818" t="s">
        <v>296</v>
      </c>
      <c r="B50" s="828"/>
      <c r="C50" s="687">
        <f ca="1">transport!B18</f>
        <v>33.711498359572346</v>
      </c>
      <c r="D50" s="687">
        <f>transport!C18</f>
        <v>0</v>
      </c>
      <c r="E50" s="687">
        <f>transport!D18</f>
        <v>105.21873856792089</v>
      </c>
      <c r="F50" s="687">
        <f>transport!E18</f>
        <v>51.213949755236804</v>
      </c>
      <c r="G50" s="687">
        <f>transport!F18</f>
        <v>0</v>
      </c>
      <c r="H50" s="687">
        <f>transport!G18</f>
        <v>28979.540629368377</v>
      </c>
      <c r="I50" s="687">
        <f>transport!H18</f>
        <v>6494.6736838367333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35664.358499887843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34.635279918447424</v>
      </c>
      <c r="D52" s="717">
        <f t="shared" ref="D52:Q52" ca="1" si="6">SUM(D48:D51)</f>
        <v>0</v>
      </c>
      <c r="E52" s="717">
        <f t="shared" si="6"/>
        <v>105.21873856792089</v>
      </c>
      <c r="F52" s="717">
        <f t="shared" si="6"/>
        <v>51.213949755236804</v>
      </c>
      <c r="G52" s="717">
        <f t="shared" si="6"/>
        <v>0</v>
      </c>
      <c r="H52" s="717">
        <f t="shared" si="6"/>
        <v>29131.003532198942</v>
      </c>
      <c r="I52" s="717">
        <f t="shared" si="6"/>
        <v>6494.6736838367333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35816.745184277279</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41.876877508072681</v>
      </c>
      <c r="D54" s="687">
        <f ca="1">+landbouw!C12</f>
        <v>1977.7760509752118</v>
      </c>
      <c r="E54" s="687">
        <f>+landbouw!D12</f>
        <v>0</v>
      </c>
      <c r="F54" s="687">
        <f>+landbouw!E12</f>
        <v>2.6707254407560335</v>
      </c>
      <c r="G54" s="687">
        <f>+landbouw!F12</f>
        <v>347.18105471615388</v>
      </c>
      <c r="H54" s="687">
        <f>+landbouw!G12</f>
        <v>0</v>
      </c>
      <c r="I54" s="687">
        <f>+landbouw!H12</f>
        <v>0</v>
      </c>
      <c r="J54" s="687">
        <f>+landbouw!I12</f>
        <v>0</v>
      </c>
      <c r="K54" s="687">
        <f>+landbouw!J12</f>
        <v>36.974363038347541</v>
      </c>
      <c r="L54" s="687">
        <f>+landbouw!K12</f>
        <v>0</v>
      </c>
      <c r="M54" s="687">
        <f>+landbouw!L12</f>
        <v>0</v>
      </c>
      <c r="N54" s="687">
        <f>+landbouw!M12</f>
        <v>0</v>
      </c>
      <c r="O54" s="687">
        <f>+landbouw!N12</f>
        <v>0</v>
      </c>
      <c r="P54" s="687">
        <f>+landbouw!O12</f>
        <v>0</v>
      </c>
      <c r="Q54" s="688">
        <f>+landbouw!P12</f>
        <v>0</v>
      </c>
      <c r="R54" s="716">
        <f ca="1">SUM(C54:Q54)</f>
        <v>2406.4790716785424</v>
      </c>
    </row>
    <row r="55" spans="1:18" ht="15" thickBot="1">
      <c r="A55" s="818" t="s">
        <v>690</v>
      </c>
      <c r="B55" s="828"/>
      <c r="C55" s="687">
        <f ca="1">C25*'EF ele_warmte'!B12</f>
        <v>33.901303901903042</v>
      </c>
      <c r="D55" s="687"/>
      <c r="E55" s="687">
        <f>E25*EF_CO2_aardgas</f>
        <v>1028.7163278987839</v>
      </c>
      <c r="F55" s="687"/>
      <c r="G55" s="687"/>
      <c r="H55" s="687"/>
      <c r="I55" s="687"/>
      <c r="J55" s="687"/>
      <c r="K55" s="687"/>
      <c r="L55" s="687"/>
      <c r="M55" s="687"/>
      <c r="N55" s="687"/>
      <c r="O55" s="687"/>
      <c r="P55" s="687"/>
      <c r="Q55" s="688"/>
      <c r="R55" s="716">
        <f ca="1">SUM(C55:Q55)</f>
        <v>1062.6176318006869</v>
      </c>
    </row>
    <row r="56" spans="1:18" ht="15.75" thickBot="1">
      <c r="A56" s="816" t="s">
        <v>691</v>
      </c>
      <c r="B56" s="829"/>
      <c r="C56" s="717">
        <f ca="1">SUM(C54:C55)</f>
        <v>75.77818140997573</v>
      </c>
      <c r="D56" s="717">
        <f t="shared" ref="D56:Q56" ca="1" si="7">SUM(D54:D55)</f>
        <v>1977.7760509752118</v>
      </c>
      <c r="E56" s="717">
        <f t="shared" si="7"/>
        <v>1028.7163278987839</v>
      </c>
      <c r="F56" s="717">
        <f t="shared" si="7"/>
        <v>2.6707254407560335</v>
      </c>
      <c r="G56" s="717">
        <f t="shared" si="7"/>
        <v>347.18105471615388</v>
      </c>
      <c r="H56" s="717">
        <f t="shared" si="7"/>
        <v>0</v>
      </c>
      <c r="I56" s="717">
        <f t="shared" si="7"/>
        <v>0</v>
      </c>
      <c r="J56" s="717">
        <f t="shared" si="7"/>
        <v>0</v>
      </c>
      <c r="K56" s="717">
        <f t="shared" si="7"/>
        <v>36.974363038347541</v>
      </c>
      <c r="L56" s="717">
        <f t="shared" si="7"/>
        <v>0</v>
      </c>
      <c r="M56" s="717">
        <f t="shared" si="7"/>
        <v>0</v>
      </c>
      <c r="N56" s="717">
        <f t="shared" si="7"/>
        <v>0</v>
      </c>
      <c r="O56" s="717">
        <f t="shared" si="7"/>
        <v>0</v>
      </c>
      <c r="P56" s="717">
        <f t="shared" si="7"/>
        <v>0</v>
      </c>
      <c r="Q56" s="718">
        <f t="shared" si="7"/>
        <v>0</v>
      </c>
      <c r="R56" s="719">
        <f ca="1">SUM(R54:R55)</f>
        <v>3469.0967034792293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12981.121050021104</v>
      </c>
      <c r="D61" s="725">
        <f t="shared" ref="D61:Q61" ca="1" si="8">D46+D52+D56</f>
        <v>2138.8235294117649</v>
      </c>
      <c r="E61" s="725">
        <f t="shared" ca="1" si="8"/>
        <v>38690.824521617928</v>
      </c>
      <c r="F61" s="725">
        <f t="shared" si="8"/>
        <v>461.84501596133623</v>
      </c>
      <c r="G61" s="725">
        <f t="shared" ca="1" si="8"/>
        <v>9496.6288419193297</v>
      </c>
      <c r="H61" s="725">
        <f t="shared" si="8"/>
        <v>29131.003532198942</v>
      </c>
      <c r="I61" s="725">
        <f t="shared" si="8"/>
        <v>6494.6736838367333</v>
      </c>
      <c r="J61" s="725">
        <f t="shared" si="8"/>
        <v>0</v>
      </c>
      <c r="K61" s="725">
        <f t="shared" si="8"/>
        <v>84.586688992666126</v>
      </c>
      <c r="L61" s="725">
        <f t="shared" si="8"/>
        <v>0</v>
      </c>
      <c r="M61" s="725">
        <f t="shared" ca="1" si="8"/>
        <v>0</v>
      </c>
      <c r="N61" s="725">
        <f t="shared" si="8"/>
        <v>0</v>
      </c>
      <c r="O61" s="725">
        <f t="shared" ca="1" si="8"/>
        <v>0</v>
      </c>
      <c r="P61" s="725">
        <f t="shared" si="8"/>
        <v>0</v>
      </c>
      <c r="Q61" s="725">
        <f t="shared" si="8"/>
        <v>0</v>
      </c>
      <c r="R61" s="725">
        <f ca="1">R46+R52+R56</f>
        <v>99479.506863959788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0.10194585682025854</v>
      </c>
      <c r="D63" s="771">
        <f t="shared" ca="1" si="9"/>
        <v>0.21975289455280131</v>
      </c>
      <c r="E63" s="963">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57094.474829229905</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1026.7241364055301</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10435.734133447448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6300</v>
      </c>
      <c r="D76" s="946">
        <f>'lokale energieproductie'!C8</f>
        <v>7411.7647058823522</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1497.1764705882354</v>
      </c>
      <c r="R76" s="845">
        <v>0</v>
      </c>
    </row>
    <row r="77" spans="1:18" ht="15.75" thickBot="1">
      <c r="A77" s="741" t="s">
        <v>736</v>
      </c>
      <c r="B77" s="738">
        <f>'lokale energieproductie'!B9*IFERROR(SUM(I77:O77)/SUM(D77:O77),0)</f>
        <v>513</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1465.7142857142858</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69069.933099082875</v>
      </c>
      <c r="C78" s="743">
        <f>SUM(C72:C77)</f>
        <v>6300</v>
      </c>
      <c r="D78" s="744">
        <f t="shared" ref="D78:H78" si="10">SUM(D76:D77)</f>
        <v>7411.7647058823522</v>
      </c>
      <c r="E78" s="744">
        <f t="shared" si="10"/>
        <v>0</v>
      </c>
      <c r="F78" s="744">
        <f t="shared" si="10"/>
        <v>0</v>
      </c>
      <c r="G78" s="744">
        <f t="shared" si="10"/>
        <v>0</v>
      </c>
      <c r="H78" s="744">
        <f t="shared" si="10"/>
        <v>0</v>
      </c>
      <c r="I78" s="744">
        <f>SUM(I76:I77)</f>
        <v>0</v>
      </c>
      <c r="J78" s="744">
        <f>SUM(J76:J77)</f>
        <v>1465.7142857142858</v>
      </c>
      <c r="K78" s="744">
        <f t="shared" ref="K78:L78" si="11">SUM(K76:K77)</f>
        <v>0</v>
      </c>
      <c r="L78" s="744">
        <f t="shared" si="11"/>
        <v>0</v>
      </c>
      <c r="M78" s="744">
        <f>SUM(M76:M77)</f>
        <v>0</v>
      </c>
      <c r="N78" s="744">
        <f>SUM(N76:N77)</f>
        <v>0</v>
      </c>
      <c r="O78" s="853">
        <f>SUM(O76:O77)</f>
        <v>0</v>
      </c>
      <c r="P78" s="745">
        <v>0</v>
      </c>
      <c r="Q78" s="745">
        <f>SUM(Q76:Q77)</f>
        <v>1497.1764705882354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9000</v>
      </c>
      <c r="D87" s="767">
        <f>'lokale energieproductie'!C17</f>
        <v>10588.235294117647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2138.8235294117649</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9000</v>
      </c>
      <c r="D90" s="743">
        <f t="shared" ref="D90:H90" si="12">SUM(D87:D89)</f>
        <v>10588.235294117647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2138.8235294117649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19832.104967808307</v>
      </c>
      <c r="C4" s="447">
        <f>huishoudens!C8</f>
        <v>0</v>
      </c>
      <c r="D4" s="447">
        <f>huishoudens!D8</f>
        <v>51116.258208263265</v>
      </c>
      <c r="E4" s="447">
        <f>huishoudens!E8</f>
        <v>975.67363036319352</v>
      </c>
      <c r="F4" s="447">
        <f>huishoudens!F8</f>
        <v>21373.697098088312</v>
      </c>
      <c r="G4" s="447">
        <f>huishoudens!G8</f>
        <v>0</v>
      </c>
      <c r="H4" s="447">
        <f>huishoudens!H8</f>
        <v>0</v>
      </c>
      <c r="I4" s="447">
        <f>huishoudens!I8</f>
        <v>0</v>
      </c>
      <c r="J4" s="447">
        <f>huishoudens!J8</f>
        <v>121.81103748358458</v>
      </c>
      <c r="K4" s="447">
        <f>huishoudens!K8</f>
        <v>0</v>
      </c>
      <c r="L4" s="447">
        <f>huishoudens!L8</f>
        <v>0</v>
      </c>
      <c r="M4" s="447">
        <f>huishoudens!M8</f>
        <v>0</v>
      </c>
      <c r="N4" s="447">
        <f>huishoudens!N8</f>
        <v>6673.0185993688883</v>
      </c>
      <c r="O4" s="447">
        <f>huishoudens!O8</f>
        <v>420.59914251005074</v>
      </c>
      <c r="P4" s="448">
        <f>huishoudens!P8</f>
        <v>842.71674461480166</v>
      </c>
      <c r="Q4" s="449">
        <f>SUM(B4:P4)</f>
        <v>101355.87942850041</v>
      </c>
    </row>
    <row r="5" spans="1:17">
      <c r="A5" s="446" t="s">
        <v>149</v>
      </c>
      <c r="B5" s="447">
        <f ca="1">tertiair!B16</f>
        <v>21828.277967383201</v>
      </c>
      <c r="C5" s="447">
        <f ca="1">tertiair!C16</f>
        <v>732.85714285714289</v>
      </c>
      <c r="D5" s="447">
        <f ca="1">tertiair!D16</f>
        <v>40735.570032225631</v>
      </c>
      <c r="E5" s="447">
        <f>tertiair!E16</f>
        <v>88.402511522465247</v>
      </c>
      <c r="F5" s="447">
        <f ca="1">tertiair!F16</f>
        <v>3257.700658304092</v>
      </c>
      <c r="G5" s="447">
        <f>tertiair!G16</f>
        <v>0</v>
      </c>
      <c r="H5" s="447">
        <f>tertiair!H16</f>
        <v>0</v>
      </c>
      <c r="I5" s="447">
        <f>tertiair!I16</f>
        <v>0</v>
      </c>
      <c r="J5" s="447">
        <f>tertiair!J16</f>
        <v>1.6039950023871707E-2</v>
      </c>
      <c r="K5" s="447">
        <f>tertiair!K16</f>
        <v>0</v>
      </c>
      <c r="L5" s="447">
        <f ca="1">tertiair!L16</f>
        <v>0</v>
      </c>
      <c r="M5" s="447">
        <f>tertiair!M16</f>
        <v>0</v>
      </c>
      <c r="N5" s="447">
        <f ca="1">tertiair!N16</f>
        <v>0</v>
      </c>
      <c r="O5" s="447">
        <f>tertiair!O16</f>
        <v>14.691782297523464</v>
      </c>
      <c r="P5" s="448">
        <f>tertiair!P16</f>
        <v>105.07827661299004</v>
      </c>
      <c r="Q5" s="446">
        <f t="shared" ref="Q5:Q14" ca="1" si="0">SUM(B5:P5)</f>
        <v>66762.59441115307</v>
      </c>
    </row>
    <row r="6" spans="1:17">
      <c r="A6" s="446" t="s">
        <v>187</v>
      </c>
      <c r="B6" s="447">
        <f>'openbare verlichting'!B8</f>
        <v>571.60599999999999</v>
      </c>
      <c r="C6" s="447"/>
      <c r="D6" s="447"/>
      <c r="E6" s="447"/>
      <c r="F6" s="447"/>
      <c r="G6" s="447"/>
      <c r="H6" s="447"/>
      <c r="I6" s="447"/>
      <c r="J6" s="447"/>
      <c r="K6" s="447"/>
      <c r="L6" s="447"/>
      <c r="M6" s="447"/>
      <c r="N6" s="447"/>
      <c r="O6" s="447"/>
      <c r="P6" s="448"/>
      <c r="Q6" s="446">
        <f t="shared" si="0"/>
        <v>571.60599999999999</v>
      </c>
    </row>
    <row r="7" spans="1:17">
      <c r="A7" s="446" t="s">
        <v>105</v>
      </c>
      <c r="B7" s="447">
        <f>landbouw!B8</f>
        <v>410.77566871507196</v>
      </c>
      <c r="C7" s="447">
        <f>landbouw!C8</f>
        <v>9000</v>
      </c>
      <c r="D7" s="447">
        <f>landbouw!D8</f>
        <v>0</v>
      </c>
      <c r="E7" s="447">
        <f>landbouw!E8</f>
        <v>11.765310311700588</v>
      </c>
      <c r="F7" s="447">
        <f>landbouw!F8</f>
        <v>1300.3035757159321</v>
      </c>
      <c r="G7" s="447">
        <f>landbouw!G8</f>
        <v>0</v>
      </c>
      <c r="H7" s="447">
        <f>landbouw!H8</f>
        <v>0</v>
      </c>
      <c r="I7" s="447">
        <f>landbouw!I8</f>
        <v>0</v>
      </c>
      <c r="J7" s="447">
        <f>landbouw!J8</f>
        <v>104.44735321567103</v>
      </c>
      <c r="K7" s="447">
        <f>landbouw!K8</f>
        <v>0</v>
      </c>
      <c r="L7" s="447">
        <f>landbouw!L8</f>
        <v>0</v>
      </c>
      <c r="M7" s="447">
        <f>landbouw!M8</f>
        <v>0</v>
      </c>
      <c r="N7" s="447">
        <f>landbouw!N8</f>
        <v>0</v>
      </c>
      <c r="O7" s="447">
        <f>landbouw!O8</f>
        <v>0</v>
      </c>
      <c r="P7" s="448">
        <f>landbouw!P8</f>
        <v>0</v>
      </c>
      <c r="Q7" s="446">
        <f t="shared" si="0"/>
        <v>10827.291907958377</v>
      </c>
    </row>
    <row r="8" spans="1:17">
      <c r="A8" s="446" t="s">
        <v>611</v>
      </c>
      <c r="B8" s="447">
        <f>industrie!B18</f>
        <v>84018.434477160758</v>
      </c>
      <c r="C8" s="447">
        <f>industrie!C18</f>
        <v>0</v>
      </c>
      <c r="D8" s="447">
        <f>industrie!D18</f>
        <v>94073.367082041907</v>
      </c>
      <c r="E8" s="447">
        <f>industrie!E18</f>
        <v>733.10597602334303</v>
      </c>
      <c r="F8" s="447">
        <f>industrie!F18</f>
        <v>9636.1969522337204</v>
      </c>
      <c r="G8" s="447">
        <f>industrie!G18</f>
        <v>0</v>
      </c>
      <c r="H8" s="447">
        <f>industrie!H18</f>
        <v>0</v>
      </c>
      <c r="I8" s="447">
        <f>industrie!I18</f>
        <v>0</v>
      </c>
      <c r="J8" s="447">
        <f>industrie!J18</f>
        <v>12.671018482545787</v>
      </c>
      <c r="K8" s="447">
        <f>industrie!K18</f>
        <v>0</v>
      </c>
      <c r="L8" s="447">
        <f>industrie!L18</f>
        <v>0</v>
      </c>
      <c r="M8" s="447">
        <f>industrie!M18</f>
        <v>0</v>
      </c>
      <c r="N8" s="447">
        <f>industrie!N18</f>
        <v>3171.8370749725705</v>
      </c>
      <c r="O8" s="447">
        <f>industrie!O18</f>
        <v>0</v>
      </c>
      <c r="P8" s="448">
        <f>industrie!P18</f>
        <v>0</v>
      </c>
      <c r="Q8" s="446">
        <f t="shared" si="0"/>
        <v>191645.61258091484</v>
      </c>
    </row>
    <row r="9" spans="1:17" s="452" customFormat="1">
      <c r="A9" s="450" t="s">
        <v>537</v>
      </c>
      <c r="B9" s="451">
        <f>transport!B14</f>
        <v>330.68041616452666</v>
      </c>
      <c r="C9" s="451">
        <f>transport!C14</f>
        <v>0</v>
      </c>
      <c r="D9" s="451">
        <f>transport!D14</f>
        <v>520.88484439564797</v>
      </c>
      <c r="E9" s="451">
        <f>transport!E14</f>
        <v>225.61211345919295</v>
      </c>
      <c r="F9" s="451">
        <f>transport!F14</f>
        <v>0</v>
      </c>
      <c r="G9" s="451">
        <f>transport!G14</f>
        <v>108537.60535343961</v>
      </c>
      <c r="H9" s="451">
        <f>transport!H14</f>
        <v>26083.026842717805</v>
      </c>
      <c r="I9" s="451">
        <f>transport!I14</f>
        <v>0</v>
      </c>
      <c r="J9" s="451">
        <f>transport!J14</f>
        <v>0</v>
      </c>
      <c r="K9" s="451">
        <f>transport!K14</f>
        <v>0</v>
      </c>
      <c r="L9" s="451">
        <f>transport!L14</f>
        <v>0</v>
      </c>
      <c r="M9" s="451">
        <f>transport!M14</f>
        <v>8081.0962507116164</v>
      </c>
      <c r="N9" s="451">
        <f>transport!N14</f>
        <v>0</v>
      </c>
      <c r="O9" s="451">
        <f>transport!O14</f>
        <v>0</v>
      </c>
      <c r="P9" s="451">
        <f>transport!P14</f>
        <v>0</v>
      </c>
      <c r="Q9" s="450">
        <f>SUM(B9:P9)</f>
        <v>143778.90582088841</v>
      </c>
    </row>
    <row r="10" spans="1:17">
      <c r="A10" s="446" t="s">
        <v>527</v>
      </c>
      <c r="B10" s="447">
        <f>transport!B54</f>
        <v>9.061491930013414</v>
      </c>
      <c r="C10" s="447">
        <f>transport!C54</f>
        <v>0</v>
      </c>
      <c r="D10" s="447">
        <f>transport!D54</f>
        <v>0</v>
      </c>
      <c r="E10" s="447">
        <f>transport!E54</f>
        <v>0</v>
      </c>
      <c r="F10" s="447">
        <f>transport!F54</f>
        <v>0</v>
      </c>
      <c r="G10" s="447">
        <f>transport!G54</f>
        <v>567.27678962757602</v>
      </c>
      <c r="H10" s="447">
        <f>transport!H54</f>
        <v>0</v>
      </c>
      <c r="I10" s="447">
        <f>transport!I54</f>
        <v>0</v>
      </c>
      <c r="J10" s="447">
        <f>transport!J54</f>
        <v>0</v>
      </c>
      <c r="K10" s="447">
        <f>transport!K54</f>
        <v>0</v>
      </c>
      <c r="L10" s="447">
        <f>transport!L54</f>
        <v>0</v>
      </c>
      <c r="M10" s="447">
        <f>transport!M54</f>
        <v>32.571777177516523</v>
      </c>
      <c r="N10" s="447">
        <f>transport!N54</f>
        <v>0</v>
      </c>
      <c r="O10" s="447">
        <f>transport!O54</f>
        <v>0</v>
      </c>
      <c r="P10" s="448">
        <f>transport!P54</f>
        <v>0</v>
      </c>
      <c r="Q10" s="446">
        <f t="shared" si="0"/>
        <v>608.91005873510596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332.54224310140103</v>
      </c>
      <c r="C14" s="454"/>
      <c r="D14" s="454">
        <f>'SEAP template'!E25</f>
        <v>5092.6550886078403</v>
      </c>
      <c r="E14" s="454"/>
      <c r="F14" s="454"/>
      <c r="G14" s="454"/>
      <c r="H14" s="454"/>
      <c r="I14" s="454"/>
      <c r="J14" s="454"/>
      <c r="K14" s="454"/>
      <c r="L14" s="454"/>
      <c r="M14" s="454"/>
      <c r="N14" s="454"/>
      <c r="O14" s="454"/>
      <c r="P14" s="455"/>
      <c r="Q14" s="446">
        <f t="shared" si="0"/>
        <v>5425.1973317092416</v>
      </c>
    </row>
    <row r="15" spans="1:17" s="458" customFormat="1">
      <c r="A15" s="456" t="s">
        <v>531</v>
      </c>
      <c r="B15" s="457">
        <f ca="1">SUM(B4:B14)</f>
        <v>127333.48323226327</v>
      </c>
      <c r="C15" s="457">
        <f t="shared" ref="C15:Q15" ca="1" si="1">SUM(C4:C14)</f>
        <v>9732.8571428571431</v>
      </c>
      <c r="D15" s="457">
        <f t="shared" ca="1" si="1"/>
        <v>191538.73525553429</v>
      </c>
      <c r="E15" s="457">
        <f t="shared" si="1"/>
        <v>2034.5595416798953</v>
      </c>
      <c r="F15" s="457">
        <f t="shared" ca="1" si="1"/>
        <v>35567.898284342053</v>
      </c>
      <c r="G15" s="457">
        <f t="shared" si="1"/>
        <v>109104.88214306718</v>
      </c>
      <c r="H15" s="457">
        <f t="shared" si="1"/>
        <v>26083.026842717805</v>
      </c>
      <c r="I15" s="457">
        <f t="shared" si="1"/>
        <v>0</v>
      </c>
      <c r="J15" s="457">
        <f t="shared" si="1"/>
        <v>238.94544913182526</v>
      </c>
      <c r="K15" s="457">
        <f t="shared" si="1"/>
        <v>0</v>
      </c>
      <c r="L15" s="457">
        <f t="shared" ca="1" si="1"/>
        <v>0</v>
      </c>
      <c r="M15" s="457">
        <f t="shared" si="1"/>
        <v>8113.6680278891326</v>
      </c>
      <c r="N15" s="457">
        <f t="shared" ca="1" si="1"/>
        <v>9844.8556743414592</v>
      </c>
      <c r="O15" s="457">
        <f t="shared" si="1"/>
        <v>435.29092480757419</v>
      </c>
      <c r="P15" s="457">
        <f t="shared" si="1"/>
        <v>947.79502122779172</v>
      </c>
      <c r="Q15" s="457">
        <f t="shared" ca="1" si="1"/>
        <v>520975.99753985944</v>
      </c>
    </row>
    <row r="17" spans="1:17">
      <c r="A17" s="459" t="s">
        <v>532</v>
      </c>
      <c r="B17" s="776">
        <f ca="1">huishoudens!B10</f>
        <v>0.10194585682025854</v>
      </c>
      <c r="C17" s="776">
        <f ca="1">huishoudens!C10</f>
        <v>0.21975289455280131</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2021.8009334925239</v>
      </c>
      <c r="C22" s="447">
        <f t="shared" ref="C22:C32" ca="1" si="3">C4*$C$17</f>
        <v>0</v>
      </c>
      <c r="D22" s="447">
        <f t="shared" ref="D22:D32" si="4">D4*$D$17</f>
        <v>10325.484158069181</v>
      </c>
      <c r="E22" s="447">
        <f t="shared" ref="E22:E32" si="5">E4*$E$17</f>
        <v>221.47791409244493</v>
      </c>
      <c r="F22" s="447">
        <f t="shared" ref="F22:F32" si="6">F4*$F$17</f>
        <v>5706.7771251895801</v>
      </c>
      <c r="G22" s="447">
        <f t="shared" ref="G22:G32" si="7">G4*$G$17</f>
        <v>0</v>
      </c>
      <c r="H22" s="447">
        <f t="shared" ref="H22:H32" si="8">H4*$H$17</f>
        <v>0</v>
      </c>
      <c r="I22" s="447">
        <f t="shared" ref="I22:I32" si="9">I4*$I$17</f>
        <v>0</v>
      </c>
      <c r="J22" s="447">
        <f t="shared" ref="J22:J32" si="10">J4*$J$17</f>
        <v>43.12110726918894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18318.66123811292</v>
      </c>
    </row>
    <row r="23" spans="1:17">
      <c r="A23" s="446" t="s">
        <v>149</v>
      </c>
      <c r="B23" s="447">
        <f t="shared" ca="1" si="2"/>
        <v>2225.302500295652</v>
      </c>
      <c r="C23" s="447">
        <f t="shared" ca="1" si="3"/>
        <v>161.04747843655298</v>
      </c>
      <c r="D23" s="447">
        <f t="shared" ca="1" si="4"/>
        <v>8228.5851465095784</v>
      </c>
      <c r="E23" s="447">
        <f t="shared" si="5"/>
        <v>20.067370115599612</v>
      </c>
      <c r="F23" s="447">
        <f t="shared" ca="1" si="6"/>
        <v>869.80607576719262</v>
      </c>
      <c r="G23" s="447">
        <f t="shared" si="7"/>
        <v>0</v>
      </c>
      <c r="H23" s="447">
        <f t="shared" si="8"/>
        <v>0</v>
      </c>
      <c r="I23" s="447">
        <f t="shared" si="9"/>
        <v>0</v>
      </c>
      <c r="J23" s="447">
        <f t="shared" si="10"/>
        <v>5.6781423084505843E-3</v>
      </c>
      <c r="K23" s="447">
        <f t="shared" si="11"/>
        <v>0</v>
      </c>
      <c r="L23" s="447">
        <f t="shared" ca="1" si="12"/>
        <v>0</v>
      </c>
      <c r="M23" s="447">
        <f t="shared" si="13"/>
        <v>0</v>
      </c>
      <c r="N23" s="447">
        <f t="shared" ca="1" si="14"/>
        <v>0</v>
      </c>
      <c r="O23" s="447">
        <f t="shared" si="15"/>
        <v>0</v>
      </c>
      <c r="P23" s="448">
        <f t="shared" si="16"/>
        <v>0</v>
      </c>
      <c r="Q23" s="446">
        <f t="shared" ref="Q23:Q31" ca="1" si="17">SUM(B23:P23)</f>
        <v>11504.814249266883</v>
      </c>
    </row>
    <row r="24" spans="1:17">
      <c r="A24" s="446" t="s">
        <v>187</v>
      </c>
      <c r="B24" s="447">
        <f t="shared" ca="1" si="2"/>
        <v>58.272863433600705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58.272863433600705</v>
      </c>
    </row>
    <row r="25" spans="1:17">
      <c r="A25" s="446" t="s">
        <v>105</v>
      </c>
      <c r="B25" s="447">
        <f t="shared" ca="1" si="2"/>
        <v>41.876877508072681</v>
      </c>
      <c r="C25" s="447">
        <f t="shared" ca="1" si="3"/>
        <v>1977.7760509752118</v>
      </c>
      <c r="D25" s="447">
        <f t="shared" si="4"/>
        <v>0</v>
      </c>
      <c r="E25" s="447">
        <f t="shared" si="5"/>
        <v>2.6707254407560335</v>
      </c>
      <c r="F25" s="447">
        <f t="shared" si="6"/>
        <v>347.18105471615388</v>
      </c>
      <c r="G25" s="447">
        <f t="shared" si="7"/>
        <v>0</v>
      </c>
      <c r="H25" s="447">
        <f t="shared" si="8"/>
        <v>0</v>
      </c>
      <c r="I25" s="447">
        <f t="shared" si="9"/>
        <v>0</v>
      </c>
      <c r="J25" s="447">
        <f t="shared" si="10"/>
        <v>36.974363038347541</v>
      </c>
      <c r="K25" s="447">
        <f t="shared" si="11"/>
        <v>0</v>
      </c>
      <c r="L25" s="447">
        <f t="shared" si="12"/>
        <v>0</v>
      </c>
      <c r="M25" s="447">
        <f t="shared" si="13"/>
        <v>0</v>
      </c>
      <c r="N25" s="447">
        <f t="shared" si="14"/>
        <v>0</v>
      </c>
      <c r="O25" s="447">
        <f t="shared" si="15"/>
        <v>0</v>
      </c>
      <c r="P25" s="448">
        <f t="shared" si="16"/>
        <v>0</v>
      </c>
      <c r="Q25" s="446">
        <f t="shared" ca="1" si="17"/>
        <v>2406.4790716785424</v>
      </c>
    </row>
    <row r="26" spans="1:17">
      <c r="A26" s="446" t="s">
        <v>611</v>
      </c>
      <c r="B26" s="447">
        <f t="shared" ca="1" si="2"/>
        <v>8565.331291470904</v>
      </c>
      <c r="C26" s="447">
        <f t="shared" ca="1" si="3"/>
        <v>0</v>
      </c>
      <c r="D26" s="447">
        <f t="shared" si="4"/>
        <v>19002.820150572465</v>
      </c>
      <c r="E26" s="447">
        <f t="shared" si="5"/>
        <v>166.41505655729887</v>
      </c>
      <c r="F26" s="447">
        <f t="shared" si="6"/>
        <v>2572.8645862464036</v>
      </c>
      <c r="G26" s="447">
        <f t="shared" si="7"/>
        <v>0</v>
      </c>
      <c r="H26" s="447">
        <f t="shared" si="8"/>
        <v>0</v>
      </c>
      <c r="I26" s="447">
        <f t="shared" si="9"/>
        <v>0</v>
      </c>
      <c r="J26" s="447">
        <f t="shared" si="10"/>
        <v>4.4855405428212078</v>
      </c>
      <c r="K26" s="447">
        <f t="shared" si="11"/>
        <v>0</v>
      </c>
      <c r="L26" s="447">
        <f t="shared" si="12"/>
        <v>0</v>
      </c>
      <c r="M26" s="447">
        <f t="shared" si="13"/>
        <v>0</v>
      </c>
      <c r="N26" s="447">
        <f t="shared" si="14"/>
        <v>0</v>
      </c>
      <c r="O26" s="447">
        <f t="shared" si="15"/>
        <v>0</v>
      </c>
      <c r="P26" s="448">
        <f t="shared" si="16"/>
        <v>0</v>
      </c>
      <c r="Q26" s="446">
        <f t="shared" ca="1" si="17"/>
        <v>30311.916625389891</v>
      </c>
    </row>
    <row r="27" spans="1:17" s="452" customFormat="1">
      <c r="A27" s="450" t="s">
        <v>537</v>
      </c>
      <c r="B27" s="770">
        <f t="shared" ca="1" si="2"/>
        <v>33.711498359572346</v>
      </c>
      <c r="C27" s="451">
        <f t="shared" ca="1" si="3"/>
        <v>0</v>
      </c>
      <c r="D27" s="451">
        <f t="shared" si="4"/>
        <v>105.21873856792089</v>
      </c>
      <c r="E27" s="451">
        <f t="shared" si="5"/>
        <v>51.213949755236804</v>
      </c>
      <c r="F27" s="451">
        <f t="shared" si="6"/>
        <v>0</v>
      </c>
      <c r="G27" s="451">
        <f t="shared" si="7"/>
        <v>28979.540629368377</v>
      </c>
      <c r="H27" s="451">
        <f t="shared" si="8"/>
        <v>6494.6736838367333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35664.358499887843</v>
      </c>
    </row>
    <row r="28" spans="1:17" ht="16.5" customHeight="1">
      <c r="A28" s="446" t="s">
        <v>527</v>
      </c>
      <c r="B28" s="447">
        <f t="shared" ca="1" si="2"/>
        <v>0.92378155887507574</v>
      </c>
      <c r="C28" s="447">
        <f t="shared" ca="1" si="3"/>
        <v>0</v>
      </c>
      <c r="D28" s="447">
        <f t="shared" si="4"/>
        <v>0</v>
      </c>
      <c r="E28" s="447">
        <f t="shared" si="5"/>
        <v>0</v>
      </c>
      <c r="F28" s="447">
        <f t="shared" si="6"/>
        <v>0</v>
      </c>
      <c r="G28" s="447">
        <f t="shared" si="7"/>
        <v>151.4629028305628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152.38668438943787</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33.901303901903042</v>
      </c>
      <c r="C32" s="447">
        <f t="shared" ca="1" si="3"/>
        <v>0</v>
      </c>
      <c r="D32" s="447">
        <f t="shared" si="4"/>
        <v>1028.7163278987839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1062.6176318006869</v>
      </c>
    </row>
    <row r="33" spans="1:17" s="458" customFormat="1">
      <c r="A33" s="456" t="s">
        <v>531</v>
      </c>
      <c r="B33" s="457">
        <f ca="1">SUM(B22:B32)</f>
        <v>12981.121050021104</v>
      </c>
      <c r="C33" s="457">
        <f t="shared" ref="C33:Q33" ca="1" si="19">SUM(C22:C32)</f>
        <v>2138.8235294117649</v>
      </c>
      <c r="D33" s="457">
        <f t="shared" ca="1" si="19"/>
        <v>38690.824521617928</v>
      </c>
      <c r="E33" s="457">
        <f t="shared" si="19"/>
        <v>461.84501596133623</v>
      </c>
      <c r="F33" s="457">
        <f t="shared" ca="1" si="19"/>
        <v>9496.6288419193297</v>
      </c>
      <c r="G33" s="457">
        <f t="shared" si="19"/>
        <v>29131.003532198942</v>
      </c>
      <c r="H33" s="457">
        <f t="shared" si="19"/>
        <v>6494.6736838367333</v>
      </c>
      <c r="I33" s="457">
        <f t="shared" si="19"/>
        <v>0</v>
      </c>
      <c r="J33" s="457">
        <f t="shared" si="19"/>
        <v>84.58668899266614</v>
      </c>
      <c r="K33" s="457">
        <f t="shared" si="19"/>
        <v>0</v>
      </c>
      <c r="L33" s="457">
        <f t="shared" ca="1" si="19"/>
        <v>0</v>
      </c>
      <c r="M33" s="457">
        <f t="shared" si="19"/>
        <v>0</v>
      </c>
      <c r="N33" s="457">
        <f t="shared" ca="1" si="19"/>
        <v>0</v>
      </c>
      <c r="O33" s="457">
        <f t="shared" si="19"/>
        <v>0</v>
      </c>
      <c r="P33" s="457">
        <f t="shared" si="19"/>
        <v>0</v>
      </c>
      <c r="Q33" s="457">
        <f t="shared" ca="1" si="19"/>
        <v>99479.506863959818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57094.474829229905</v>
      </c>
      <c r="C4" s="1014"/>
      <c r="D4" s="1014"/>
      <c r="E4" s="1014"/>
      <c r="F4" s="1014"/>
      <c r="G4" s="1014"/>
      <c r="H4" s="1014"/>
      <c r="I4" s="1014"/>
      <c r="J4" s="1014"/>
      <c r="K4" s="1014"/>
      <c r="L4" s="1014"/>
      <c r="M4" s="1014"/>
      <c r="N4" s="1014"/>
      <c r="O4" s="1014"/>
      <c r="P4" s="1015">
        <f>'SEAP template'!Q72</f>
        <v>0</v>
      </c>
    </row>
    <row r="5" spans="1:16">
      <c r="A5" s="1019" t="s">
        <v>239</v>
      </c>
      <c r="B5" s="1014">
        <f>'SEAP template'!B73</f>
        <v>1026.7241364055301</v>
      </c>
      <c r="C5" s="1014"/>
      <c r="D5" s="1014"/>
      <c r="E5" s="1014"/>
      <c r="F5" s="1014"/>
      <c r="G5" s="1014"/>
      <c r="H5" s="1014"/>
      <c r="I5" s="1014"/>
      <c r="J5" s="1014"/>
      <c r="K5" s="1014"/>
      <c r="L5" s="1014"/>
      <c r="M5" s="1014"/>
      <c r="N5" s="1014"/>
      <c r="O5" s="1014"/>
      <c r="P5" s="1015">
        <f>'SEAP template'!Q73</f>
        <v>0</v>
      </c>
    </row>
    <row r="6" spans="1:16">
      <c r="A6" s="1019" t="s">
        <v>240</v>
      </c>
      <c r="B6" s="1014">
        <f>'SEAP template'!B74</f>
        <v>10435.734133447448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6300</v>
      </c>
      <c r="D8" s="1014">
        <f>'SEAP template'!D76</f>
        <v>7411.7647058823522</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1497.1764705882354</v>
      </c>
    </row>
    <row r="9" spans="1:16">
      <c r="A9" s="1020" t="s">
        <v>737</v>
      </c>
      <c r="B9" s="1014">
        <f>'SEAP template'!B77</f>
        <v>513</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1465.7142857142858</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69069.933099082875</v>
      </c>
      <c r="C10" s="1016">
        <f>SUM(C4:C9)</f>
        <v>6300</v>
      </c>
      <c r="D10" s="1016">
        <f t="shared" ref="D10:H10" si="0">SUM(D8:D9)</f>
        <v>7411.7647058823522</v>
      </c>
      <c r="E10" s="1016">
        <f t="shared" si="0"/>
        <v>0</v>
      </c>
      <c r="F10" s="1016">
        <f t="shared" si="0"/>
        <v>0</v>
      </c>
      <c r="G10" s="1016">
        <f t="shared" si="0"/>
        <v>0</v>
      </c>
      <c r="H10" s="1016">
        <f t="shared" si="0"/>
        <v>0</v>
      </c>
      <c r="I10" s="1016">
        <f>SUM(I8:I9)</f>
        <v>0</v>
      </c>
      <c r="J10" s="1016">
        <f>SUM(J8:J9)</f>
        <v>1465.7142857142858</v>
      </c>
      <c r="K10" s="1016">
        <f t="shared" ref="K10:L10" si="1">SUM(K8:K9)</f>
        <v>0</v>
      </c>
      <c r="L10" s="1016">
        <f t="shared" si="1"/>
        <v>0</v>
      </c>
      <c r="M10" s="1016">
        <f>SUM(M8:M9)</f>
        <v>0</v>
      </c>
      <c r="N10" s="1016">
        <f>SUM(N8:N9)</f>
        <v>0</v>
      </c>
      <c r="O10" s="1016">
        <f>SUM(O8:O9)</f>
        <v>0</v>
      </c>
      <c r="P10" s="1016">
        <f>SUM(P8:P9)</f>
        <v>1497.1764705882354</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0.10194585682025854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9000</v>
      </c>
      <c r="D17" s="1015">
        <f>'SEAP template'!D87</f>
        <v>10588.235294117647</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2138.8235294117649</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9000</v>
      </c>
      <c r="D20" s="1016">
        <f t="shared" ref="D20:H20" si="2">SUM(D17:D19)</f>
        <v>10588.235294117647</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2138.8235294117649</v>
      </c>
    </row>
    <row r="21" spans="1:16">
      <c r="B21" s="881"/>
    </row>
    <row r="22" spans="1:16">
      <c r="A22" s="459" t="s">
        <v>749</v>
      </c>
      <c r="B22" s="776" t="s">
        <v>747</v>
      </c>
      <c r="C22" s="776">
        <f ca="1">'EF ele_warmte'!B22</f>
        <v>0.21975289455280131</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0.10194585682025854</v>
      </c>
      <c r="C17" s="496">
        <f ca="1">'EF ele_warmte'!B22</f>
        <v>0.21975289455280131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0.10194585682025854</v>
      </c>
      <c r="C17" s="496">
        <f ca="1">'EF ele_warmte'!B22</f>
        <v>0.21975289455280131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0.10194585682025854</v>
      </c>
      <c r="C29" s="497">
        <f ca="1">'EF ele_warmte'!B22</f>
        <v>0.21975289455280131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5190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653.5</v>
      </c>
      <c r="C14" s="326"/>
      <c r="D14" s="326"/>
      <c r="E14" s="326"/>
      <c r="F14" s="326"/>
    </row>
    <row r="15" spans="1:6">
      <c r="A15" s="1310" t="s">
        <v>177</v>
      </c>
      <c r="B15" s="1311">
        <v>381</v>
      </c>
      <c r="C15" s="326"/>
      <c r="D15" s="326"/>
      <c r="E15" s="326"/>
      <c r="F15" s="326"/>
    </row>
    <row r="16" spans="1:6">
      <c r="A16" s="1310" t="s">
        <v>6</v>
      </c>
      <c r="B16" s="1311">
        <v>714</v>
      </c>
      <c r="C16" s="326"/>
      <c r="D16" s="326"/>
      <c r="E16" s="326"/>
      <c r="F16" s="326"/>
    </row>
    <row r="17" spans="1:6">
      <c r="A17" s="1310" t="s">
        <v>7</v>
      </c>
      <c r="B17" s="1311">
        <v>44</v>
      </c>
      <c r="C17" s="326"/>
      <c r="D17" s="326"/>
      <c r="E17" s="326"/>
      <c r="F17" s="326"/>
    </row>
    <row r="18" spans="1:6">
      <c r="A18" s="1310" t="s">
        <v>8</v>
      </c>
      <c r="B18" s="1311">
        <v>340</v>
      </c>
      <c r="C18" s="326"/>
      <c r="D18" s="326"/>
      <c r="E18" s="326"/>
      <c r="F18" s="326"/>
    </row>
    <row r="19" spans="1:6">
      <c r="A19" s="1310" t="s">
        <v>9</v>
      </c>
      <c r="B19" s="1311">
        <v>259</v>
      </c>
      <c r="C19" s="326"/>
      <c r="D19" s="326"/>
      <c r="E19" s="326"/>
      <c r="F19" s="326"/>
    </row>
    <row r="20" spans="1:6">
      <c r="A20" s="1310" t="s">
        <v>10</v>
      </c>
      <c r="B20" s="1311">
        <v>169</v>
      </c>
      <c r="C20" s="326"/>
      <c r="D20" s="326"/>
      <c r="E20" s="326"/>
      <c r="F20" s="326"/>
    </row>
    <row r="21" spans="1:6">
      <c r="A21" s="1310" t="s">
        <v>11</v>
      </c>
      <c r="B21" s="1311">
        <v>439</v>
      </c>
      <c r="C21" s="326"/>
      <c r="D21" s="326"/>
      <c r="E21" s="326"/>
      <c r="F21" s="326"/>
    </row>
    <row r="22" spans="1:6">
      <c r="A22" s="1310" t="s">
        <v>12</v>
      </c>
      <c r="B22" s="1311">
        <v>954</v>
      </c>
      <c r="C22" s="326"/>
      <c r="D22" s="326"/>
      <c r="E22" s="326"/>
      <c r="F22" s="326"/>
    </row>
    <row r="23" spans="1:6">
      <c r="A23" s="1310" t="s">
        <v>13</v>
      </c>
      <c r="B23" s="1311">
        <v>54</v>
      </c>
      <c r="C23" s="326"/>
      <c r="D23" s="326"/>
      <c r="E23" s="326"/>
      <c r="F23" s="326"/>
    </row>
    <row r="24" spans="1:6">
      <c r="A24" s="1310" t="s">
        <v>14</v>
      </c>
      <c r="B24" s="1311">
        <v>2</v>
      </c>
      <c r="C24" s="326"/>
      <c r="D24" s="326"/>
      <c r="E24" s="326"/>
      <c r="F24" s="326"/>
    </row>
    <row r="25" spans="1:6">
      <c r="A25" s="1310" t="s">
        <v>15</v>
      </c>
      <c r="B25" s="1311">
        <v>143</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20</v>
      </c>
      <c r="C29" s="326"/>
      <c r="D29" s="326"/>
      <c r="E29" s="326"/>
      <c r="F29" s="326"/>
    </row>
    <row r="30" spans="1:6">
      <c r="A30" s="1305" t="s">
        <v>679</v>
      </c>
      <c r="B30" s="1313">
        <v>14</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6</v>
      </c>
      <c r="F36" s="1311">
        <v>34457.628238026598</v>
      </c>
    </row>
    <row r="37" spans="1:6">
      <c r="A37" s="1310" t="s">
        <v>24</v>
      </c>
      <c r="B37" s="1310" t="s">
        <v>27</v>
      </c>
      <c r="C37" s="1311">
        <v>0</v>
      </c>
      <c r="D37" s="1311">
        <v>0</v>
      </c>
      <c r="E37" s="1311">
        <v>0</v>
      </c>
      <c r="F37" s="1311">
        <v>0</v>
      </c>
    </row>
    <row r="38" spans="1:6">
      <c r="A38" s="1310" t="s">
        <v>24</v>
      </c>
      <c r="B38" s="1310" t="s">
        <v>28</v>
      </c>
      <c r="C38" s="1311">
        <v>2</v>
      </c>
      <c r="D38" s="1311">
        <v>155646.29417152301</v>
      </c>
      <c r="E38" s="1311">
        <v>0</v>
      </c>
      <c r="F38" s="1311">
        <v>0</v>
      </c>
    </row>
    <row r="39" spans="1:6">
      <c r="A39" s="1310" t="s">
        <v>29</v>
      </c>
      <c r="B39" s="1310" t="s">
        <v>30</v>
      </c>
      <c r="C39" s="1311">
        <v>3761</v>
      </c>
      <c r="D39" s="1311">
        <v>56607151.947135396</v>
      </c>
      <c r="E39" s="1311">
        <v>5108</v>
      </c>
      <c r="F39" s="1311">
        <v>15507776.73251</v>
      </c>
    </row>
    <row r="40" spans="1:6">
      <c r="A40" s="1310" t="s">
        <v>29</v>
      </c>
      <c r="B40" s="1310" t="s">
        <v>28</v>
      </c>
      <c r="C40" s="1311">
        <v>0</v>
      </c>
      <c r="D40" s="1311">
        <v>0</v>
      </c>
      <c r="E40" s="1311">
        <v>0</v>
      </c>
      <c r="F40" s="1311">
        <v>0</v>
      </c>
    </row>
    <row r="41" spans="1:6">
      <c r="A41" s="1310" t="s">
        <v>31</v>
      </c>
      <c r="B41" s="1310" t="s">
        <v>32</v>
      </c>
      <c r="C41" s="1311">
        <v>68</v>
      </c>
      <c r="D41" s="1311">
        <v>2081500.731312</v>
      </c>
      <c r="E41" s="1311">
        <v>114</v>
      </c>
      <c r="F41" s="1311">
        <v>12438668.8938096</v>
      </c>
    </row>
    <row r="42" spans="1:6">
      <c r="A42" s="1310" t="s">
        <v>31</v>
      </c>
      <c r="B42" s="1310" t="s">
        <v>33</v>
      </c>
      <c r="C42" s="1311">
        <v>0</v>
      </c>
      <c r="D42" s="1311">
        <v>0</v>
      </c>
      <c r="E42" s="1311">
        <v>3</v>
      </c>
      <c r="F42" s="1311">
        <v>2457875.6717149201</v>
      </c>
    </row>
    <row r="43" spans="1:6">
      <c r="A43" s="1310" t="s">
        <v>31</v>
      </c>
      <c r="B43" s="1310" t="s">
        <v>34</v>
      </c>
      <c r="C43" s="1311">
        <v>0</v>
      </c>
      <c r="D43" s="1311">
        <v>0</v>
      </c>
      <c r="E43" s="1311">
        <v>0</v>
      </c>
      <c r="F43" s="1311">
        <v>0</v>
      </c>
    </row>
    <row r="44" spans="1:6">
      <c r="A44" s="1310" t="s">
        <v>31</v>
      </c>
      <c r="B44" s="1310" t="s">
        <v>35</v>
      </c>
      <c r="C44" s="1311">
        <v>16</v>
      </c>
      <c r="D44" s="1311">
        <v>1594946.3177553499</v>
      </c>
      <c r="E44" s="1311">
        <v>18</v>
      </c>
      <c r="F44" s="1311">
        <v>3918617.88779748</v>
      </c>
    </row>
    <row r="45" spans="1:6">
      <c r="A45" s="1310" t="s">
        <v>31</v>
      </c>
      <c r="B45" s="1310" t="s">
        <v>36</v>
      </c>
      <c r="C45" s="1311">
        <v>0</v>
      </c>
      <c r="D45" s="1311">
        <v>0</v>
      </c>
      <c r="E45" s="1311">
        <v>0</v>
      </c>
      <c r="F45" s="1311">
        <v>0</v>
      </c>
    </row>
    <row r="46" spans="1:6">
      <c r="A46" s="1310" t="s">
        <v>31</v>
      </c>
      <c r="B46" s="1310" t="s">
        <v>37</v>
      </c>
      <c r="C46" s="1311">
        <v>0</v>
      </c>
      <c r="D46" s="1311">
        <v>0</v>
      </c>
      <c r="E46" s="1311">
        <v>3</v>
      </c>
      <c r="F46" s="1311">
        <v>19792.964374819399</v>
      </c>
    </row>
    <row r="47" spans="1:6">
      <c r="A47" s="1310" t="s">
        <v>31</v>
      </c>
      <c r="B47" s="1310" t="s">
        <v>38</v>
      </c>
      <c r="C47" s="1311">
        <v>0</v>
      </c>
      <c r="D47" s="1311">
        <v>0</v>
      </c>
      <c r="E47" s="1311">
        <v>0</v>
      </c>
      <c r="F47" s="1311">
        <v>0</v>
      </c>
    </row>
    <row r="48" spans="1:6">
      <c r="A48" s="1310" t="s">
        <v>31</v>
      </c>
      <c r="B48" s="1310" t="s">
        <v>28</v>
      </c>
      <c r="C48" s="1311">
        <v>6</v>
      </c>
      <c r="D48" s="1311">
        <v>2199668.622750618</v>
      </c>
      <c r="E48" s="1311">
        <v>4</v>
      </c>
      <c r="F48" s="1311">
        <v>384743.74691367394</v>
      </c>
    </row>
    <row r="49" spans="1:6">
      <c r="A49" s="1310" t="s">
        <v>31</v>
      </c>
      <c r="B49" s="1310" t="s">
        <v>39</v>
      </c>
      <c r="C49" s="1311">
        <v>0</v>
      </c>
      <c r="D49" s="1311">
        <v>0</v>
      </c>
      <c r="E49" s="1311">
        <v>3</v>
      </c>
      <c r="F49" s="1311">
        <v>150376.34391995799</v>
      </c>
    </row>
    <row r="50" spans="1:6">
      <c r="A50" s="1310" t="s">
        <v>31</v>
      </c>
      <c r="B50" s="1310" t="s">
        <v>40</v>
      </c>
      <c r="C50" s="1311">
        <v>23</v>
      </c>
      <c r="D50" s="1311">
        <v>98302585.415714607</v>
      </c>
      <c r="E50" s="1311">
        <v>34</v>
      </c>
      <c r="F50" s="1311">
        <v>64648358.968630299</v>
      </c>
    </row>
    <row r="51" spans="1:6">
      <c r="A51" s="1310" t="s">
        <v>41</v>
      </c>
      <c r="B51" s="1310" t="s">
        <v>42</v>
      </c>
      <c r="C51" s="1311">
        <v>3</v>
      </c>
      <c r="D51" s="1311">
        <v>77086.854285349793</v>
      </c>
      <c r="E51" s="1311">
        <v>13</v>
      </c>
      <c r="F51" s="1311">
        <v>410775.66871507198</v>
      </c>
    </row>
    <row r="52" spans="1:6">
      <c r="A52" s="1310" t="s">
        <v>41</v>
      </c>
      <c r="B52" s="1310" t="s">
        <v>28</v>
      </c>
      <c r="C52" s="1311">
        <v>0</v>
      </c>
      <c r="D52" s="1311">
        <v>0</v>
      </c>
      <c r="E52" s="1311">
        <v>0</v>
      </c>
      <c r="F52" s="1311">
        <v>0</v>
      </c>
    </row>
    <row r="53" spans="1:6">
      <c r="A53" s="1310" t="s">
        <v>43</v>
      </c>
      <c r="B53" s="1310" t="s">
        <v>44</v>
      </c>
      <c r="C53" s="1311">
        <v>51</v>
      </c>
      <c r="D53" s="1311">
        <v>5092655.0886078402</v>
      </c>
      <c r="E53" s="1311">
        <v>149</v>
      </c>
      <c r="F53" s="1311">
        <v>332542.24310140102</v>
      </c>
    </row>
    <row r="54" spans="1:6">
      <c r="A54" s="1310" t="s">
        <v>45</v>
      </c>
      <c r="B54" s="1310" t="s">
        <v>46</v>
      </c>
      <c r="C54" s="1311">
        <v>0</v>
      </c>
      <c r="D54" s="1311">
        <v>0</v>
      </c>
      <c r="E54" s="1311">
        <v>1</v>
      </c>
      <c r="F54" s="1311">
        <v>571606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48</v>
      </c>
      <c r="D57" s="1311">
        <v>1887423.9837493901</v>
      </c>
      <c r="E57" s="1311">
        <v>118</v>
      </c>
      <c r="F57" s="1311">
        <v>1585888.57667371</v>
      </c>
    </row>
    <row r="58" spans="1:6">
      <c r="A58" s="1310" t="s">
        <v>48</v>
      </c>
      <c r="B58" s="1310" t="s">
        <v>50</v>
      </c>
      <c r="C58" s="1311">
        <v>29</v>
      </c>
      <c r="D58" s="1311">
        <v>1995029.4545559599</v>
      </c>
      <c r="E58" s="1311">
        <v>37</v>
      </c>
      <c r="F58" s="1311">
        <v>599130.18622151297</v>
      </c>
    </row>
    <row r="59" spans="1:6">
      <c r="A59" s="1310" t="s">
        <v>48</v>
      </c>
      <c r="B59" s="1310" t="s">
        <v>51</v>
      </c>
      <c r="C59" s="1311">
        <v>94</v>
      </c>
      <c r="D59" s="1311">
        <v>35567044.107985303</v>
      </c>
      <c r="E59" s="1311">
        <v>172</v>
      </c>
      <c r="F59" s="1311">
        <v>8233491.9262837004</v>
      </c>
    </row>
    <row r="60" spans="1:6">
      <c r="A60" s="1310" t="s">
        <v>48</v>
      </c>
      <c r="B60" s="1310" t="s">
        <v>52</v>
      </c>
      <c r="C60" s="1311">
        <v>46</v>
      </c>
      <c r="D60" s="1311">
        <v>2398917.9653429301</v>
      </c>
      <c r="E60" s="1311">
        <v>61</v>
      </c>
      <c r="F60" s="1311">
        <v>2319504.0119647901</v>
      </c>
    </row>
    <row r="61" spans="1:6">
      <c r="A61" s="1310" t="s">
        <v>48</v>
      </c>
      <c r="B61" s="1310" t="s">
        <v>53</v>
      </c>
      <c r="C61" s="1311">
        <v>95</v>
      </c>
      <c r="D61" s="1311">
        <v>3127954.74473166</v>
      </c>
      <c r="E61" s="1311">
        <v>184</v>
      </c>
      <c r="F61" s="1311">
        <v>8506674.1049092691</v>
      </c>
    </row>
    <row r="62" spans="1:6">
      <c r="A62" s="1310" t="s">
        <v>48</v>
      </c>
      <c r="B62" s="1310" t="s">
        <v>54</v>
      </c>
      <c r="C62" s="1311">
        <v>4</v>
      </c>
      <c r="D62" s="1311">
        <v>135002.979765025</v>
      </c>
      <c r="E62" s="1311">
        <v>6</v>
      </c>
      <c r="F62" s="1311">
        <v>70589.161330215997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11</v>
      </c>
      <c r="F66" s="1311">
        <v>208872.99926985899</v>
      </c>
    </row>
    <row r="67" spans="1:6">
      <c r="A67" s="1310" t="s">
        <v>55</v>
      </c>
      <c r="B67" s="1310" t="s">
        <v>58</v>
      </c>
      <c r="C67" s="1311">
        <v>0</v>
      </c>
      <c r="D67" s="1311">
        <v>0</v>
      </c>
      <c r="E67" s="1311">
        <v>4</v>
      </c>
      <c r="F67" s="1311">
        <v>11508.1253328</v>
      </c>
    </row>
    <row r="68" spans="1:6">
      <c r="A68" s="1305" t="s">
        <v>55</v>
      </c>
      <c r="B68" s="1305" t="s">
        <v>59</v>
      </c>
      <c r="C68" s="1313">
        <v>6</v>
      </c>
      <c r="D68" s="1313">
        <v>408238.78267691599</v>
      </c>
      <c r="E68" s="1313">
        <v>10</v>
      </c>
      <c r="F68" s="1313">
        <v>207388.86477627599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76990709</v>
      </c>
      <c r="E73" s="445"/>
      <c r="F73" s="326"/>
    </row>
    <row r="74" spans="1:6">
      <c r="A74" s="1310" t="s">
        <v>63</v>
      </c>
      <c r="B74" s="1310" t="s">
        <v>632</v>
      </c>
      <c r="C74" s="1323" t="s">
        <v>634</v>
      </c>
      <c r="D74" s="1311">
        <v>6035864.7194651403</v>
      </c>
      <c r="E74" s="445"/>
      <c r="F74" s="326"/>
    </row>
    <row r="75" spans="1:6">
      <c r="A75" s="1310" t="s">
        <v>64</v>
      </c>
      <c r="B75" s="1310" t="s">
        <v>631</v>
      </c>
      <c r="C75" s="1323" t="s">
        <v>635</v>
      </c>
      <c r="D75" s="1311">
        <v>7741203</v>
      </c>
      <c r="E75" s="445"/>
      <c r="F75" s="326"/>
    </row>
    <row r="76" spans="1:6">
      <c r="A76" s="1310" t="s">
        <v>64</v>
      </c>
      <c r="B76" s="1310" t="s">
        <v>632</v>
      </c>
      <c r="C76" s="1323" t="s">
        <v>636</v>
      </c>
      <c r="D76" s="1311">
        <v>488874.71946514002</v>
      </c>
      <c r="E76" s="445"/>
      <c r="F76" s="326"/>
    </row>
    <row r="77" spans="1:6">
      <c r="A77" s="1310" t="s">
        <v>65</v>
      </c>
      <c r="B77" s="1310" t="s">
        <v>631</v>
      </c>
      <c r="C77" s="1323" t="s">
        <v>637</v>
      </c>
      <c r="D77" s="1311">
        <v>69837401</v>
      </c>
      <c r="E77" s="445"/>
      <c r="F77" s="326"/>
    </row>
    <row r="78" spans="1:6">
      <c r="A78" s="1305" t="s">
        <v>65</v>
      </c>
      <c r="B78" s="1305" t="s">
        <v>632</v>
      </c>
      <c r="C78" s="1305" t="s">
        <v>638</v>
      </c>
      <c r="D78" s="1313">
        <v>10456207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169016.56106971999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1026.7241364055301</v>
      </c>
      <c r="C89" s="326"/>
      <c r="D89" s="326"/>
      <c r="E89" s="326"/>
      <c r="F89" s="326"/>
    </row>
    <row r="90" spans="1:6">
      <c r="A90" s="1310" t="s">
        <v>525</v>
      </c>
      <c r="B90" s="1311">
        <v>57094.474829229905</v>
      </c>
      <c r="C90" s="326"/>
      <c r="D90" s="326"/>
      <c r="E90" s="326"/>
      <c r="F90" s="326"/>
    </row>
    <row r="91" spans="1:6">
      <c r="A91" s="1310" t="s">
        <v>67</v>
      </c>
      <c r="B91" s="1311">
        <v>4324.3282352983042</v>
      </c>
      <c r="C91" s="326"/>
      <c r="D91" s="326"/>
      <c r="E91" s="326"/>
      <c r="F91" s="326"/>
    </row>
    <row r="92" spans="1:6">
      <c r="A92" s="1305" t="s">
        <v>68</v>
      </c>
      <c r="B92" s="1306">
        <v>6111.4058981491426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1860</v>
      </c>
      <c r="C97" s="326"/>
      <c r="D97" s="326"/>
      <c r="E97" s="326"/>
      <c r="F97" s="326"/>
    </row>
    <row r="98" spans="1:6">
      <c r="A98" s="1310" t="s">
        <v>71</v>
      </c>
      <c r="B98" s="1311">
        <v>2</v>
      </c>
      <c r="C98" s="326"/>
      <c r="D98" s="326"/>
      <c r="E98" s="326"/>
      <c r="F98" s="326"/>
    </row>
    <row r="99" spans="1:6">
      <c r="A99" s="1310" t="s">
        <v>72</v>
      </c>
      <c r="B99" s="1311">
        <v>106</v>
      </c>
      <c r="C99" s="326"/>
      <c r="D99" s="326"/>
      <c r="E99" s="326"/>
      <c r="F99" s="326"/>
    </row>
    <row r="100" spans="1:6">
      <c r="A100" s="1310" t="s">
        <v>73</v>
      </c>
      <c r="B100" s="1311">
        <v>136</v>
      </c>
      <c r="C100" s="326"/>
      <c r="D100" s="326"/>
      <c r="E100" s="326"/>
      <c r="F100" s="326"/>
    </row>
    <row r="101" spans="1:6">
      <c r="A101" s="1310" t="s">
        <v>74</v>
      </c>
      <c r="B101" s="1311">
        <v>70</v>
      </c>
      <c r="C101" s="326"/>
      <c r="D101" s="326"/>
      <c r="E101" s="326"/>
      <c r="F101" s="326"/>
    </row>
    <row r="102" spans="1:6">
      <c r="A102" s="1310" t="s">
        <v>75</v>
      </c>
      <c r="B102" s="1311">
        <v>52</v>
      </c>
      <c r="C102" s="326"/>
      <c r="D102" s="326"/>
      <c r="E102" s="326"/>
      <c r="F102" s="326"/>
    </row>
    <row r="103" spans="1:6">
      <c r="A103" s="1310" t="s">
        <v>76</v>
      </c>
      <c r="B103" s="1311">
        <v>136</v>
      </c>
      <c r="C103" s="326"/>
      <c r="D103" s="326"/>
      <c r="E103" s="326"/>
      <c r="F103" s="326"/>
    </row>
    <row r="104" spans="1:6">
      <c r="A104" s="1310" t="s">
        <v>77</v>
      </c>
      <c r="B104" s="1311">
        <v>1749</v>
      </c>
      <c r="C104" s="326"/>
      <c r="D104" s="326"/>
      <c r="E104" s="326"/>
      <c r="F104" s="326"/>
    </row>
    <row r="105" spans="1:6">
      <c r="A105" s="1305" t="s">
        <v>78</v>
      </c>
      <c r="B105" s="131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67</v>
      </c>
      <c r="C123" s="1311">
        <v>30</v>
      </c>
      <c r="D123" s="326"/>
      <c r="E123" s="326"/>
      <c r="F123" s="326"/>
    </row>
    <row r="124" spans="1:6">
      <c r="A124" s="1310" t="s">
        <v>88</v>
      </c>
      <c r="B124" s="1311">
        <v>0</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181</v>
      </c>
      <c r="C129" s="326"/>
      <c r="D129" s="326"/>
      <c r="E129" s="326"/>
      <c r="F129" s="326"/>
    </row>
    <row r="130" spans="1:6">
      <c r="A130" s="1310" t="s">
        <v>284</v>
      </c>
      <c r="B130" s="1311">
        <v>3</v>
      </c>
      <c r="C130" s="326"/>
      <c r="D130" s="326"/>
      <c r="E130" s="326"/>
      <c r="F130" s="326"/>
    </row>
    <row r="131" spans="1:6">
      <c r="A131" s="1310" t="s">
        <v>285</v>
      </c>
      <c r="B131" s="1311">
        <v>2</v>
      </c>
      <c r="C131" s="326"/>
      <c r="D131" s="326"/>
      <c r="E131" s="326"/>
      <c r="F131" s="326"/>
    </row>
    <row r="132" spans="1:6">
      <c r="A132" s="1305" t="s">
        <v>286</v>
      </c>
      <c r="B132" s="1306">
        <v>13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127333.48323226327</v>
      </c>
      <c r="C3" s="43" t="s">
        <v>163</v>
      </c>
      <c r="D3" s="43"/>
      <c r="E3" s="154"/>
      <c r="F3" s="43"/>
      <c r="G3" s="43"/>
      <c r="H3" s="43"/>
      <c r="I3" s="43"/>
      <c r="J3" s="43"/>
      <c r="K3" s="96"/>
    </row>
    <row r="4" spans="1:11">
      <c r="A4" s="352" t="s">
        <v>164</v>
      </c>
      <c r="B4" s="49">
        <f>IF(ISERROR('SEAP template'!B78+'SEAP template'!C78),0,'SEAP template'!B78+'SEAP template'!C78)</f>
        <v>75369.933099082875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1497.1764705882354</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0.10194585682025854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2138.8235294117649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9732.8571428571431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0.21975289455280131</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571.60599999999999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571.60599999999999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0.10194585682025854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58.272863433600705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15507.776732510001</v>
      </c>
      <c r="C5" s="17">
        <f>IF(ISERROR('Eigen informatie GS &amp; warmtenet'!B59),0,'Eigen informatie GS &amp; warmtenet'!B59)</f>
        <v>0</v>
      </c>
      <c r="D5" s="30">
        <f>(SUM(HH_hh_gas_kWh,HH_rest_gas_kWh)/1000)*0.903</f>
        <v>51116.258208263265</v>
      </c>
      <c r="E5" s="17">
        <f>B32*B41</f>
        <v>975.67363036319352</v>
      </c>
      <c r="F5" s="17">
        <f>B36*B45</f>
        <v>21373.697098088312</v>
      </c>
      <c r="G5" s="18"/>
      <c r="H5" s="17"/>
      <c r="I5" s="17"/>
      <c r="J5" s="17">
        <f>B35*B44+C35*C44</f>
        <v>121.81103748358458</v>
      </c>
      <c r="K5" s="17"/>
      <c r="L5" s="17"/>
      <c r="M5" s="17"/>
      <c r="N5" s="17">
        <f>B34*B43+C34*C43</f>
        <v>6673.0185993688883</v>
      </c>
      <c r="O5" s="17">
        <f>B52*B53*B54</f>
        <v>420.59914251005074</v>
      </c>
      <c r="P5" s="17">
        <f>B60*B61*B62/1000-B60*B61*B62/1000/B63</f>
        <v>842.71674461480166</v>
      </c>
    </row>
    <row r="6" spans="1:16">
      <c r="A6" s="16" t="s">
        <v>597</v>
      </c>
      <c r="B6" s="778">
        <f>kWh_PV_kleiner_dan_10kW</f>
        <v>4324.3282352983042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19832.104967808307</v>
      </c>
      <c r="C8" s="21">
        <f>C5</f>
        <v>0</v>
      </c>
      <c r="D8" s="21">
        <f>D5</f>
        <v>51116.258208263265</v>
      </c>
      <c r="E8" s="21">
        <f>E5</f>
        <v>975.67363036319352</v>
      </c>
      <c r="F8" s="21">
        <f>F5</f>
        <v>21373.697098088312</v>
      </c>
      <c r="G8" s="21"/>
      <c r="H8" s="21"/>
      <c r="I8" s="21"/>
      <c r="J8" s="21">
        <f>J5</f>
        <v>121.81103748358458</v>
      </c>
      <c r="K8" s="21"/>
      <c r="L8" s="21">
        <f>L5</f>
        <v>0</v>
      </c>
      <c r="M8" s="21">
        <f>M5</f>
        <v>0</v>
      </c>
      <c r="N8" s="21">
        <f>N5</f>
        <v>6673.0185993688883</v>
      </c>
      <c r="O8" s="21">
        <f>O5</f>
        <v>420.59914251005074</v>
      </c>
      <c r="P8" s="21">
        <f>P5</f>
        <v>842.71674461480166</v>
      </c>
    </row>
    <row r="9" spans="1:16">
      <c r="B9" s="19"/>
      <c r="C9" s="19"/>
      <c r="D9" s="254"/>
      <c r="E9" s="19"/>
      <c r="F9" s="19"/>
      <c r="G9" s="19"/>
      <c r="H9" s="19"/>
      <c r="I9" s="19"/>
      <c r="J9" s="19"/>
      <c r="K9" s="19"/>
      <c r="L9" s="19"/>
      <c r="M9" s="19"/>
      <c r="N9" s="19"/>
      <c r="O9" s="19"/>
      <c r="P9" s="19"/>
    </row>
    <row r="10" spans="1:16">
      <c r="A10" s="24" t="s">
        <v>207</v>
      </c>
      <c r="B10" s="25">
        <f ca="1">'EF ele_warmte'!B12</f>
        <v>0.10194585682025854</v>
      </c>
      <c r="C10" s="25">
        <f ca="1">'EF ele_warmte'!B22</f>
        <v>0.21975289455280131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2021.8009334925239</v>
      </c>
      <c r="C12" s="23">
        <f ca="1">C10*C8</f>
        <v>0</v>
      </c>
      <c r="D12" s="23">
        <f>D8*D10</f>
        <v>10325.484158069181</v>
      </c>
      <c r="E12" s="23">
        <f>E10*E8</f>
        <v>221.47791409244493</v>
      </c>
      <c r="F12" s="23">
        <f>F10*F8</f>
        <v>5706.7771251895801</v>
      </c>
      <c r="G12" s="23"/>
      <c r="H12" s="23"/>
      <c r="I12" s="23"/>
      <c r="J12" s="23">
        <f>J10*J8</f>
        <v>43.12110726918894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5190</v>
      </c>
      <c r="C26" s="36"/>
      <c r="D26" s="225"/>
    </row>
    <row r="27" spans="1:5" s="15" customFormat="1">
      <c r="A27" s="227" t="s">
        <v>860</v>
      </c>
      <c r="B27" s="37">
        <f>SUM(HH_hh_gas_aantal,HH_rest_gas_aantal)</f>
        <v>3761</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3572.95</v>
      </c>
      <c r="C31" s="34" t="s">
        <v>104</v>
      </c>
      <c r="D31" s="171"/>
    </row>
    <row r="32" spans="1:5">
      <c r="A32" s="168" t="s">
        <v>72</v>
      </c>
      <c r="B32" s="33">
        <f>IF((B21*($B$26-($B$27-0.05*$B$27)-$B$60))&lt;0,0,(B21*($B$26-($B$27-0.05*$B$27)-$B$60)))</f>
        <v>24.40097415251233</v>
      </c>
      <c r="C32" s="34" t="s">
        <v>104</v>
      </c>
      <c r="D32" s="171"/>
    </row>
    <row r="33" spans="1:6">
      <c r="A33" s="168" t="s">
        <v>73</v>
      </c>
      <c r="B33" s="33">
        <f>IF((B22*($B$26-($B$27-0.05*$B$27)-$B$60))&lt;0,0,B22*($B$26-($B$27-0.05*$B$27)-$B$60))</f>
        <v>396.22349357706315</v>
      </c>
      <c r="C33" s="34" t="s">
        <v>104</v>
      </c>
      <c r="D33" s="171"/>
    </row>
    <row r="34" spans="1:6">
      <c r="A34" s="168" t="s">
        <v>74</v>
      </c>
      <c r="B34" s="33">
        <f>IF((B24*($B$26-($B$27-0.05*$B$27)-$B$60))&lt;0,0,B24*($B$26-($B$27-0.05*$B$27)-$B$60))</f>
        <v>75.96134616539976</v>
      </c>
      <c r="C34" s="33">
        <f>B26*C24</f>
        <v>1063.4618275959642</v>
      </c>
      <c r="D34" s="230"/>
    </row>
    <row r="35" spans="1:6">
      <c r="A35" s="168" t="s">
        <v>76</v>
      </c>
      <c r="B35" s="33">
        <f>IF((B19*($B$26-($B$27-0.05*$B$27)-$B$60))&lt;0,0,B19*($B$26-($B$27-0.05*$B$27)-$B$60))</f>
        <v>10.607045290582441</v>
      </c>
      <c r="C35" s="33">
        <f>B35/2</f>
        <v>5.3035226452912205</v>
      </c>
      <c r="D35" s="230"/>
    </row>
    <row r="36" spans="1:6">
      <c r="A36" s="168" t="s">
        <v>77</v>
      </c>
      <c r="B36" s="33">
        <f>IF((B18*($B$26-($B$27-0.05*$B$27)-$B$60))&lt;0,0,B18*($B$26-($B$27-0.05*$B$27)-$B$60))</f>
        <v>1029.8571408144421</v>
      </c>
      <c r="C36" s="34" t="s">
        <v>104</v>
      </c>
      <c r="D36" s="171"/>
    </row>
    <row r="37" spans="1:6">
      <c r="A37" s="168" t="s">
        <v>78</v>
      </c>
      <c r="B37" s="33">
        <f>B60</f>
        <v>80</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212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80</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21315.277967383201</v>
      </c>
      <c r="C5" s="17">
        <f>IF(ISERROR('Eigen informatie GS &amp; warmtenet'!B60),0,'Eigen informatie GS &amp; warmtenet'!B60)</f>
        <v>0</v>
      </c>
      <c r="D5" s="30">
        <f>SUM(D6:D12)</f>
        <v>40735.570032225631</v>
      </c>
      <c r="E5" s="17">
        <f>SUM(E6:E12)</f>
        <v>88.402511522465247</v>
      </c>
      <c r="F5" s="17">
        <f>SUM(F6:F12)</f>
        <v>3257.700658304092</v>
      </c>
      <c r="G5" s="18"/>
      <c r="H5" s="17"/>
      <c r="I5" s="17"/>
      <c r="J5" s="17">
        <f>SUM(J6:J12)</f>
        <v>1.6039950023871707E-2</v>
      </c>
      <c r="K5" s="17"/>
      <c r="L5" s="17"/>
      <c r="M5" s="17"/>
      <c r="N5" s="17">
        <f>SUM(N6:N12)</f>
        <v>626.20435433160912</v>
      </c>
      <c r="O5" s="17">
        <f>B38*B39*B40</f>
        <v>14.691782297523464</v>
      </c>
      <c r="P5" s="17">
        <f>B46*B47*B48/1000-B46*B47*B48/1000/B49</f>
        <v>105.07827661299004</v>
      </c>
      <c r="R5" s="32"/>
    </row>
    <row r="6" spans="1:18">
      <c r="A6" s="32" t="s">
        <v>53</v>
      </c>
      <c r="B6" s="37">
        <f>B26</f>
        <v>8506.6741049092689</v>
      </c>
      <c r="C6" s="33"/>
      <c r="D6" s="37">
        <f>IF(ISERROR(TER_kantoor_gas_kWh/1000),0,TER_kantoor_gas_kWh/1000)*0.903</f>
        <v>2824.5431344926892</v>
      </c>
      <c r="E6" s="33">
        <f>$C$26*'E Balans VL '!I12/100/3.6*1000000</f>
        <v>2.0268897077222023</v>
      </c>
      <c r="F6" s="33">
        <f>$C$26*('E Balans VL '!L12+'E Balans VL '!N12)/100/3.6*1000000</f>
        <v>738.8879786579671</v>
      </c>
      <c r="G6" s="34"/>
      <c r="H6" s="33"/>
      <c r="I6" s="33"/>
      <c r="J6" s="33">
        <f>$C$26*('E Balans VL '!D12+'E Balans VL '!E12)/100/3.6*1000000</f>
        <v>0</v>
      </c>
      <c r="K6" s="33"/>
      <c r="L6" s="33"/>
      <c r="M6" s="33"/>
      <c r="N6" s="33">
        <f>$C$26*'E Balans VL '!Y12/100/3.6*1000000</f>
        <v>11.370360026611777</v>
      </c>
      <c r="O6" s="33"/>
      <c r="P6" s="33"/>
      <c r="R6" s="32"/>
    </row>
    <row r="7" spans="1:18">
      <c r="A7" s="32" t="s">
        <v>52</v>
      </c>
      <c r="B7" s="37">
        <f t="shared" ref="B7:B12" si="0">B27</f>
        <v>2319.5040119647902</v>
      </c>
      <c r="C7" s="33"/>
      <c r="D7" s="37">
        <f>IF(ISERROR(TER_horeca_gas_kWh/1000),0,TER_horeca_gas_kWh/1000)*0.903</f>
        <v>2166.222922704666</v>
      </c>
      <c r="E7" s="33">
        <f>$C$27*'E Balans VL '!I9/100/3.6*1000000</f>
        <v>0</v>
      </c>
      <c r="F7" s="33">
        <f>$C$27*('E Balans VL '!L9+'E Balans VL '!N9)/100/3.6*1000000</f>
        <v>188.99759994879591</v>
      </c>
      <c r="G7" s="34"/>
      <c r="H7" s="33"/>
      <c r="I7" s="33"/>
      <c r="J7" s="33">
        <f>$C$27*('E Balans VL '!D9+'E Balans VL '!E9)/100/3.6*1000000</f>
        <v>0</v>
      </c>
      <c r="K7" s="33"/>
      <c r="L7" s="33"/>
      <c r="M7" s="33"/>
      <c r="N7" s="33">
        <f>$C$27*'E Balans VL '!Y9/100/3.6*1000000</f>
        <v>0.64245942829443747</v>
      </c>
      <c r="O7" s="33"/>
      <c r="P7" s="33"/>
      <c r="R7" s="32"/>
    </row>
    <row r="8" spans="1:18">
      <c r="A8" s="6" t="s">
        <v>51</v>
      </c>
      <c r="B8" s="37">
        <f t="shared" si="0"/>
        <v>8233.4919262837011</v>
      </c>
      <c r="C8" s="33"/>
      <c r="D8" s="37">
        <f>IF(ISERROR(TER_handel_gas_kWh/1000),0,TER_handel_gas_kWh/1000)*0.903</f>
        <v>32117.04082951073</v>
      </c>
      <c r="E8" s="33">
        <f>$C$28*'E Balans VL '!I13/100/3.6*1000000</f>
        <v>65.815361259557307</v>
      </c>
      <c r="F8" s="33">
        <f>$C$28*('E Balans VL '!L13+'E Balans VL '!N13)/100/3.6*1000000</f>
        <v>817.94624050424579</v>
      </c>
      <c r="G8" s="34"/>
      <c r="H8" s="33"/>
      <c r="I8" s="33"/>
      <c r="J8" s="33">
        <f>$C$28*('E Balans VL '!D13+'E Balans VL '!E13)/100/3.6*1000000</f>
        <v>0</v>
      </c>
      <c r="K8" s="33"/>
      <c r="L8" s="33"/>
      <c r="M8" s="33"/>
      <c r="N8" s="33">
        <f>$C$28*'E Balans VL '!Y13/100/3.6*1000000</f>
        <v>3.0756993245285229</v>
      </c>
      <c r="O8" s="33"/>
      <c r="P8" s="33"/>
      <c r="R8" s="32"/>
    </row>
    <row r="9" spans="1:18">
      <c r="A9" s="32" t="s">
        <v>50</v>
      </c>
      <c r="B9" s="37">
        <f t="shared" si="0"/>
        <v>599.13018622151299</v>
      </c>
      <c r="C9" s="33"/>
      <c r="D9" s="37">
        <f>IF(ISERROR(TER_gezond_gas_kWh/1000),0,TER_gezond_gas_kWh/1000)*0.903</f>
        <v>1801.5115974640319</v>
      </c>
      <c r="E9" s="33">
        <f>$C$29*'E Balans VL '!I10/100/3.6*1000000</f>
        <v>0</v>
      </c>
      <c r="F9" s="33">
        <f>$C$29*('E Balans VL '!L10+'E Balans VL '!N10)/100/3.6*1000000</f>
        <v>54.620479717861627</v>
      </c>
      <c r="G9" s="34"/>
      <c r="H9" s="33"/>
      <c r="I9" s="33"/>
      <c r="J9" s="33">
        <f>$C$29*('E Balans VL '!D10+'E Balans VL '!E10)/100/3.6*1000000</f>
        <v>0</v>
      </c>
      <c r="K9" s="33"/>
      <c r="L9" s="33"/>
      <c r="M9" s="33"/>
      <c r="N9" s="33">
        <f>$C$29*'E Balans VL '!Y10/100/3.6*1000000</f>
        <v>4.3791047447453693</v>
      </c>
      <c r="O9" s="33"/>
      <c r="P9" s="33"/>
      <c r="R9" s="32"/>
    </row>
    <row r="10" spans="1:18">
      <c r="A10" s="32" t="s">
        <v>49</v>
      </c>
      <c r="B10" s="37">
        <f t="shared" si="0"/>
        <v>1585.8885766737101</v>
      </c>
      <c r="C10" s="33"/>
      <c r="D10" s="37">
        <f>IF(ISERROR(TER_ander_gas_kWh/1000),0,TER_ander_gas_kWh/1000)*0.903</f>
        <v>1704.3438573256992</v>
      </c>
      <c r="E10" s="33">
        <f>$C$30*'E Balans VL '!I14/100/3.6*1000000</f>
        <v>20.560260555185739</v>
      </c>
      <c r="F10" s="33">
        <f>$C$30*('E Balans VL '!L14+'E Balans VL '!N14)/100/3.6*1000000</f>
        <v>1454.4824877937053</v>
      </c>
      <c r="G10" s="34"/>
      <c r="H10" s="33"/>
      <c r="I10" s="33"/>
      <c r="J10" s="33">
        <f>$C$30*('E Balans VL '!D14+'E Balans VL '!E14)/100/3.6*1000000</f>
        <v>1.6039950023871707E-2</v>
      </c>
      <c r="K10" s="33"/>
      <c r="L10" s="33"/>
      <c r="M10" s="33"/>
      <c r="N10" s="33">
        <f>$C$30*'E Balans VL '!Y14/100/3.6*1000000</f>
        <v>606.51442809773653</v>
      </c>
      <c r="O10" s="33"/>
      <c r="P10" s="33"/>
      <c r="R10" s="32"/>
    </row>
    <row r="11" spans="1:18">
      <c r="A11" s="32" t="s">
        <v>54</v>
      </c>
      <c r="B11" s="37">
        <f t="shared" si="0"/>
        <v>70.589161330216001</v>
      </c>
      <c r="C11" s="33"/>
      <c r="D11" s="37">
        <f>IF(ISERROR(TER_onderwijs_gas_kWh/1000),0,TER_onderwijs_gas_kWh/1000)*0.903</f>
        <v>121.90769072781758</v>
      </c>
      <c r="E11" s="33">
        <f>$C$31*'E Balans VL '!I11/100/3.6*1000000</f>
        <v>0</v>
      </c>
      <c r="F11" s="33">
        <f>$C$31*('E Balans VL '!L11+'E Balans VL '!N11)/100/3.6*1000000</f>
        <v>2.7658716815163977</v>
      </c>
      <c r="G11" s="34"/>
      <c r="H11" s="33"/>
      <c r="I11" s="33"/>
      <c r="J11" s="33">
        <f>$C$31*('E Balans VL '!D11+'E Balans VL '!E11)/100/3.6*1000000</f>
        <v>0</v>
      </c>
      <c r="K11" s="33"/>
      <c r="L11" s="33"/>
      <c r="M11" s="33"/>
      <c r="N11" s="33">
        <f>$C$31*'E Balans VL '!Y11/100/3.6*1000000</f>
        <v>0.22230270969245294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513</v>
      </c>
      <c r="C13" s="243">
        <f ca="1">'lokale energieproductie'!O38+'lokale energieproductie'!O31</f>
        <v>732.85714285714289</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-1465.7142857142858</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21828.277967383201</v>
      </c>
      <c r="C16" s="21">
        <f t="shared" ca="1" si="1"/>
        <v>732.85714285714289</v>
      </c>
      <c r="D16" s="21">
        <f t="shared" ca="1" si="1"/>
        <v>40735.570032225631</v>
      </c>
      <c r="E16" s="21">
        <f t="shared" si="1"/>
        <v>88.402511522465247</v>
      </c>
      <c r="F16" s="21">
        <f t="shared" ca="1" si="1"/>
        <v>3257.700658304092</v>
      </c>
      <c r="G16" s="21">
        <f t="shared" si="1"/>
        <v>0</v>
      </c>
      <c r="H16" s="21">
        <f t="shared" si="1"/>
        <v>0</v>
      </c>
      <c r="I16" s="21">
        <f t="shared" si="1"/>
        <v>0</v>
      </c>
      <c r="J16" s="21">
        <f t="shared" si="1"/>
        <v>1.6039950023871707E-2</v>
      </c>
      <c r="K16" s="21">
        <f t="shared" si="1"/>
        <v>0</v>
      </c>
      <c r="L16" s="21">
        <f t="shared" ca="1" si="1"/>
        <v>0</v>
      </c>
      <c r="M16" s="21">
        <f t="shared" si="1"/>
        <v>0</v>
      </c>
      <c r="N16" s="21">
        <f t="shared" ca="1" si="1"/>
        <v>0</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0.10194585682025854</v>
      </c>
      <c r="C18" s="25">
        <f ca="1">'EF ele_warmte'!B22</f>
        <v>0.21975289455280131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2225.302500295652</v>
      </c>
      <c r="C20" s="23">
        <f t="shared" ref="C20:P20" ca="1" si="2">C16*C18</f>
        <v>161.04747843655298</v>
      </c>
      <c r="D20" s="23">
        <f t="shared" ca="1" si="2"/>
        <v>8228.5851465095784</v>
      </c>
      <c r="E20" s="23">
        <f t="shared" si="2"/>
        <v>20.067370115599612</v>
      </c>
      <c r="F20" s="23">
        <f t="shared" ca="1" si="2"/>
        <v>869.80607576719262</v>
      </c>
      <c r="G20" s="23">
        <f t="shared" si="2"/>
        <v>0</v>
      </c>
      <c r="H20" s="23">
        <f t="shared" si="2"/>
        <v>0</v>
      </c>
      <c r="I20" s="23">
        <f t="shared" si="2"/>
        <v>0</v>
      </c>
      <c r="J20" s="23">
        <f t="shared" si="2"/>
        <v>5.6781423084505843E-3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8506.6741049092689</v>
      </c>
      <c r="C26" s="39">
        <f>IF(ISERROR(B26*3.6/1000000/'E Balans VL '!Z12*100),0,B26*3.6/1000000/'E Balans VL '!Z12*100)</f>
        <v>0.24405567954837565</v>
      </c>
      <c r="D26" s="233" t="s">
        <v>835</v>
      </c>
      <c r="F26" s="6"/>
    </row>
    <row r="27" spans="1:18" ht="30">
      <c r="A27" s="228" t="s">
        <v>52</v>
      </c>
      <c r="B27" s="33">
        <f>IF(ISERROR(TER_horeca_ele_kWh/1000),0,TER_horeca_ele_kWh/1000)</f>
        <v>2319.5040119647902</v>
      </c>
      <c r="C27" s="39">
        <f>IF(ISERROR(B27*3.6/1000000/'E Balans VL '!Z9*100),0,B27*3.6/1000000/'E Balans VL '!Z9*100)</f>
        <v>0.16992768510344242</v>
      </c>
      <c r="D27" s="233" t="s">
        <v>835</v>
      </c>
      <c r="F27" s="6"/>
    </row>
    <row r="28" spans="1:18" ht="30">
      <c r="A28" s="168" t="s">
        <v>51</v>
      </c>
      <c r="B28" s="33">
        <f>IF(ISERROR(TER_handel_ele_kWh/1000),0,TER_handel_ele_kWh/1000)</f>
        <v>8233.4919262837011</v>
      </c>
      <c r="C28" s="39">
        <f>IF(ISERROR(B28*3.6/1000000/'E Balans VL '!Z13*100),0,B28*3.6/1000000/'E Balans VL '!Z13*100)</f>
        <v>0.25442184507193727</v>
      </c>
      <c r="D28" s="233" t="s">
        <v>835</v>
      </c>
      <c r="F28" s="6"/>
    </row>
    <row r="29" spans="1:18" ht="30">
      <c r="A29" s="228" t="s">
        <v>50</v>
      </c>
      <c r="B29" s="33">
        <f>IF(ISERROR(TER_gezond_ele_kWh/1000),0,TER_gezond_ele_kWh/1000)</f>
        <v>599.13018622151299</v>
      </c>
      <c r="C29" s="39">
        <f>IF(ISERROR(B29*3.6/1000000/'E Balans VL '!Z10*100),0,B29*3.6/1000000/'E Balans VL '!Z10*100)</f>
        <v>5.8718442274261741E-2</v>
      </c>
      <c r="D29" s="233" t="s">
        <v>835</v>
      </c>
      <c r="F29" s="6"/>
    </row>
    <row r="30" spans="1:18" ht="30">
      <c r="A30" s="228" t="s">
        <v>49</v>
      </c>
      <c r="B30" s="33">
        <f>IF(ISERROR(TER_ander_ele_kWh/1000),0,TER_ander_ele_kWh/1000)</f>
        <v>1585.8885766737101</v>
      </c>
      <c r="C30" s="39">
        <f>IF(ISERROR(B30*3.6/1000000/'E Balans VL '!Z14*100),0,B30*3.6/1000000/'E Balans VL '!Z14*100)</f>
        <v>6.5692628084116203E-2</v>
      </c>
      <c r="D30" s="233" t="s">
        <v>835</v>
      </c>
      <c r="F30" s="6"/>
    </row>
    <row r="31" spans="1:18" ht="30">
      <c r="A31" s="228" t="s">
        <v>54</v>
      </c>
      <c r="B31" s="33">
        <f>IF(ISERROR(TER_onderwijs_ele_kWh/1000),0,TER_onderwijs_ele_kWh/1000)</f>
        <v>70.589161330216001</v>
      </c>
      <c r="C31" s="39">
        <f>IF(ISERROR(B31*3.6/1000000/'E Balans VL '!Z11*100),0,B31*3.6/1000000/'E Balans VL '!Z11*100)</f>
        <v>2.1689903181321309E-2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84018.434477160758</v>
      </c>
      <c r="C5" s="17">
        <f>IF(ISERROR('Eigen informatie GS &amp; warmtenet'!B61),0,'Eigen informatie GS &amp; warmtenet'!B61)</f>
        <v>0</v>
      </c>
      <c r="D5" s="30">
        <f>SUM(D6:D15)</f>
        <v>94073.367082041907</v>
      </c>
      <c r="E5" s="17">
        <f>SUM(E6:E15)</f>
        <v>733.10597602334303</v>
      </c>
      <c r="F5" s="17">
        <f>SUM(F6:F15)</f>
        <v>9636.1969522337204</v>
      </c>
      <c r="G5" s="18"/>
      <c r="H5" s="17"/>
      <c r="I5" s="17"/>
      <c r="J5" s="17">
        <f>SUM(J6:J15)</f>
        <v>12.671018482545787</v>
      </c>
      <c r="K5" s="17"/>
      <c r="L5" s="17"/>
      <c r="M5" s="17"/>
      <c r="N5" s="17">
        <f>SUM(N6:N15)</f>
        <v>3171.8370749725705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19.792964374819398</v>
      </c>
      <c r="C7" s="33"/>
      <c r="D7" s="37">
        <f>IF( ISERROR(IND_nonf_gas_kWhh/1000),0,IND_nonf_gas_kWh/1000)*0.903</f>
        <v>0</v>
      </c>
      <c r="E7" s="33">
        <f>C29*'E Balans VL '!I17/100/3.6*1000000</f>
        <v>1.0504688432192185E-2</v>
      </c>
      <c r="F7" s="33">
        <f>C29*'E Balans VL '!L17/100/3.6*1000000+C29*'E Balans VL '!N17/100/3.6*1000000</f>
        <v>3.1464161589646769</v>
      </c>
      <c r="G7" s="34"/>
      <c r="H7" s="33"/>
      <c r="I7" s="33"/>
      <c r="J7" s="40">
        <f>C29*'E Balans VL '!D17/100/3.6*1000000+C29*'E Balans VL '!E17/100/3.6*1000000</f>
        <v>7.3722194204347788</v>
      </c>
      <c r="K7" s="33"/>
      <c r="L7" s="33"/>
      <c r="M7" s="33"/>
      <c r="N7" s="33">
        <f>C29*'E Balans VL '!Y17/100/3.6*1000000</f>
        <v>0</v>
      </c>
      <c r="O7" s="33"/>
      <c r="P7" s="33"/>
      <c r="R7" s="32"/>
    </row>
    <row r="8" spans="1:18">
      <c r="A8" s="6" t="s">
        <v>35</v>
      </c>
      <c r="B8" s="37">
        <f t="shared" si="0"/>
        <v>3918.6178877974799</v>
      </c>
      <c r="C8" s="33"/>
      <c r="D8" s="37">
        <f>IF( ISERROR(IND_metaal_Gas_kWH/1000),0,IND_metaal_Gas_kWH/1000)*0.903</f>
        <v>1440.236524933081</v>
      </c>
      <c r="E8" s="33">
        <f>C30*'E Balans VL '!I18/100/3.6*1000000</f>
        <v>21.360997244123663</v>
      </c>
      <c r="F8" s="33">
        <f>C30*'E Balans VL '!L18/100/3.6*1000000+C30*'E Balans VL '!N18/100/3.6*1000000</f>
        <v>252.35929128877828</v>
      </c>
      <c r="G8" s="34"/>
      <c r="H8" s="33"/>
      <c r="I8" s="33"/>
      <c r="J8" s="40">
        <f>C30*'E Balans VL '!D18/100/3.6*1000000+C30*'E Balans VL '!E18/100/3.6*1000000</f>
        <v>3.2098260368776983</v>
      </c>
      <c r="K8" s="33"/>
      <c r="L8" s="33"/>
      <c r="M8" s="33"/>
      <c r="N8" s="33">
        <f>C30*'E Balans VL '!Y18/100/3.6*1000000</f>
        <v>84.659150055321902</v>
      </c>
      <c r="O8" s="33"/>
      <c r="P8" s="33"/>
      <c r="R8" s="32"/>
    </row>
    <row r="9" spans="1:18">
      <c r="A9" s="6" t="s">
        <v>32</v>
      </c>
      <c r="B9" s="37">
        <f t="shared" si="0"/>
        <v>12438.668893809599</v>
      </c>
      <c r="C9" s="33"/>
      <c r="D9" s="37">
        <f>IF( ISERROR(IND_andere_gas_kWh/1000),0,IND_andere_gas_kWh/1000)*0.903</f>
        <v>1879.595160374736</v>
      </c>
      <c r="E9" s="33">
        <f>C31*'E Balans VL '!I19/100/3.6*1000000</f>
        <v>40.154141501441401</v>
      </c>
      <c r="F9" s="33">
        <f>C31*'E Balans VL '!L19/100/3.6*1000000+C31*'E Balans VL '!N19/100/3.6*1000000</f>
        <v>8042.94095105207</v>
      </c>
      <c r="G9" s="34"/>
      <c r="H9" s="33"/>
      <c r="I9" s="33"/>
      <c r="J9" s="40">
        <f>C31*'E Balans VL '!D19/100/3.6*1000000+C31*'E Balans VL '!E19/100/3.6*1000000</f>
        <v>0</v>
      </c>
      <c r="K9" s="33"/>
      <c r="L9" s="33"/>
      <c r="M9" s="33"/>
      <c r="N9" s="33">
        <f>C31*'E Balans VL '!Y19/100/3.6*1000000</f>
        <v>502.63224207620806</v>
      </c>
      <c r="O9" s="33"/>
      <c r="P9" s="33"/>
      <c r="R9" s="32"/>
    </row>
    <row r="10" spans="1:18">
      <c r="A10" s="6" t="s">
        <v>40</v>
      </c>
      <c r="B10" s="37">
        <f t="shared" si="0"/>
        <v>64648.358968630302</v>
      </c>
      <c r="C10" s="33"/>
      <c r="D10" s="37">
        <f>IF( ISERROR(IND_voed_gas_kWh/1000),0,IND_voed_gas_kWh/1000)*0.903</f>
        <v>88767.234630390289</v>
      </c>
      <c r="E10" s="33">
        <f>C32*'E Balans VL '!I20/100/3.6*1000000</f>
        <v>135.51880400168744</v>
      </c>
      <c r="F10" s="33">
        <f>C32*'E Balans VL '!L20/100/3.6*1000000+C32*'E Balans VL '!N20/100/3.6*1000000</f>
        <v>1259.5734494958701</v>
      </c>
      <c r="G10" s="34"/>
      <c r="H10" s="33"/>
      <c r="I10" s="33"/>
      <c r="J10" s="40">
        <f>C32*'E Balans VL '!D20/100/3.6*1000000+C32*'E Balans VL '!E20/100/3.6*1000000</f>
        <v>0</v>
      </c>
      <c r="K10" s="33"/>
      <c r="L10" s="33"/>
      <c r="M10" s="33"/>
      <c r="N10" s="33">
        <f>C32*'E Balans VL '!Y20/100/3.6*1000000</f>
        <v>2571.5324882532491</v>
      </c>
      <c r="O10" s="33"/>
      <c r="P10" s="33"/>
      <c r="R10" s="32"/>
    </row>
    <row r="11" spans="1:18">
      <c r="A11" s="6" t="s">
        <v>39</v>
      </c>
      <c r="B11" s="37">
        <f t="shared" si="0"/>
        <v>150.37634391995798</v>
      </c>
      <c r="C11" s="33"/>
      <c r="D11" s="37">
        <f>IF( ISERROR(IND_textiel_gas_kWh/1000),0,IND_textiel_gas_kWh/1000)*0.903</f>
        <v>0</v>
      </c>
      <c r="E11" s="33">
        <f>C33*'E Balans VL '!I21/100/3.6*1000000</f>
        <v>0.12921387194613518</v>
      </c>
      <c r="F11" s="33">
        <f>C33*'E Balans VL '!L21/100/3.6*1000000+C33*'E Balans VL '!N21/100/3.6*1000000</f>
        <v>3.1527961232044897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2457.8756717149199</v>
      </c>
      <c r="C14" s="33"/>
      <c r="D14" s="37">
        <f>IF( ISERROR(IND_chemie_gas_kWh/1000),0,IND_chemie_gas_kWh/1000)*0.903</f>
        <v>0</v>
      </c>
      <c r="E14" s="33">
        <f>C36*'E Balans VL '!I24/100/3.6*1000000</f>
        <v>513.28149286185919</v>
      </c>
      <c r="F14" s="33">
        <f>C36*'E Balans VL '!L24/100/3.6*1000000+C36*'E Balans VL '!N24/100/3.6*1000000</f>
        <v>16.330031326287532</v>
      </c>
      <c r="G14" s="34"/>
      <c r="H14" s="33"/>
      <c r="I14" s="33"/>
      <c r="J14" s="40">
        <f>C36*'E Balans VL '!D24/100/3.6*1000000+C36*'E Balans VL '!E24/100/3.6*1000000</f>
        <v>0</v>
      </c>
      <c r="K14" s="33"/>
      <c r="L14" s="33"/>
      <c r="M14" s="33"/>
      <c r="N14" s="33">
        <f>C36*'E Balans VL '!Y24/100/3.6*1000000</f>
        <v>0.85768380944142375</v>
      </c>
      <c r="O14" s="33"/>
      <c r="P14" s="33"/>
      <c r="R14" s="32"/>
    </row>
    <row r="15" spans="1:18">
      <c r="A15" s="6" t="s">
        <v>259</v>
      </c>
      <c r="B15" s="37">
        <f t="shared" si="0"/>
        <v>384.74374691367393</v>
      </c>
      <c r="C15" s="33"/>
      <c r="D15" s="37">
        <f>IF( ISERROR(IND_rest_gas_kWh/1000),0,IND_rest_gas_kWh/1000)*0.903</f>
        <v>1986.3007663438082</v>
      </c>
      <c r="E15" s="33">
        <f>C37*'E Balans VL '!I15/100/3.6*1000000</f>
        <v>22.650821853853039</v>
      </c>
      <c r="F15" s="33">
        <f>C37*'E Balans VL '!L15/100/3.6*1000000+C37*'E Balans VL '!N15/100/3.6*1000000</f>
        <v>58.694016788544033</v>
      </c>
      <c r="G15" s="34"/>
      <c r="H15" s="33"/>
      <c r="I15" s="33"/>
      <c r="J15" s="40">
        <f>C37*'E Balans VL '!D15/100/3.6*1000000+C37*'E Balans VL '!E15/100/3.6*1000000</f>
        <v>2.0889730252333099</v>
      </c>
      <c r="K15" s="33"/>
      <c r="L15" s="33"/>
      <c r="M15" s="33"/>
      <c r="N15" s="33">
        <f>C37*'E Balans VL '!Y15/100/3.6*1000000</f>
        <v>12.15551077835015</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84018.434477160758</v>
      </c>
      <c r="C18" s="21">
        <f>C5+C16</f>
        <v>0</v>
      </c>
      <c r="D18" s="21">
        <f>MAX((D5+D16),0)</f>
        <v>94073.367082041907</v>
      </c>
      <c r="E18" s="21">
        <f>MAX((E5+E16),0)</f>
        <v>733.10597602334303</v>
      </c>
      <c r="F18" s="21">
        <f>MAX((F5+F16),0)</f>
        <v>9636.1969522337204</v>
      </c>
      <c r="G18" s="21"/>
      <c r="H18" s="21"/>
      <c r="I18" s="21"/>
      <c r="J18" s="21">
        <f>MAX((J5+J16),0)</f>
        <v>12.671018482545787</v>
      </c>
      <c r="K18" s="21"/>
      <c r="L18" s="21">
        <f>MAX((L5+L16),0)</f>
        <v>0</v>
      </c>
      <c r="M18" s="21"/>
      <c r="N18" s="21">
        <f>MAX((N5+N16),0)</f>
        <v>3171.8370749725705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0.10194585682025854</v>
      </c>
      <c r="C20" s="25">
        <f ca="1">'EF ele_warmte'!B22</f>
        <v>0.21975289455280131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8565.331291470904</v>
      </c>
      <c r="C22" s="23">
        <f ca="1">C18*C20</f>
        <v>0</v>
      </c>
      <c r="D22" s="23">
        <f>D18*D20</f>
        <v>19002.820150572465</v>
      </c>
      <c r="E22" s="23">
        <f>E18*E20</f>
        <v>166.41505655729887</v>
      </c>
      <c r="F22" s="23">
        <f>F18*F20</f>
        <v>2572.8645862464036</v>
      </c>
      <c r="G22" s="23"/>
      <c r="H22" s="23"/>
      <c r="I22" s="23"/>
      <c r="J22" s="23">
        <f>J18*J20</f>
        <v>4.4855405428212078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19.792964374819398</v>
      </c>
      <c r="C29" s="39">
        <f>IF(ISERROR(B29*3.6/1000000/'E Balans VL '!Z17*100),0,B29*3.6/1000000/'E Balans VL '!Z17*100)</f>
        <v>1.308542503664078E-2</v>
      </c>
      <c r="D29" s="233" t="s">
        <v>835</v>
      </c>
    </row>
    <row r="30" spans="1:18" ht="30">
      <c r="A30" s="168" t="s">
        <v>35</v>
      </c>
      <c r="B30" s="37">
        <f>IF( ISERROR(IND_metaal_ele_kWh/1000),0,IND_metaal_ele_kWh/1000)</f>
        <v>3918.6178877974799</v>
      </c>
      <c r="C30" s="39">
        <f>IF(ISERROR(B30*3.6/1000000/'E Balans VL '!Z18*100),0,B30*3.6/1000000/'E Balans VL '!Z18*100)</f>
        <v>0.2359684241935828</v>
      </c>
      <c r="D30" s="233" t="s">
        <v>835</v>
      </c>
    </row>
    <row r="31" spans="1:18" ht="30">
      <c r="A31" s="6" t="s">
        <v>32</v>
      </c>
      <c r="B31" s="37">
        <f>IF( ISERROR(IND_ander_ele_kWh/1000),0,IND_ander_ele_kWh/1000)</f>
        <v>12438.668893809599</v>
      </c>
      <c r="C31" s="39">
        <f>IF(ISERROR(B31*3.6/1000000/'E Balans VL '!Z19*100),0,B31*3.6/1000000/'E Balans VL '!Z19*100)</f>
        <v>0.50677712174187217</v>
      </c>
      <c r="D31" s="233" t="s">
        <v>835</v>
      </c>
    </row>
    <row r="32" spans="1:18" ht="30">
      <c r="A32" s="168" t="s">
        <v>40</v>
      </c>
      <c r="B32" s="37">
        <f>IF( ISERROR(IND_voed_ele_kWh/1000),0,IND_voed_ele_kWh/1000)</f>
        <v>64648.358968630302</v>
      </c>
      <c r="C32" s="39">
        <f>IF(ISERROR(B32*3.6/1000000/'E Balans VL '!Z20*100),0,B32*3.6/1000000/'E Balans VL '!Z20*100)</f>
        <v>1.8692442222198002</v>
      </c>
      <c r="D32" s="233" t="s">
        <v>835</v>
      </c>
    </row>
    <row r="33" spans="1:5" ht="30">
      <c r="A33" s="168" t="s">
        <v>39</v>
      </c>
      <c r="B33" s="37">
        <f>IF( ISERROR(IND_textiel_ele_kWh/1000),0,IND_textiel_ele_kWh/1000)</f>
        <v>150.37634391995798</v>
      </c>
      <c r="C33" s="39">
        <f>IF(ISERROR(B33*3.6/1000000/'E Balans VL '!Z21*100),0,B33*3.6/1000000/'E Balans VL '!Z21*100)</f>
        <v>2.4729927645193338E-2</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2457.8756717149199</v>
      </c>
      <c r="C36" s="39">
        <f>IF(ISERROR(B36*3.6/1000000/'E Balans VL '!Z24*100),0,B36*3.6/1000000/'E Balans VL '!Z24*100)</f>
        <v>7.4581200820993787E-2</v>
      </c>
      <c r="D36" s="233" t="s">
        <v>835</v>
      </c>
    </row>
    <row r="37" spans="1:5" ht="30">
      <c r="A37" s="168" t="s">
        <v>259</v>
      </c>
      <c r="B37" s="37">
        <f>IF( ISERROR(IND_rest_ele_kWh/1000),0,IND_rest_ele_kWh/1000)</f>
        <v>384.74374691367393</v>
      </c>
      <c r="C37" s="39">
        <f>IF(ISERROR(B37*3.6/1000000/'E Balans VL '!Z15*100),0,B37*3.6/1000000/'E Balans VL '!Z15*100)</f>
        <v>3.159037575374567E-3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410.77566871507196</v>
      </c>
      <c r="C5" s="17">
        <f>'Eigen informatie GS &amp; warmtenet'!B62</f>
        <v>0</v>
      </c>
      <c r="D5" s="30">
        <f>IF(ISERROR(SUM(LB_lb_gas_kWh,LB_rest_gas_kWh)/1000),0,SUM(LB_lb_gas_kWh,LB_rest_gas_kWh)/1000)*0.903</f>
        <v>69.60942941967086</v>
      </c>
      <c r="E5" s="17">
        <f>B17*'E Balans VL '!I25/3.6*1000000/100</f>
        <v>11.765310311700588</v>
      </c>
      <c r="F5" s="17">
        <f>B17*('E Balans VL '!L25/3.6*1000000+'E Balans VL '!N25/3.6*1000000)/100</f>
        <v>1300.3035757159321</v>
      </c>
      <c r="G5" s="18"/>
      <c r="H5" s="17"/>
      <c r="I5" s="17"/>
      <c r="J5" s="17">
        <f>('E Balans VL '!D25+'E Balans VL '!E25)/3.6*1000000*landbouw!B17/100</f>
        <v>104.44735321567103</v>
      </c>
      <c r="K5" s="17"/>
      <c r="L5" s="17">
        <f>L6*(-1)</f>
        <v>0</v>
      </c>
      <c r="M5" s="17"/>
      <c r="N5" s="17">
        <f>N6*(-1)</f>
        <v>0</v>
      </c>
      <c r="O5" s="17"/>
      <c r="P5" s="17"/>
      <c r="R5" s="32"/>
    </row>
    <row r="6" spans="1:18">
      <c r="A6" s="16" t="s">
        <v>467</v>
      </c>
      <c r="B6" s="17" t="s">
        <v>204</v>
      </c>
      <c r="C6" s="17">
        <f>'lokale energieproductie'!O39+'lokale energieproductie'!O32</f>
        <v>9000</v>
      </c>
      <c r="D6" s="304">
        <f>('lokale energieproductie'!P32+'lokale energieproductie'!P39)*(-1)</f>
        <v>-18000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410.77566871507196</v>
      </c>
      <c r="C8" s="21">
        <f>C5+C6</f>
        <v>9000</v>
      </c>
      <c r="D8" s="21">
        <f>MAX((D5+D6),0)</f>
        <v>0</v>
      </c>
      <c r="E8" s="21">
        <f>MAX((E5+E6),0)</f>
        <v>11.765310311700588</v>
      </c>
      <c r="F8" s="21">
        <f>MAX((F5+F6),0)</f>
        <v>1300.3035757159321</v>
      </c>
      <c r="G8" s="21"/>
      <c r="H8" s="21"/>
      <c r="I8" s="21"/>
      <c r="J8" s="21">
        <f>MAX((J5+J6),0)</f>
        <v>104.44735321567103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0.10194585682025854</v>
      </c>
      <c r="C10" s="31">
        <f ca="1">'EF ele_warmte'!B22</f>
        <v>0.21975289455280131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41.876877508072681</v>
      </c>
      <c r="C12" s="23">
        <f ca="1">C8*C10</f>
        <v>1977.7760509752118</v>
      </c>
      <c r="D12" s="23">
        <f>D8*D10</f>
        <v>0</v>
      </c>
      <c r="E12" s="23">
        <f>E8*E10</f>
        <v>2.6707254407560335</v>
      </c>
      <c r="F12" s="23">
        <f>F8*F10</f>
        <v>347.18105471615388</v>
      </c>
      <c r="G12" s="23"/>
      <c r="H12" s="23"/>
      <c r="I12" s="23"/>
      <c r="J12" s="23">
        <f>J8*J10</f>
        <v>36.974363038347541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5.6883111465705467E-2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133.85357011763352</v>
      </c>
      <c r="C26" s="243">
        <f>B26*'GWP N2O_CH4'!B5</f>
        <v>2810.9249724703041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35.345058930237336</v>
      </c>
      <c r="C27" s="243">
        <f>B27*'GWP N2O_CH4'!B5</f>
        <v>742.24623753498406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1.7808104675188192</v>
      </c>
      <c r="C28" s="243">
        <f>B28*'GWP N2O_CH4'!B4</f>
        <v>552.05124493083395</v>
      </c>
      <c r="D28" s="50"/>
    </row>
    <row r="29" spans="1:4">
      <c r="A29" s="41" t="s">
        <v>266</v>
      </c>
      <c r="B29" s="243">
        <f>B34*'ha_N2O bodem landbouw'!B4</f>
        <v>4.2619325641172523</v>
      </c>
      <c r="C29" s="243">
        <f>B29*'GWP N2O_CH4'!B4</f>
        <v>1321.1990948763482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9.6823480157683431E-4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1.1904494981922959E-3</v>
      </c>
      <c r="C5" s="432" t="s">
        <v>204</v>
      </c>
      <c r="D5" s="417">
        <f>SUM(D6:D11)</f>
        <v>1.8751854398243327E-3</v>
      </c>
      <c r="E5" s="417">
        <f>SUM(E6:E11)</f>
        <v>8.1220360845309461E-4</v>
      </c>
      <c r="F5" s="430" t="s">
        <v>204</v>
      </c>
      <c r="G5" s="417">
        <f>SUM(G6:G11)</f>
        <v>0.39073537927238255</v>
      </c>
      <c r="H5" s="417">
        <f>SUM(H6:H11)</f>
        <v>9.3898896633784104E-2</v>
      </c>
      <c r="I5" s="432" t="s">
        <v>204</v>
      </c>
      <c r="J5" s="432" t="s">
        <v>204</v>
      </c>
      <c r="K5" s="432" t="s">
        <v>204</v>
      </c>
      <c r="L5" s="432" t="s">
        <v>204</v>
      </c>
      <c r="M5" s="417">
        <f>SUM(M6:M11)</f>
        <v>2.9091946502561819E-2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5.3987466629816093E-4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9.001256174672776E-4</v>
      </c>
      <c r="E6" s="884">
        <f>vkm_GW_PW*SUMIFS(TableVerdeelsleutelVkm[LPG],TableVerdeelsleutelVkm[Voertuigtype],"Lichte voertuigen")*SUMIFS(TableECFTransport[EnergieConsumptieFactor (PJ per km)],TableECFTransport[Index],CONCATENATE($A6,"_LPG_LPG"))</f>
        <v>3.5686319725434205E-4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0.10724635533555026</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4.4143735721983136E-2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9.2873356235613387E-3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1.4685155183522858E-6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5.8212880768576329E-2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4.2952679977389736E-7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3.3424851673561962E-3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6.7735018646178976E-5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1.546697464615444E-4</v>
      </c>
      <c r="E8" s="420">
        <f>vkm_NGW_PW*SUMIFS(TableVerdeelsleutelVkm[LPG],TableVerdeelsleutelVkm[Voertuigtype],"Lichte voertuigen")*SUMIFS(TableECFTransport[EnergieConsumptieFactor (PJ per km)],TableECFTransport[Index],CONCATENATE($A8,"_LPG_LPG"))</f>
        <v>5.8713432047326814E-5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1.616263836035163E-2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7.5144497060808503E-3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1.4607457281202035E-3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1.1894237949857429E-7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6.0717487772783373E-3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4.1991829343856312E-8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3.4862934745776372E-4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5.7870837814778559E-4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8.2039007589551063E-4</v>
      </c>
      <c r="E10" s="420">
        <f>vkm_SW_PW*SUMIFS(TableVerdeelsleutelVkm[LPG],TableVerdeelsleutelVkm[Voertuigtype],"Lichte voertuigen")*SUMIFS(TableECFTransport[EnergieConsumptieFactor (PJ per km)],TableECFTransport[Index],CONCATENATE($A10,"_LPG_LPG"))</f>
        <v>3.9662697915142581E-4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0.10813915097995004</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4.2239473816522405E-2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9.2035988955636791E-3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2.5439772023194833E-6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9.4902605050675992E-2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7.6587056859114462E-7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5.4491517405026385E-3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330.68041616452666</v>
      </c>
      <c r="C14" s="21"/>
      <c r="D14" s="21">
        <f t="shared" ref="D14:M14" si="0">((D5)*10^9/3600)+D12</f>
        <v>520.88484439564797</v>
      </c>
      <c r="E14" s="21">
        <f t="shared" si="0"/>
        <v>225.61211345919295</v>
      </c>
      <c r="F14" s="21"/>
      <c r="G14" s="21">
        <f t="shared" si="0"/>
        <v>108537.60535343961</v>
      </c>
      <c r="H14" s="21">
        <f t="shared" si="0"/>
        <v>26083.026842717805</v>
      </c>
      <c r="I14" s="21"/>
      <c r="J14" s="21"/>
      <c r="K14" s="21"/>
      <c r="L14" s="21"/>
      <c r="M14" s="21">
        <f t="shared" si="0"/>
        <v>8081.0962507116164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0.10194585682025854</v>
      </c>
      <c r="C16" s="56">
        <f ca="1">'EF ele_warmte'!B22</f>
        <v>0.21975289455280131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33.711498359572346</v>
      </c>
      <c r="C18" s="23"/>
      <c r="D18" s="23">
        <f t="shared" ref="D18:M18" si="1">D14*D16</f>
        <v>105.21873856792089</v>
      </c>
      <c r="E18" s="23">
        <f t="shared" si="1"/>
        <v>51.213949755236804</v>
      </c>
      <c r="F18" s="23"/>
      <c r="G18" s="23">
        <f t="shared" si="1"/>
        <v>28979.540629368377</v>
      </c>
      <c r="H18" s="23">
        <f t="shared" si="1"/>
        <v>6494.6736838367333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3.2621370948048291E-5</v>
      </c>
      <c r="C50" s="315">
        <f t="shared" ref="C50:P50" si="2">SUM(C51:C52)</f>
        <v>0</v>
      </c>
      <c r="D50" s="315">
        <f t="shared" si="2"/>
        <v>0</v>
      </c>
      <c r="E50" s="315">
        <f t="shared" si="2"/>
        <v>0</v>
      </c>
      <c r="F50" s="315">
        <f t="shared" si="2"/>
        <v>0</v>
      </c>
      <c r="G50" s="315">
        <f t="shared" si="2"/>
        <v>2.0421964426592734E-3</v>
      </c>
      <c r="H50" s="315">
        <f t="shared" si="2"/>
        <v>0</v>
      </c>
      <c r="I50" s="315">
        <f t="shared" si="2"/>
        <v>0</v>
      </c>
      <c r="J50" s="315">
        <f t="shared" si="2"/>
        <v>0</v>
      </c>
      <c r="K50" s="315">
        <f t="shared" si="2"/>
        <v>0</v>
      </c>
      <c r="L50" s="315">
        <f t="shared" si="2"/>
        <v>0</v>
      </c>
      <c r="M50" s="315">
        <f t="shared" si="2"/>
        <v>1.1725839783905947E-4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3.2621370948048291E-5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2.0421964426592734E-3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1.1725839783905947E-4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9.061491930013414</v>
      </c>
      <c r="C54" s="21">
        <f t="shared" ref="C54:P54" si="3">(C50)*10^9/3600</f>
        <v>0</v>
      </c>
      <c r="D54" s="21">
        <f t="shared" si="3"/>
        <v>0</v>
      </c>
      <c r="E54" s="21">
        <f t="shared" si="3"/>
        <v>0</v>
      </c>
      <c r="F54" s="21">
        <f t="shared" si="3"/>
        <v>0</v>
      </c>
      <c r="G54" s="21">
        <f t="shared" si="3"/>
        <v>567.27678962757602</v>
      </c>
      <c r="H54" s="21">
        <f t="shared" si="3"/>
        <v>0</v>
      </c>
      <c r="I54" s="21">
        <f t="shared" si="3"/>
        <v>0</v>
      </c>
      <c r="J54" s="21">
        <f t="shared" si="3"/>
        <v>0</v>
      </c>
      <c r="K54" s="21">
        <f t="shared" si="3"/>
        <v>0</v>
      </c>
      <c r="L54" s="21">
        <f t="shared" si="3"/>
        <v>0</v>
      </c>
      <c r="M54" s="21">
        <f t="shared" si="3"/>
        <v>32.571777177516523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0.10194585682025854</v>
      </c>
      <c r="C56" s="56">
        <f ca="1">'EF ele_warmte'!B22</f>
        <v>0.21975289455280131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0.92378155887507574</v>
      </c>
      <c r="C58" s="23">
        <f t="shared" ref="C58:P58" ca="1" si="4">C54*C56</f>
        <v>0</v>
      </c>
      <c r="D58" s="23">
        <f t="shared" si="4"/>
        <v>0</v>
      </c>
      <c r="E58" s="23">
        <f t="shared" si="4"/>
        <v>0</v>
      </c>
      <c r="F58" s="23">
        <f t="shared" si="4"/>
        <v>0</v>
      </c>
      <c r="G58" s="23">
        <f t="shared" si="4"/>
        <v>151.4629028305628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57094.474829229905</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1026.7241364055301</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10435.734133447448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6300</v>
      </c>
      <c r="C8" s="543">
        <f>B48</f>
        <v>7411.7647058823522</v>
      </c>
      <c r="D8" s="544"/>
      <c r="E8" s="544">
        <f>E48</f>
        <v>0</v>
      </c>
      <c r="F8" s="545"/>
      <c r="G8" s="546"/>
      <c r="H8" s="544">
        <f>I48</f>
        <v>0</v>
      </c>
      <c r="I8" s="544">
        <f>G48+F48</f>
        <v>0</v>
      </c>
      <c r="J8" s="544">
        <f>H48+D48+C48</f>
        <v>0</v>
      </c>
      <c r="K8" s="544"/>
      <c r="L8" s="544"/>
      <c r="M8" s="544"/>
      <c r="N8" s="547"/>
      <c r="O8" s="548">
        <f>C8*$C$12+D8*$D$12+E8*$E$12+F8*$F$12+G8*$G$12+H8*$H$12+I8*$I$12+J8*$J$12</f>
        <v>1497.1764705882354</v>
      </c>
      <c r="P8" s="1256"/>
      <c r="Q8" s="1257"/>
      <c r="S8" s="538"/>
      <c r="T8" s="1244"/>
      <c r="U8" s="1244"/>
    </row>
    <row r="9" spans="1:21" s="529" customFormat="1" ht="17.45" customHeight="1" thickBot="1">
      <c r="A9" s="549" t="s">
        <v>237</v>
      </c>
      <c r="B9" s="550">
        <f>N36+'Eigen informatie GS &amp; warmtenet'!B12</f>
        <v>513</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1465.7142857142858</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75369.933099082875</v>
      </c>
      <c r="C10" s="558">
        <f t="shared" ref="C10:L10" si="0">SUM(C8:C9)</f>
        <v>7411.7647058823522</v>
      </c>
      <c r="D10" s="558">
        <f t="shared" si="0"/>
        <v>0</v>
      </c>
      <c r="E10" s="558">
        <f t="shared" si="0"/>
        <v>0</v>
      </c>
      <c r="F10" s="558">
        <f t="shared" si="0"/>
        <v>0</v>
      </c>
      <c r="G10" s="558">
        <f t="shared" si="0"/>
        <v>0</v>
      </c>
      <c r="H10" s="558">
        <f t="shared" si="0"/>
        <v>0</v>
      </c>
      <c r="I10" s="558">
        <f t="shared" si="0"/>
        <v>0</v>
      </c>
      <c r="J10" s="558">
        <f t="shared" si="0"/>
        <v>1465.7142857142858</v>
      </c>
      <c r="K10" s="558">
        <f t="shared" si="0"/>
        <v>0</v>
      </c>
      <c r="L10" s="558">
        <f t="shared" si="0"/>
        <v>0</v>
      </c>
      <c r="M10" s="959"/>
      <c r="N10" s="959"/>
      <c r="O10" s="559">
        <f>SUM(O4:O9)</f>
        <v>1497.1764705882354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9000</v>
      </c>
      <c r="C17" s="574">
        <f>B49</f>
        <v>10588.235294117647</v>
      </c>
      <c r="D17" s="575"/>
      <c r="E17" s="575">
        <f>E49</f>
        <v>0</v>
      </c>
      <c r="F17" s="576"/>
      <c r="G17" s="577"/>
      <c r="H17" s="574">
        <f>I49</f>
        <v>0</v>
      </c>
      <c r="I17" s="575">
        <f>G49+F49</f>
        <v>0</v>
      </c>
      <c r="J17" s="575">
        <f>H49+D49+C49</f>
        <v>0</v>
      </c>
      <c r="K17" s="575"/>
      <c r="L17" s="575"/>
      <c r="M17" s="575"/>
      <c r="N17" s="960"/>
      <c r="O17" s="578">
        <f>C17*$C$22+E17*$E$22+H17*$H$22+I17*$I$22+J17*$J$22+D17*$D$22+F17*$F$22+G17*$G$22+K17*$K$22+L17*$L$22</f>
        <v>2138.8235294117649</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9000</v>
      </c>
      <c r="C20" s="557">
        <f>SUM(C17:C19)</f>
        <v>10588.235294117647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2138.8235294117649</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13029</v>
      </c>
      <c r="C28" s="785">
        <v>2250</v>
      </c>
      <c r="D28" s="635"/>
      <c r="E28" s="634"/>
      <c r="F28" s="634"/>
      <c r="G28" s="634" t="s">
        <v>868</v>
      </c>
      <c r="H28" s="634" t="s">
        <v>869</v>
      </c>
      <c r="I28" s="634"/>
      <c r="J28" s="784"/>
      <c r="K28" s="784"/>
      <c r="L28" s="634" t="s">
        <v>870</v>
      </c>
      <c r="M28" s="634">
        <v>1400</v>
      </c>
      <c r="N28" s="634">
        <v>6300</v>
      </c>
      <c r="O28" s="634">
        <v>9000</v>
      </c>
      <c r="P28" s="634">
        <v>18000</v>
      </c>
      <c r="Q28" s="634">
        <v>0</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1400</v>
      </c>
      <c r="N29" s="592">
        <f>SUM(N28:N28)</f>
        <v>6300</v>
      </c>
      <c r="O29" s="592">
        <f>SUM(O28:O28)</f>
        <v>9000</v>
      </c>
      <c r="P29" s="592">
        <f>SUM(P28:P28)</f>
        <v>18000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1400</v>
      </c>
      <c r="N32" s="597">
        <f>SUMIF($Z$28:$Z$28,"landbouw",N28:N28)</f>
        <v>6300</v>
      </c>
      <c r="O32" s="597">
        <f>SUMIF($Z$28:$Z$28,"landbouw",O28:O28)</f>
        <v>9000</v>
      </c>
      <c r="P32" s="597">
        <f>SUMIF($Z$28:$Z$28,"landbouw",P28:P28)</f>
        <v>18000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63.75" hidden="1">
      <c r="A35" s="589"/>
      <c r="B35" s="785">
        <v>13029</v>
      </c>
      <c r="C35" s="785">
        <v>2250</v>
      </c>
      <c r="D35" s="637"/>
      <c r="E35" s="637"/>
      <c r="F35" s="637"/>
      <c r="G35" s="637" t="s">
        <v>871</v>
      </c>
      <c r="H35" s="637" t="s">
        <v>872</v>
      </c>
      <c r="I35" s="637"/>
      <c r="J35" s="784"/>
      <c r="K35" s="784"/>
      <c r="L35" s="637" t="s">
        <v>873</v>
      </c>
      <c r="M35" s="637">
        <v>171</v>
      </c>
      <c r="N35" s="637">
        <v>513</v>
      </c>
      <c r="O35" s="637">
        <v>732.85714285714289</v>
      </c>
      <c r="P35" s="637">
        <v>0</v>
      </c>
      <c r="Q35" s="637">
        <v>0</v>
      </c>
      <c r="R35" s="637">
        <v>1465.7142857142858</v>
      </c>
      <c r="S35" s="637">
        <v>0</v>
      </c>
      <c r="T35" s="637">
        <v>0</v>
      </c>
      <c r="U35" s="637">
        <v>0</v>
      </c>
      <c r="V35" s="637">
        <v>0</v>
      </c>
      <c r="W35" s="637">
        <v>0</v>
      </c>
      <c r="X35" s="637">
        <v>1600</v>
      </c>
      <c r="Y35" s="637" t="s">
        <v>49</v>
      </c>
      <c r="Z35" s="638" t="s">
        <v>149</v>
      </c>
    </row>
    <row r="36" spans="1:27" s="568" customFormat="1" hidden="1">
      <c r="A36" s="590" t="s">
        <v>269</v>
      </c>
      <c r="B36" s="591"/>
      <c r="C36" s="591"/>
      <c r="D36" s="591"/>
      <c r="E36" s="591"/>
      <c r="F36" s="591"/>
      <c r="G36" s="591"/>
      <c r="H36" s="591"/>
      <c r="I36" s="591"/>
      <c r="J36" s="591"/>
      <c r="K36" s="591"/>
      <c r="L36" s="592"/>
      <c r="M36" s="592">
        <f>SUM(M35:M35)</f>
        <v>171</v>
      </c>
      <c r="N36" s="592">
        <f>SUM(N35:N35)</f>
        <v>513</v>
      </c>
      <c r="O36" s="592">
        <f>SUM(O35:O35)</f>
        <v>732.85714285714289</v>
      </c>
      <c r="P36" s="592">
        <f>SUM(P35:P35)</f>
        <v>0</v>
      </c>
      <c r="Q36" s="592">
        <f>SUM(Q35:Q35)</f>
        <v>0</v>
      </c>
      <c r="R36" s="592">
        <f>SUM(R35:R35)</f>
        <v>1465.7142857142858</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171</v>
      </c>
      <c r="N38" s="592">
        <f>SUMIF($Z$35:$Z$36,"tertiair",N35:N36)</f>
        <v>513</v>
      </c>
      <c r="O38" s="592">
        <f>SUMIF($Z$35:$Z$36,"tertiair",O35:O36)</f>
        <v>732.85714285714289</v>
      </c>
      <c r="P38" s="592">
        <f>SUMIF($Z$35:$Z$36,"tertiair",P35:P36)</f>
        <v>0</v>
      </c>
      <c r="Q38" s="592">
        <f>SUMIF($Z$35:$Z$36,"tertiair",Q35:Q36)</f>
        <v>0</v>
      </c>
      <c r="R38" s="592">
        <f>SUMIF($Z$35:$Z$36,"tertiair",R35:R36)</f>
        <v>1465.7142857142858</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7411.7647058823522</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10588.235294117647</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2021-11-11T12:13:47Z</dcterms:modified>
</cp:coreProperties>
</file>