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24C5CE2-0EF7-414C-B412-CB326373FA9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6" i="18" l="1"/>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H9" i="18" s="1"/>
  <c r="M77" i="14" s="1"/>
  <c r="M9" i="59" s="1"/>
  <c r="V53" i="18"/>
  <c r="U53" i="18"/>
  <c r="T53" i="18"/>
  <c r="S53" i="18"/>
  <c r="E9" i="18" s="1"/>
  <c r="F77" i="14" s="1"/>
  <c r="F9" i="59" s="1"/>
  <c r="R53" i="18"/>
  <c r="Q53" i="18"/>
  <c r="P53" i="18"/>
  <c r="O53" i="18"/>
  <c r="N53" i="18"/>
  <c r="B9" i="18" s="1"/>
  <c r="M53" i="18"/>
  <c r="W49" i="18"/>
  <c r="V49" i="18"/>
  <c r="U49" i="18"/>
  <c r="T49" i="18"/>
  <c r="S49" i="18"/>
  <c r="F6" i="17" s="1"/>
  <c r="R49" i="18"/>
  <c r="Q49" i="18"/>
  <c r="P49" i="18"/>
  <c r="D6" i="17" s="1"/>
  <c r="O49" i="18"/>
  <c r="N49" i="18"/>
  <c r="M49" i="18"/>
  <c r="W48" i="18"/>
  <c r="V48" i="18"/>
  <c r="U48" i="18"/>
  <c r="T48" i="18"/>
  <c r="S48" i="18"/>
  <c r="R48" i="18"/>
  <c r="Q48" i="18"/>
  <c r="P48" i="18"/>
  <c r="O48" i="18"/>
  <c r="C13" i="15" s="1"/>
  <c r="N48" i="18"/>
  <c r="B13" i="15" s="1"/>
  <c r="M48" i="18"/>
  <c r="W47" i="18"/>
  <c r="V47" i="18"/>
  <c r="U47" i="18"/>
  <c r="T47" i="18"/>
  <c r="S47" i="18"/>
  <c r="F16" i="16" s="1"/>
  <c r="R47" i="18"/>
  <c r="Q47" i="18"/>
  <c r="P47" i="18"/>
  <c r="D16" i="16" s="1"/>
  <c r="O47" i="18"/>
  <c r="N47" i="18"/>
  <c r="W46" i="18"/>
  <c r="V46" i="18"/>
  <c r="U46" i="18"/>
  <c r="T46" i="18"/>
  <c r="S46" i="18"/>
  <c r="R46" i="18"/>
  <c r="Q46" i="18"/>
  <c r="P46" i="18"/>
  <c r="O46" i="18"/>
  <c r="B17" i="18" s="1"/>
  <c r="N46" i="18"/>
  <c r="B8" i="18" s="1"/>
  <c r="M4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2" i="18"/>
  <c r="B66" i="18" s="1"/>
  <c r="B16" i="16"/>
  <c r="K9" i="14"/>
  <c r="H77" i="14"/>
  <c r="J11" i="48"/>
  <c r="J29" i="48" s="1"/>
  <c r="M9" i="14"/>
  <c r="L11" i="48"/>
  <c r="O19" i="14"/>
  <c r="O22" i="14" s="1"/>
  <c r="N10" i="48"/>
  <c r="N28" i="48" s="1"/>
  <c r="J19" i="14"/>
  <c r="J22" i="14" s="1"/>
  <c r="I10" i="48"/>
  <c r="I28" i="48" s="1"/>
  <c r="J19" i="19"/>
  <c r="K39" i="14" s="1"/>
  <c r="N19" i="19"/>
  <c r="O39" i="14" s="1"/>
  <c r="C62" i="18"/>
  <c r="I6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5" i="18"/>
  <c r="E8" i="18" s="1"/>
  <c r="F76" i="14" s="1"/>
  <c r="F7" i="48"/>
  <c r="F25" i="48" s="1"/>
  <c r="D65" i="18"/>
  <c r="O9" i="18"/>
  <c r="M29" i="48"/>
  <c r="F12" i="17"/>
  <c r="G54" i="14" s="1"/>
  <c r="G56" i="14" s="1"/>
  <c r="C66" i="18"/>
  <c r="C65" i="18"/>
  <c r="B10" i="18"/>
  <c r="E66" i="18"/>
  <c r="E17" i="18" s="1"/>
  <c r="F87" i="14" s="1"/>
  <c r="G66" i="18"/>
  <c r="D7" i="48"/>
  <c r="D25" i="48" s="1"/>
  <c r="H65" i="18"/>
  <c r="G65" i="18"/>
  <c r="D66" i="18"/>
  <c r="L28" i="48"/>
  <c r="H66" i="18"/>
  <c r="I66" i="18"/>
  <c r="H17" i="18" s="1"/>
  <c r="F66" i="18"/>
  <c r="F65" i="18"/>
  <c r="H10" i="18"/>
  <c r="M78" i="14"/>
  <c r="B6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17" i="19"/>
  <c r="C19" i="19" s="1"/>
  <c r="D39" i="14" s="1"/>
  <c r="C22" i="59"/>
  <c r="C29" i="20"/>
  <c r="C20" i="16"/>
  <c r="C22" i="16" s="1"/>
  <c r="D43"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<sst xmlns="http://schemas.openxmlformats.org/spreadsheetml/2006/main" count="2512" uniqueCount="875">
  <si>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</si>
  <si>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</si>
  <si>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</si>
  <si>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</si>
  <si>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</si>
  <si>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</si>
  <si>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</si>
  <si>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</si>
  <si>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</si>
  <si>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</si>
  <si>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</si>
  <si>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</si>
  <si>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</si>
  <si>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</si>
  <si>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</si>
  <si>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</si>
  <si>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</si>
  <si>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</si>
  <si>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</si>
  <si>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</si>
  <si>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</si>
  <si>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</si>
  <si>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</si>
  <si>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</si>
  <si>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</si>
  <si>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</si>
  <si>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</si>
  <si>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</si>
  <si>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</si>
  <si>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</si>
  <si>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</si>
  <si>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</si>
  <si>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</si>
  <si>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</si>
  <si>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</si>
  <si>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</si>
  <si>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</si>
  <si>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</si>
  <si>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</si>
  <si>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</si>
  <si>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</si>
  <si>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</si>
  <si>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</si>
  <si>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</si>
  <si>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</si>
  <si>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</si>
  <si>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</si>
  <si>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</si>
  <si>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</si>
  <si>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</si>
  <si>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</si>
  <si>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</si>
  <si>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</si>
  <si>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</si>
  <si>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</si>
  <si>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</si>
  <si>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</si>
  <si>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</si>
  <si>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</si>
  <si>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</si>
  <si>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</si>
  <si>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</si>
  <si>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</si>
  <si>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</si>
  <si>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</si>
  <si>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</si>
  <si>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</si>
  <si>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</si>
  <si>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</si>
  <si>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</si>
  <si>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</si>
  <si>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</si>
  <si>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</si>
  <si>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</si>
  <si>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</si>
  <si>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</si>
  <si>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</si>
  <si>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</si>
  <si>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</si>
  <si>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</si>
  <si>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</si>
  <si>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</si>
  <si>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</si>
  <si>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</si>
  <si>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</si>
  <si>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</si>
  <si>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</si>
  <si>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</si>
  <si>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</si>
  <si>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</si>
  <si>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</si>
  <si>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</si>
  <si>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</si>
  <si>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</si>
  <si>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</si>
  <si>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</si>
  <si>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</si>
  <si>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</si>
  <si>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</si>
  <si>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</si>
  <si>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</si>
  <si>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</si>
  <si>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</si>
  <si>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</si>
  <si>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</si>
  <si>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</si>
  <si>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</si>
  <si>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</si>
  <si>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</si>
  <si>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</si>
  <si>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</si>
  <si>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</si>
  <si>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</si>
  <si>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</si>
  <si>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</si>
  <si>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</si>
  <si>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</si>
  <si>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</si>
  <si>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</si>
  <si>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</si>
  <si>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</si>
  <si>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</si>
  <si>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</si>
  <si>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</si>
  <si>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</si>
  <si>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</si>
  <si>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</si>
  <si>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</si>
  <si>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</si>
  <si>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</si>
  <si>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</si>
  <si>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</si>
  <si>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</si>
  <si>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</si>
  <si>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</si>
  <si>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</si>
  <si>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</si>
  <si>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</si>
  <si>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</si>
  <si>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</si>
  <si>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</si>
  <si>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</si>
  <si>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</si>
  <si>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</si>
  <si>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</si>
  <si>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</si>
  <si>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</si>
  <si>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</si>
  <si>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</si>
  <si>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</si>
  <si>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</si>
  <si>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</si>
  <si>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</si>
  <si>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</si>
  <si>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</si>
  <si>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</si>
  <si>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</si>
  <si>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</si>
  <si>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</si>
  <si>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</si>
  <si>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</si>
  <si>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</si>
  <si>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</si>
  <si>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</si>
  <si>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</si>
  <si>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</si>
  <si>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</si>
  <si>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</si>
  <si>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</si>
  <si>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</si>
  <si>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</si>
  <si>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</si>
  <si>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</si>
  <si>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</si>
  <si>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</si>
  <si>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</si>
  <si>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</si>
  <si>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</si>
  <si>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</si>
  <si>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</si>
  <si>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</si>
  <si>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</si>
  <si>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</si>
  <si>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</si>
  <si>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</si>
  <si>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</si>
  <si>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</si>
  <si>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</si>
  <si>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</si>
  <si>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</si>
  <si>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</si>
  <si>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</si>
  <si>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</si>
  <si>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</si>
  <si>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</si>
  <si>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</si>
  <si>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</si>
  <si>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</si>
  <si>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</si>
  <si>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</si>
  <si>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</si>
  <si>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</si>
  <si>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</si>
  <si>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</si>
  <si>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</si>
  <si>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</si>
  <si>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</si>
  <si>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</si>
  <si>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</si>
  <si>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</si>
  <si>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</si>
  <si>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</si>
  <si>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</si>
  <si>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</si>
  <si>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</si>
  <si>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</si>
  <si>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</si>
  <si>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</si>
  <si>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</si>
  <si>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</si>
  <si>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</si>
  <si>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</si>
  <si>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</si>
  <si>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</si>
  <si>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</si>
  <si>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</si>
  <si>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</si>
  <si>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</si>
  <si>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</si>
  <si>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</si>
  <si>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</si>
  <si>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</si>
  <si>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</si>
  <si>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</si>
  <si>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</si>
  <si>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</si>
  <si>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</si>
  <si>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</si>
  <si>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</si>
  <si>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</si>
  <si>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</si>
  <si>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</si>
  <si>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</si>
  <si>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</si>
  <si>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</si>
  <si>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</si>
  <si>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</si>
  <si>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</si>
  <si>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</si>
  <si>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</si>
  <si>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</si>
  <si>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</si>
  <si>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</si>
  <si>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</si>
  <si>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</si>
  <si>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</si>
  <si>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</si>
  <si>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</si>
  <si>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</si>
  <si>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</si>
  <si>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</si>
  <si>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</si>
  <si>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</si>
  <si>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</si>
  <si>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</si>
  <si>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</si>
  <si>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</si>
  <si>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</si>
  <si>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</si>
  <si>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</si>
  <si>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</si>
  <si>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</si>
  <si>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</si>
  <si>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</si>
  <si>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</si>
  <si>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</si>
  <si>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</si>
  <si>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</si>
  <si>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</si>
  <si>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</si>
  <si>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</si>
  <si>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</si>
  <si>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</si>
  <si>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</si>
  <si>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</si>
  <si>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</si>
  <si>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</si>
  <si>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</si>
  <si>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</si>
  <si>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</si>
  <si>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</si>
  <si>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</si>
  <si>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</si>
  <si>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</si>
  <si>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</si>
  <si>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</si>
  <si>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</si>
  <si>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</si>
  <si>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</si>
  <si>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</si>
  <si>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</si>
  <si>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</si>
  <si>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</si>
  <si>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</si>
  <si>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</si>
  <si>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</si>
  <si>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</si>
  <si>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</si>
  <si>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</si>
  <si>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</si>
  <si>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</si>
  <si>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</si>
  <si>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</si>
  <si>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</si>
  <si>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</si>
  <si>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</si>
  <si>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</si>
  <si>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</si>
  <si>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</si>
  <si>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</si>
  <si>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</si>
  <si>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</si>
  <si>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</si>
  <si>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</si>
  <si>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</si>
  <si>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</si>
  <si>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</si>
  <si>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</si>
  <si>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</si>
  <si>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</si>
  <si>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</si>
  <si>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</si>
  <si>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</si>
  <si>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</si>
  <si>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</si>
  <si>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</si>
  <si>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</si>
  <si>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</si>
  <si>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</si>
  <si>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</si>
  <si>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</si>
  <si>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</si>
  <si>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</si>
  <si>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</si>
  <si>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</si>
  <si>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</si>
  <si>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</si>
  <si>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</si>
  <si>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</si>
  <si>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</si>
  <si>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</si>
  <si>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</si>
  <si>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</si>
  <si>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</si>
  <si>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</si>
  <si>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</si>
  <si>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</si>
  <si>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</si>
  <si>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</si>
  <si>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</si>
  <si>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</si>
  <si>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</si>
  <si>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</si>
  <si>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</si>
  <si>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</si>
  <si>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</si>
  <si>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</si>
  <si>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</si>
  <si>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</si>
  <si>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</si>
  <si>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</si>
  <si>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</si>
  <si>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</si>
  <si>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</si>
  <si>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</si>
  <si>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</si>
  <si>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</si>
  <si>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</si>
  <si>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</si>
  <si>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</si>
  <si>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</si>
  <si>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</si>
  <si>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</si>
  <si>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</si>
  <si>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</si>
  <si>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</si>
  <si>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</si>
  <si>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</si>
  <si>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</si>
  <si>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</si>
  <si>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</si>
  <si>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</si>
  <si>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</si>
  <si>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</si>
  <si>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</si>
  <si>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</si>
  <si>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</si>
  <si>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</si>
  <si>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</si>
  <si>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</si>
  <si>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</si>
  <si>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</si>
  <si>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</si>
  <si>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</si>
  <si>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</si>
  <si>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</si>
  <si>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</si>
  <si>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</si>
  <si>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</si>
  <si>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</si>
  <si>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</si>
  <si>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</si>
  <si>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</si>
  <si>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</si>
  <si>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</si>
  <si>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</si>
  <si>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</si>
  <si>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</si>
  <si>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</si>
  <si>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</si>
  <si>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</si>
  <si>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</si>
  <si>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</si>
  <si>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</si>
  <si>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</si>
  <si>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</si>
  <si>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</si>
  <si>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</si>
  <si>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</si>
  <si>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</si>
  <si>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</si>
  <si>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</si>
  <si>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</si>
  <si>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</si>
  <si>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</si>
  <si>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</si>
  <si>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</si>
  <si>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</si>
  <si>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</si>
  <si>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</si>
  <si>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</si>
  <si>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</si>
  <si>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</si>
  <si>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</si>
  <si>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</si>
  <si>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</si>
  <si>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</si>
  <si>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</si>
  <si>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</si>
  <si>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</si>
  <si>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</si>
  <si>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</si>
  <si>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</si>
  <si>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</si>
  <si>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</si>
  <si>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</si>
  <si>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</si>
  <si>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</si>
  <si>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</si>
  <si>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</si>
  <si>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</si>
  <si>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</si>
  <si>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</si>
  <si>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</si>
  <si>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</si>
  <si>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</si>
  <si>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</si>
  <si>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</si>
  <si>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</si>
  <si>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</si>
  <si>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</si>
  <si>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</si>
  <si>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</si>
  <si>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</si>
  <si>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</si>
  <si>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</si>
  <si>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</si>
  <si>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</si>
  <si>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</si>
  <si>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</si>
  <si>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</si>
  <si>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</si>
  <si>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</si>
  <si>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</si>
  <si>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</si>
  <si>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</si>
  <si>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</si>
  <si>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</si>
  <si>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</si>
  <si>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</si>
  <si>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</si>
  <si>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</si>
  <si>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</si>
  <si>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</si>
  <si>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</si>
  <si>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</si>
  <si>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</si>
  <si>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</si>
  <si>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</si>
  <si>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</si>
  <si>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</si>
  <si>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</si>
  <si>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</si>
  <si>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</si>
  <si>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</si>
  <si>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</si>
  <si>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</si>
  <si>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</si>
  <si>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</si>
  <si>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</si>
  <si>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</si>
  <si>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</si>
  <si>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</si>
  <si>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</si>
  <si>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</si>
  <si>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</si>
  <si>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</si>
  <si>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</si>
  <si>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</si>
  <si>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</si>
  <si>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</si>
  <si>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</si>
  <si>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</si>
  <si>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</si>
  <si>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</si>
  <si>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</si>
  <si>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</si>
  <si>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</si>
  <si>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</si>
  <si>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</si>
  <si>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</si>
  <si>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</si>
  <si>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</si>
  <si>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</si>
  <si>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</si>
  <si>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</si>
  <si>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</si>
  <si>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</si>
  <si>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</si>
  <si>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</si>
  <si>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</si>
  <si>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</si>
  <si>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</si>
  <si>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</si>
  <si>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</si>
  <si>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</si>
  <si>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</si>
  <si>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</si>
  <si>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</si>
  <si>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</si>
  <si>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</si>
  <si>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</si>
  <si>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</si>
  <si>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</si>
  <si>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</si>
  <si>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</si>
  <si>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</si>
  <si>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</si>
  <si>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</si>
  <si>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</si>
  <si>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</si>
  <si>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</si>
  <si>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</si>
  <si>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</si>
  <si>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</si>
  <si>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</si>
  <si>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</si>
  <si>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</si>
  <si>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</si>
  <si>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</si>
  <si>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</si>
  <si>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</si>
  <si>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</si>
  <si>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</si>
  <si>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</si>
  <si>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</si>
  <si>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</si>
  <si>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</si>
  <si>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</si>
  <si>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</si>
  <si>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</si>
  <si>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</si>
  <si>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</si>
  <si>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</si>
  <si>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</si>
  <si>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</si>
  <si>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</si>
  <si>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</si>
  <si>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</si>
  <si>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</si>
  <si>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</si>
  <si>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</si>
  <si>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</si>
  <si>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</si>
  <si>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</si>
  <si>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</si>
  <si>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</si>
  <si>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</si>
  <si>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</si>
  <si>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</si>
  <si>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</si>
  <si>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</si>
  <si>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</si>
  <si>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</si>
  <si>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</si>
  <si>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</si>
  <si>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</si>
  <si>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</si>
  <si>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</si>
  <si>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</si>
  <si>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</si>
  <si>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</si>
  <si>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</si>
  <si>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</si>
  <si>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</si>
  <si>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</si>
  <si>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</si>
  <si>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</si>
  <si>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</si>
  <si>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</si>
  <si>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</si>
  <si>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</si>
  <si>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</si>
  <si>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</si>
  <si>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</si>
  <si>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</si>
  <si>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</si>
  <si>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</si>
  <si>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</si>
  <si>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</si>
  <si>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</si>
  <si>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</si>
  <si>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</si>
  <si>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</si>
  <si>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</si>
  <si>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</si>
  <si>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</si>
  <si>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</si>
  <si>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</si>
  <si>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</si>
  <si>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</si>
  <si>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</si>
  <si>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</si>
  <si>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</si>
  <si>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</si>
  <si>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</si>
  <si>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</si>
  <si>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</si>
  <si>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</si>
  <si>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</si>
  <si>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</si>
  <si>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</si>
  <si>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</si>
  <si>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</si>
  <si>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</si>
  <si>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</si>
  <si>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</si>
  <si>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</si>
  <si>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</si>
  <si>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</si>
  <si>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</si>
  <si>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</si>
  <si>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</si>
  <si>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</si>
  <si>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</si>
  <si>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</si>
  <si>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</si>
  <si>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</si>
  <si>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</si>
  <si>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</si>
  <si>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</si>
  <si>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</si>
  <si>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</si>
  <si>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</si>
  <si>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</si>
  <si>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</si>
  <si>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</si>
  <si>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</si>
  <si>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</si>
  <si>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</si>
  <si>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</si>
  <si>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</si>
  <si>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</si>
  <si>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</si>
  <si>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</si>
  <si>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</si>
  <si>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</si>
  <si>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</si>
  <si>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</si>
  <si>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</si>
  <si>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</si>
  <si>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</si>
  <si>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</si>
  <si>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</si>
  <si>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</si>
  <si>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</si>
  <si>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</si>
  <si>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</si>
  <si>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</si>
  <si>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</si>
  <si>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</si>
  <si>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</si>
  <si>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</si>
  <si>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</si>
  <si>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</si>
  <si>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</si>
  <si>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</si>
  <si>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</si>
  <si>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</si>
  <si>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</si>
  <si>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</si>
  <si>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</si>
  <si>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</si>
  <si>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</si>
  <si>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</si>
  <si>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</si>
  <si>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</si>
  <si>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</si>
  <si>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</si>
  <si>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</si>
  <si>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</si>
  <si>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</si>
  <si>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</si>
  <si>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</si>
  <si>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</si>
  <si>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</si>
  <si>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</si>
  <si>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</si>
  <si>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</si>
  <si>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</si>
  <si>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</si>
  <si>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</si>
  <si>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</si>
  <si>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</si>
  <si>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</si>
  <si>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</si>
  <si>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</si>
  <si>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</si>
  <si>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</si>
  <si>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</si>
  <si>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</si>
  <si>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</si>
  <si>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</si>
  <si>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</si>
  <si>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</si>
  <si>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</si>
  <si>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</si>
  <si>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</si>
  <si>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</si>
  <si>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</si>
  <si>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</si>
  <si>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</si>
  <si>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</si>
  <si>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</si>
  <si>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</si>
  <si>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</si>
  <si>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</si>
  <si>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</si>
  <si>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</si>
  <si>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</si>
  <si>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</si>
  <si>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</si>
  <si>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</si>
  <si>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</si>
  <si>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</si>
  <si>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</si>
  <si>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</si>
  <si>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</si>
  <si>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</si>
  <si>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</si>
  <si>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</si>
  <si>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</si>
  <si>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</si>
  <si>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</si>
  <si>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</si>
  <si>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</si>
  <si>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</si>
  <si>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</si>
  <si>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</si>
  <si>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</si>
  <si>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</si>
  <si>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</si>
  <si>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</si>
  <si>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</si>
  <si>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</si>
  <si>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</si>
  <si>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</si>
  <si>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</si>
  <si>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</si>
  <si>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</si>
  <si>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</si>
  <si>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</si>
  <si>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</si>
  <si>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</si>
  <si>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</si>
  <si>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</si>
  <si>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</si>
  <si>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</si>
  <si>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</si>
  <si>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</si>
  <si>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</si>
  <si>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</si>
  <si>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</si>
  <si>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</si>
  <si>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</si>
  <si>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</si>
  <si>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</si>
  <si>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</si>
  <si>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</si>
  <si>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</si>
  <si>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</si>
  <si>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</si>
  <si>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</si>
  <si>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</si>
  <si>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</si>
  <si>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</si>
  <si>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</si>
  <si>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</si>
  <si>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</si>
  <si>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</si>
  <si>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</si>
  <si>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</si>
  <si>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</si>
  <si>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</si>
  <si>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</si>
  <si>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</si>
  <si>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</si>
  <si>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</si>
  <si>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</si>
  <si>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</si>
  <si>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</si>
  <si>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</si>
  <si>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</si>
  <si>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</si>
  <si>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</si>
  <si>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</si>
  <si>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</si>
  <si>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</si>
  <si>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</si>
  <si>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</si>
  <si>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</si>
  <si>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</si>
  <si>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</si>
  <si>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</si>
  <si>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</si>
  <si>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</si>
  <si>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</si>
  <si>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</si>
  <si>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</si>
  <si>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</si>
  <si>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</si>
  <si>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</si>
  <si>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</si>
  <si>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</si>
  <si>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</si>
  <si>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</si>
  <si>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</si>
  <si>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</si>
  <si>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</si>
  <si>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</si>
  <si>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</si>
  <si>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</si>
  <si>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</si>
  <si>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</si>
  <si>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13023</t>
  </si>
  <si>
    <t>MERKSPLAS</t>
  </si>
  <si>
    <t>referentietaak LNE (2017); Jaarverslag De Lijn</t>
  </si>
  <si>
    <t>waterkracht</t>
  </si>
  <si>
    <t>interne verbrandingsmotor</t>
  </si>
  <si>
    <t>WKK interne verbrandinsgmotor (gas)</t>
  </si>
  <si>
    <t>IVEG</t>
  </si>
  <si>
    <t>IVEG (via INFRAX)</t>
  </si>
  <si>
    <t>Interne verbrandingsmotor</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</si>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</sst>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180E3C0-37A9-4D5D-853D-4B669D91E22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70021.228478518824</c:v>
                </c:pt>
                <c:pt idx="1">
                  <c:v>33454.920538340775</c:v>
                </c:pt>
                <c:pt idx="2">
                  <c:v>431.19646599999999</c:v>
                </c:pt>
                <c:pt idx="3">
                  <c:v>531823.03488404956</c:v>
                </c:pt>
                <c:pt idx="4">
                  <c:v>6852.4337101019992</c:v>
                </c:pt>
                <c:pt idx="5">
                  <c:v>44727.6605654171</c:v>
                </c:pt>
                <c:pt idx="6">
                  <c:v>813.67189797354536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70021.228478518824</c:v>
                </c:pt>
                <c:pt idx="1">
                  <c:v>33454.920538340775</c:v>
                </c:pt>
                <c:pt idx="2">
                  <c:v>431.19646599999999</c:v>
                </c:pt>
                <c:pt idx="3">
                  <c:v>531823.03488404956</c:v>
                </c:pt>
                <c:pt idx="4">
                  <c:v>6852.4337101019992</c:v>
                </c:pt>
                <c:pt idx="5">
                  <c:v>44727.6605654171</c:v>
                </c:pt>
                <c:pt idx="6">
                  <c:v>813.67189797354536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14209.788914313693</c:v>
                </c:pt>
                <c:pt idx="1">
                  <c:v>7053.3185541245666</c:v>
                </c:pt>
                <c:pt idx="2">
                  <c:v>90.403571977873</c:v>
                </c:pt>
                <c:pt idx="3">
                  <c:v>115732.74844579109</c:v>
                </c:pt>
                <c:pt idx="4">
                  <c:v>1438.516370955379</c:v>
                </c:pt>
                <c:pt idx="5">
                  <c:v>11072.906948001086</c:v>
                </c:pt>
                <c:pt idx="6">
                  <c:v>204.93491216044842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14209.788914313693</c:v>
                </c:pt>
                <c:pt idx="1">
                  <c:v>7053.3185541245666</c:v>
                </c:pt>
                <c:pt idx="2">
                  <c:v>90.403571977873</c:v>
                </c:pt>
                <c:pt idx="3">
                  <c:v>115732.74844579109</c:v>
                </c:pt>
                <c:pt idx="4">
                  <c:v>1438.516370955379</c:v>
                </c:pt>
                <c:pt idx="5">
                  <c:v>11072.906948001086</c:v>
                </c:pt>
                <c:pt idx="6">
                  <c:v>204.93491216044842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13023</v>
      </c>
      <c r="B6" s="384"/>
      <c r="C6" s="385"/>
    </row>
    <row r="7" spans="1:7" s="382" customFormat="1" ht="15.75" customHeight="1">
      <c r="A7" s="386" t="str">
        <f>txtMunicipality</f>
        <v>MERKSPLAS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13402.791882</v>
      </c>
      <c r="D10" s="681">
        <f ca="1">tertiair!C16</f>
        <v>0</v>
      </c>
      <c r="E10" s="681">
        <f ca="1">tertiair!D16</f>
        <v>17374.255716306659</v>
      </c>
      <c r="F10" s="681">
        <f>tertiair!E16</f>
        <v>51.857956797848885</v>
      </c>
      <c r="G10" s="681">
        <f ca="1">tertiair!F16</f>
        <v>3042.4948496863076</v>
      </c>
      <c r="H10" s="681">
        <f>tertiair!G16</f>
        <v>0</v>
      </c>
      <c r="I10" s="681">
        <f>tertiair!H16</f>
        <v>0</v>
      </c>
      <c r="J10" s="681">
        <f>tertiair!I16</f>
        <v>0</v>
      </c>
      <c r="K10" s="681">
        <f>tertiair!J16</f>
        <v>2.4817252437714248E-2</v>
      </c>
      <c r="L10" s="681">
        <f>tertiair!K16</f>
        <v>0</v>
      </c>
      <c r="M10" s="681">
        <f ca="1">tertiair!L16</f>
        <v>0</v>
      </c>
      <c r="N10" s="681">
        <f>tertiair!M16</f>
        <v>0</v>
      </c>
      <c r="O10" s="681">
        <f ca="1">tertiair!N16</f>
        <v>0</v>
      </c>
      <c r="P10" s="681">
        <f>tertiair!O16</f>
        <v>14.691782297523464</v>
      </c>
      <c r="Q10" s="682">
        <f>tertiair!P16</f>
        <v>0</v>
      </c>
      <c r="R10" s="684">
        <f ca="1">SUM(C10:Q10)</f>
        <v>33886.117004340776</v>
      </c>
      <c r="S10" s="67"/>
    </row>
    <row r="11" spans="1:19" s="443" customFormat="1">
      <c r="A11" s="802" t="s">
        <v>214</v>
      </c>
      <c r="B11" s="807"/>
      <c r="C11" s="681">
        <f>huishoudens!B8</f>
        <v>14158.270323535431</v>
      </c>
      <c r="D11" s="681">
        <f>huishoudens!C8</f>
        <v>0</v>
      </c>
      <c r="E11" s="681">
        <f>huishoudens!D8</f>
        <v>37077.70562651509</v>
      </c>
      <c r="F11" s="681">
        <f>huishoudens!E8</f>
        <v>612.99764148318911</v>
      </c>
      <c r="G11" s="681">
        <f>huishoudens!F8</f>
        <v>13428.697366789551</v>
      </c>
      <c r="H11" s="681">
        <f>huishoudens!G8</f>
        <v>0</v>
      </c>
      <c r="I11" s="681">
        <f>huishoudens!H8</f>
        <v>0</v>
      </c>
      <c r="J11" s="681">
        <f>huishoudens!I8</f>
        <v>0</v>
      </c>
      <c r="K11" s="681">
        <f>huishoudens!J8</f>
        <v>76.531615040433024</v>
      </c>
      <c r="L11" s="681">
        <f>huishoudens!K8</f>
        <v>0</v>
      </c>
      <c r="M11" s="681">
        <f>huishoudens!L8</f>
        <v>0</v>
      </c>
      <c r="N11" s="681">
        <f>huishoudens!M8</f>
        <v>0</v>
      </c>
      <c r="O11" s="681">
        <f>huishoudens!N8</f>
        <v>4240.9923484732717</v>
      </c>
      <c r="P11" s="681">
        <f>huishoudens!O8</f>
        <v>162.68457398973661</v>
      </c>
      <c r="Q11" s="682">
        <f>huishoudens!P8</f>
        <v>263.34898269212556</v>
      </c>
      <c r="R11" s="684">
        <f>SUM(C11:Q11)</f>
        <v>70021.228478518824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3249.1532469999997</v>
      </c>
      <c r="D13" s="681">
        <f>industrie!C18</f>
        <v>0</v>
      </c>
      <c r="E13" s="681">
        <f>industrie!D18</f>
        <v>2652.1905277684364</v>
      </c>
      <c r="F13" s="681">
        <f>industrie!E18</f>
        <v>11.533206306070776</v>
      </c>
      <c r="G13" s="681">
        <f>industrie!F18</f>
        <v>819.2277872808113</v>
      </c>
      <c r="H13" s="681">
        <f>industrie!G18</f>
        <v>0</v>
      </c>
      <c r="I13" s="681">
        <f>industrie!H18</f>
        <v>0</v>
      </c>
      <c r="J13" s="681">
        <f>industrie!I18</f>
        <v>0</v>
      </c>
      <c r="K13" s="681">
        <f>industrie!J18</f>
        <v>0.60081542421943757</v>
      </c>
      <c r="L13" s="681">
        <f>industrie!K18</f>
        <v>0</v>
      </c>
      <c r="M13" s="681">
        <f>industrie!L18</f>
        <v>0</v>
      </c>
      <c r="N13" s="681">
        <f>industrie!M18</f>
        <v>0</v>
      </c>
      <c r="O13" s="681">
        <f>industrie!N18</f>
        <v>119.72812632246128</v>
      </c>
      <c r="P13" s="681">
        <f>industrie!O18</f>
        <v>0</v>
      </c>
      <c r="Q13" s="682">
        <f>industrie!P18</f>
        <v>0</v>
      </c>
      <c r="R13" s="684">
        <f>SUM(C13:Q13)</f>
        <v>6852.4337101019992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30810.215452535431</v>
      </c>
      <c r="D16" s="717">
        <f t="shared" ref="D16:R16" ca="1" si="0">SUM(D9:D15)</f>
        <v>0</v>
      </c>
      <c r="E16" s="717">
        <f t="shared" ca="1" si="0"/>
        <v>57104.151870590184</v>
      </c>
      <c r="F16" s="717">
        <f t="shared" si="0"/>
        <v>676.38880458710878</v>
      </c>
      <c r="G16" s="717">
        <f t="shared" ca="1" si="0"/>
        <v>17290.42000375667</v>
      </c>
      <c r="H16" s="717">
        <f t="shared" si="0"/>
        <v>0</v>
      </c>
      <c r="I16" s="717">
        <f t="shared" si="0"/>
        <v>0</v>
      </c>
      <c r="J16" s="717">
        <f t="shared" si="0"/>
        <v>0</v>
      </c>
      <c r="K16" s="717">
        <f t="shared" si="0"/>
        <v>77.157247717090172</v>
      </c>
      <c r="L16" s="717">
        <f t="shared" si="0"/>
        <v>0</v>
      </c>
      <c r="M16" s="717">
        <f t="shared" ca="1" si="0"/>
        <v>0</v>
      </c>
      <c r="N16" s="717">
        <f t="shared" si="0"/>
        <v>0</v>
      </c>
      <c r="O16" s="717">
        <f t="shared" ca="1" si="0"/>
        <v>4360.720474795733</v>
      </c>
      <c r="P16" s="717">
        <f t="shared" si="0"/>
        <v>177.37635628726008</v>
      </c>
      <c r="Q16" s="717">
        <f t="shared" si="0"/>
        <v>263.34898269212556</v>
      </c>
      <c r="R16" s="717">
        <f t="shared" ca="1" si="0"/>
        <v>110759.77919296161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12.108654195140325</v>
      </c>
      <c r="D19" s="681">
        <f>transport!C54</f>
        <v>0</v>
      </c>
      <c r="E19" s="681">
        <f>transport!D54</f>
        <v>0</v>
      </c>
      <c r="F19" s="681">
        <f>transport!E54</f>
        <v>0</v>
      </c>
      <c r="G19" s="681">
        <f>transport!F54</f>
        <v>0</v>
      </c>
      <c r="H19" s="681">
        <f>transport!G54</f>
        <v>758.03835964123766</v>
      </c>
      <c r="I19" s="681">
        <f>transport!H54</f>
        <v>0</v>
      </c>
      <c r="J19" s="681">
        <f>transport!I54</f>
        <v>0</v>
      </c>
      <c r="K19" s="681">
        <f>transport!J54</f>
        <v>0</v>
      </c>
      <c r="L19" s="681">
        <f>transport!K54</f>
        <v>0</v>
      </c>
      <c r="M19" s="681">
        <f>transport!L54</f>
        <v>0</v>
      </c>
      <c r="N19" s="681">
        <f>transport!M54</f>
        <v>43.524884137167398</v>
      </c>
      <c r="O19" s="681">
        <f>transport!N54</f>
        <v>0</v>
      </c>
      <c r="P19" s="681">
        <f>transport!O54</f>
        <v>0</v>
      </c>
      <c r="Q19" s="682">
        <f>transport!P54</f>
        <v>0</v>
      </c>
      <c r="R19" s="684">
        <f>SUM(C19:Q19)</f>
        <v>813.67189797354536</v>
      </c>
      <c r="S19" s="67"/>
    </row>
    <row r="20" spans="1:19" s="443" customFormat="1">
      <c r="A20" s="802" t="s">
        <v>296</v>
      </c>
      <c r="B20" s="807"/>
      <c r="C20" s="681">
        <f>transport!B14</f>
        <v>109.81953380468117</v>
      </c>
      <c r="D20" s="681">
        <f>transport!C14</f>
        <v>0</v>
      </c>
      <c r="E20" s="681">
        <f>transport!D14</f>
        <v>195.16502688426408</v>
      </c>
      <c r="F20" s="681">
        <f>transport!E14</f>
        <v>76.596442082836617</v>
      </c>
      <c r="G20" s="681">
        <f>transport!F14</f>
        <v>0</v>
      </c>
      <c r="H20" s="681">
        <f>transport!G14</f>
        <v>32266.230814480834</v>
      </c>
      <c r="I20" s="681">
        <f>transport!H14</f>
        <v>9550.1530285978806</v>
      </c>
      <c r="J20" s="681">
        <f>transport!I14</f>
        <v>0</v>
      </c>
      <c r="K20" s="681">
        <f>transport!J14</f>
        <v>0</v>
      </c>
      <c r="L20" s="681">
        <f>transport!K14</f>
        <v>0</v>
      </c>
      <c r="M20" s="681">
        <f>transport!L14</f>
        <v>0</v>
      </c>
      <c r="N20" s="681">
        <f>transport!M14</f>
        <v>2529.6957195666064</v>
      </c>
      <c r="O20" s="681">
        <f>transport!N14</f>
        <v>0</v>
      </c>
      <c r="P20" s="681">
        <f>transport!O14</f>
        <v>0</v>
      </c>
      <c r="Q20" s="682">
        <f>transport!P14</f>
        <v>0</v>
      </c>
      <c r="R20" s="684">
        <f>SUM(C20:Q20)</f>
        <v>44727.6605654171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121.92818799982149</v>
      </c>
      <c r="D22" s="805">
        <f t="shared" ref="D22:R22" si="1">SUM(D18:D21)</f>
        <v>0</v>
      </c>
      <c r="E22" s="805">
        <f t="shared" si="1"/>
        <v>195.16502688426408</v>
      </c>
      <c r="F22" s="805">
        <f t="shared" si="1"/>
        <v>76.596442082836617</v>
      </c>
      <c r="G22" s="805">
        <f t="shared" si="1"/>
        <v>0</v>
      </c>
      <c r="H22" s="805">
        <f t="shared" si="1"/>
        <v>33024.26917412207</v>
      </c>
      <c r="I22" s="805">
        <f t="shared" si="1"/>
        <v>9550.1530285978806</v>
      </c>
      <c r="J22" s="805">
        <f t="shared" si="1"/>
        <v>0</v>
      </c>
      <c r="K22" s="805">
        <f t="shared" si="1"/>
        <v>0</v>
      </c>
      <c r="L22" s="805">
        <f t="shared" si="1"/>
        <v>0</v>
      </c>
      <c r="M22" s="805">
        <f t="shared" si="1"/>
        <v>0</v>
      </c>
      <c r="N22" s="805">
        <f t="shared" si="1"/>
        <v>2573.2206037037736</v>
      </c>
      <c r="O22" s="805">
        <f t="shared" si="1"/>
        <v>0</v>
      </c>
      <c r="P22" s="805">
        <f t="shared" si="1"/>
        <v>0</v>
      </c>
      <c r="Q22" s="805">
        <f t="shared" si="1"/>
        <v>0</v>
      </c>
      <c r="R22" s="805">
        <f t="shared" si="1"/>
        <v>45541.332463390645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11823.568836999999</v>
      </c>
      <c r="D24" s="681">
        <f>+landbouw!C8</f>
        <v>432994.50000000012</v>
      </c>
      <c r="E24" s="681">
        <f>+landbouw!D8</f>
        <v>46232.645437576459</v>
      </c>
      <c r="F24" s="681">
        <f>+landbouw!E8</f>
        <v>338.64702063341497</v>
      </c>
      <c r="G24" s="681">
        <f>+landbouw!F8</f>
        <v>37427.311321933856</v>
      </c>
      <c r="H24" s="681">
        <f>+landbouw!G8</f>
        <v>0</v>
      </c>
      <c r="I24" s="681">
        <f>+landbouw!H8</f>
        <v>0</v>
      </c>
      <c r="J24" s="681">
        <f>+landbouw!I8</f>
        <v>0</v>
      </c>
      <c r="K24" s="681">
        <f>+landbouw!J8</f>
        <v>3006.3622669056781</v>
      </c>
      <c r="L24" s="681">
        <f>+landbouw!K8</f>
        <v>0</v>
      </c>
      <c r="M24" s="681">
        <f>+landbouw!L8</f>
        <v>0</v>
      </c>
      <c r="N24" s="681">
        <f>+landbouw!M8</f>
        <v>0</v>
      </c>
      <c r="O24" s="681">
        <f>+landbouw!N8</f>
        <v>0</v>
      </c>
      <c r="P24" s="681">
        <f>+landbouw!O8</f>
        <v>0</v>
      </c>
      <c r="Q24" s="682">
        <f>+landbouw!P8</f>
        <v>0</v>
      </c>
      <c r="R24" s="684">
        <f>SUM(C24:Q24)</f>
        <v>531823.03488404956</v>
      </c>
      <c r="S24" s="67"/>
    </row>
    <row r="25" spans="1:19" s="443" customFormat="1" ht="15" thickBot="1">
      <c r="A25" s="824" t="s">
        <v>690</v>
      </c>
      <c r="B25" s="937"/>
      <c r="C25" s="938">
        <f>IF(Onbekend_ele_kWh="---",0,Onbekend_ele_kWh)/1000+IF(REST_rest_ele_kWh="---",0,REST_rest_ele_kWh)/1000</f>
        <v>393.05773999999997</v>
      </c>
      <c r="D25" s="938"/>
      <c r="E25" s="938">
        <f>IF(onbekend_gas_kWh="---",0,onbekend_gas_kWh)/1000+IF(REST_rest_gas_kWh="---",0,REST_rest_gas_kWh)/1000</f>
        <v>287.852875683511</v>
      </c>
      <c r="F25" s="938"/>
      <c r="G25" s="938"/>
      <c r="H25" s="938"/>
      <c r="I25" s="938"/>
      <c r="J25" s="938"/>
      <c r="K25" s="938"/>
      <c r="L25" s="938"/>
      <c r="M25" s="938"/>
      <c r="N25" s="938"/>
      <c r="O25" s="938"/>
      <c r="P25" s="938"/>
      <c r="Q25" s="939"/>
      <c r="R25" s="684">
        <f>SUM(C25:Q25)</f>
        <v>680.91061568351097</v>
      </c>
      <c r="S25" s="67"/>
    </row>
    <row r="26" spans="1:19" s="443" customFormat="1" ht="15.75" thickBot="1">
      <c r="A26" s="689" t="s">
        <v>691</v>
      </c>
      <c r="B26" s="810"/>
      <c r="C26" s="805">
        <f>SUM(C24:C25)</f>
        <v>12216.626576999999</v>
      </c>
      <c r="D26" s="805">
        <f t="shared" ref="D26:R26" si="2">SUM(D24:D25)</f>
        <v>432994.50000000012</v>
      </c>
      <c r="E26" s="805">
        <f t="shared" si="2"/>
        <v>46520.498313259966</v>
      </c>
      <c r="F26" s="805">
        <f t="shared" si="2"/>
        <v>338.64702063341497</v>
      </c>
      <c r="G26" s="805">
        <f t="shared" si="2"/>
        <v>37427.311321933856</v>
      </c>
      <c r="H26" s="805">
        <f t="shared" si="2"/>
        <v>0</v>
      </c>
      <c r="I26" s="805">
        <f t="shared" si="2"/>
        <v>0</v>
      </c>
      <c r="J26" s="805">
        <f t="shared" si="2"/>
        <v>0</v>
      </c>
      <c r="K26" s="805">
        <f t="shared" si="2"/>
        <v>3006.3622669056781</v>
      </c>
      <c r="L26" s="805">
        <f t="shared" si="2"/>
        <v>0</v>
      </c>
      <c r="M26" s="805">
        <f t="shared" si="2"/>
        <v>0</v>
      </c>
      <c r="N26" s="805">
        <f t="shared" si="2"/>
        <v>0</v>
      </c>
      <c r="O26" s="805">
        <f t="shared" si="2"/>
        <v>0</v>
      </c>
      <c r="P26" s="805">
        <f t="shared" si="2"/>
        <v>0</v>
      </c>
      <c r="Q26" s="805">
        <f t="shared" si="2"/>
        <v>0</v>
      </c>
      <c r="R26" s="805">
        <f t="shared" si="2"/>
        <v>532503.94549973309</v>
      </c>
      <c r="S26" s="67"/>
    </row>
    <row r="27" spans="1:19" s="443" customFormat="1" ht="17.25" thickTop="1" thickBot="1">
      <c r="A27" s="690" t="s">
        <v>109</v>
      </c>
      <c r="B27" s="797"/>
      <c r="C27" s="691">
        <f ca="1">C22+C16+C26</f>
        <v>43148.770217535246</v>
      </c>
      <c r="D27" s="691">
        <f t="shared" ref="D27:R27" ca="1" si="3">D22+D16+D26</f>
        <v>432994.50000000012</v>
      </c>
      <c r="E27" s="691">
        <f t="shared" ca="1" si="3"/>
        <v>103819.81521073441</v>
      </c>
      <c r="F27" s="691">
        <f t="shared" si="3"/>
        <v>1091.6322673033603</v>
      </c>
      <c r="G27" s="691">
        <f t="shared" ca="1" si="3"/>
        <v>54717.731325690525</v>
      </c>
      <c r="H27" s="691">
        <f t="shared" si="3"/>
        <v>33024.26917412207</v>
      </c>
      <c r="I27" s="691">
        <f t="shared" si="3"/>
        <v>9550.1530285978806</v>
      </c>
      <c r="J27" s="691">
        <f t="shared" si="3"/>
        <v>0</v>
      </c>
      <c r="K27" s="691">
        <f t="shared" si="3"/>
        <v>3083.5195146227684</v>
      </c>
      <c r="L27" s="691">
        <f t="shared" si="3"/>
        <v>0</v>
      </c>
      <c r="M27" s="691">
        <f t="shared" ca="1" si="3"/>
        <v>0</v>
      </c>
      <c r="N27" s="691">
        <f t="shared" si="3"/>
        <v>2573.2206037037736</v>
      </c>
      <c r="O27" s="691">
        <f t="shared" ca="1" si="3"/>
        <v>4360.720474795733</v>
      </c>
      <c r="P27" s="691">
        <f t="shared" si="3"/>
        <v>177.37635628726008</v>
      </c>
      <c r="Q27" s="691">
        <f t="shared" si="3"/>
        <v>263.34898269212556</v>
      </c>
      <c r="R27" s="691">
        <f t="shared" ca="1" si="3"/>
        <v>688805.05715608527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2809.9958050417763</v>
      </c>
      <c r="D40" s="681">
        <f ca="1">tertiair!C20</f>
        <v>0</v>
      </c>
      <c r="E40" s="681">
        <f ca="1">tertiair!D20</f>
        <v>3509.5996546939455</v>
      </c>
      <c r="F40" s="681">
        <f>tertiair!E20</f>
        <v>11.771756193111697</v>
      </c>
      <c r="G40" s="681">
        <f ca="1">tertiair!F20</f>
        <v>812.34612486624417</v>
      </c>
      <c r="H40" s="681">
        <f>tertiair!G20</f>
        <v>0</v>
      </c>
      <c r="I40" s="681">
        <f>tertiair!H20</f>
        <v>0</v>
      </c>
      <c r="J40" s="681">
        <f>tertiair!I20</f>
        <v>0</v>
      </c>
      <c r="K40" s="681">
        <f>tertiair!J20</f>
        <v>8.7853073629508439E-3</v>
      </c>
      <c r="L40" s="681">
        <f>tertiair!K20</f>
        <v>0</v>
      </c>
      <c r="M40" s="681">
        <f ca="1">tertiair!L20</f>
        <v>0</v>
      </c>
      <c r="N40" s="681">
        <f>tertiair!M20</f>
        <v>0</v>
      </c>
      <c r="O40" s="681">
        <f ca="1">tertiair!N20</f>
        <v>0</v>
      </c>
      <c r="P40" s="681">
        <f>tertiair!O20</f>
        <v>0</v>
      </c>
      <c r="Q40" s="764">
        <f>tertiair!P20</f>
        <v>0</v>
      </c>
      <c r="R40" s="843">
        <f t="shared" ca="1" si="4"/>
        <v>7143.7221261024397</v>
      </c>
    </row>
    <row r="41" spans="1:18">
      <c r="A41" s="815" t="s">
        <v>214</v>
      </c>
      <c r="B41" s="822"/>
      <c r="C41" s="681">
        <f ca="1">huishoudens!B12</f>
        <v>2968.3875244838364</v>
      </c>
      <c r="D41" s="681">
        <f ca="1">huishoudens!C12</f>
        <v>0</v>
      </c>
      <c r="E41" s="681">
        <f>huishoudens!D12</f>
        <v>7489.6965365560482</v>
      </c>
      <c r="F41" s="681">
        <f>huishoudens!E12</f>
        <v>139.15046461668393</v>
      </c>
      <c r="G41" s="681">
        <f>huishoudens!F12</f>
        <v>3585.4621969328105</v>
      </c>
      <c r="H41" s="681">
        <f>huishoudens!G12</f>
        <v>0</v>
      </c>
      <c r="I41" s="681">
        <f>huishoudens!H12</f>
        <v>0</v>
      </c>
      <c r="J41" s="681">
        <f>huishoudens!I12</f>
        <v>0</v>
      </c>
      <c r="K41" s="681">
        <f>huishoudens!J12</f>
        <v>27.092191724313288</v>
      </c>
      <c r="L41" s="681">
        <f>huishoudens!K12</f>
        <v>0</v>
      </c>
      <c r="M41" s="681">
        <f>huishoudens!L12</f>
        <v>0</v>
      </c>
      <c r="N41" s="681">
        <f>huishoudens!M12</f>
        <v>0</v>
      </c>
      <c r="O41" s="681">
        <f>huishoudens!N12</f>
        <v>0</v>
      </c>
      <c r="P41" s="681">
        <f>huishoudens!O12</f>
        <v>0</v>
      </c>
      <c r="Q41" s="764">
        <f>huishoudens!P12</f>
        <v>0</v>
      </c>
      <c r="R41" s="843">
        <f t="shared" ca="1" si="4"/>
        <v>14209.788914313693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681.20933865052655</v>
      </c>
      <c r="D43" s="681">
        <f ca="1">industrie!C22</f>
        <v>0</v>
      </c>
      <c r="E43" s="681">
        <f>industrie!D22</f>
        <v>535.74248660922422</v>
      </c>
      <c r="F43" s="681">
        <f>industrie!E22</f>
        <v>2.6180378314780661</v>
      </c>
      <c r="G43" s="681">
        <f>industrie!F22</f>
        <v>218.73381920397662</v>
      </c>
      <c r="H43" s="681">
        <f>industrie!G22</f>
        <v>0</v>
      </c>
      <c r="I43" s="681">
        <f>industrie!H22</f>
        <v>0</v>
      </c>
      <c r="J43" s="681">
        <f>industrie!I22</f>
        <v>0</v>
      </c>
      <c r="K43" s="681">
        <f>industrie!J22</f>
        <v>0.21268866017368088</v>
      </c>
      <c r="L43" s="681">
        <f>industrie!K22</f>
        <v>0</v>
      </c>
      <c r="M43" s="681">
        <f>industrie!L22</f>
        <v>0</v>
      </c>
      <c r="N43" s="681">
        <f>industrie!M22</f>
        <v>0</v>
      </c>
      <c r="O43" s="681">
        <f>industrie!N22</f>
        <v>0</v>
      </c>
      <c r="P43" s="681">
        <f>industrie!O22</f>
        <v>0</v>
      </c>
      <c r="Q43" s="764">
        <f>industrie!P22</f>
        <v>0</v>
      </c>
      <c r="R43" s="842">
        <f t="shared" ca="1" si="4"/>
        <v>1438.516370955379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6459.5926681761393</v>
      </c>
      <c r="D46" s="717">
        <f t="shared" ref="D46:Q46" ca="1" si="5">SUM(D39:D45)</f>
        <v>0</v>
      </c>
      <c r="E46" s="717">
        <f t="shared" ca="1" si="5"/>
        <v>11535.038677859218</v>
      </c>
      <c r="F46" s="717">
        <f t="shared" si="5"/>
        <v>153.54025864127368</v>
      </c>
      <c r="G46" s="717">
        <f t="shared" ca="1" si="5"/>
        <v>4616.5421410030312</v>
      </c>
      <c r="H46" s="717">
        <f t="shared" si="5"/>
        <v>0</v>
      </c>
      <c r="I46" s="717">
        <f t="shared" si="5"/>
        <v>0</v>
      </c>
      <c r="J46" s="717">
        <f t="shared" si="5"/>
        <v>0</v>
      </c>
      <c r="K46" s="717">
        <f t="shared" si="5"/>
        <v>27.31366569184992</v>
      </c>
      <c r="L46" s="717">
        <f t="shared" si="5"/>
        <v>0</v>
      </c>
      <c r="M46" s="717">
        <f t="shared" ca="1" si="5"/>
        <v>0</v>
      </c>
      <c r="N46" s="717">
        <f t="shared" si="5"/>
        <v>0</v>
      </c>
      <c r="O46" s="717">
        <f t="shared" ca="1" si="5"/>
        <v>0</v>
      </c>
      <c r="P46" s="717">
        <f t="shared" si="5"/>
        <v>0</v>
      </c>
      <c r="Q46" s="717">
        <f t="shared" si="5"/>
        <v>0</v>
      </c>
      <c r="R46" s="717">
        <f ca="1">SUM(R39:R45)</f>
        <v>22792.02741137151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2.5386701362379491</v>
      </c>
      <c r="D49" s="681">
        <f ca="1">transport!C58</f>
        <v>0</v>
      </c>
      <c r="E49" s="681">
        <f>transport!D58</f>
        <v>0</v>
      </c>
      <c r="F49" s="681">
        <f>transport!E58</f>
        <v>0</v>
      </c>
      <c r="G49" s="681">
        <f>transport!F58</f>
        <v>0</v>
      </c>
      <c r="H49" s="681">
        <f>transport!G58</f>
        <v>202.39624202421047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204.93491216044842</v>
      </c>
    </row>
    <row r="50" spans="1:18">
      <c r="A50" s="818" t="s">
        <v>296</v>
      </c>
      <c r="B50" s="828"/>
      <c r="C50" s="687">
        <f ca="1">transport!B18</f>
        <v>23.024488630405315</v>
      </c>
      <c r="D50" s="687">
        <f>transport!C18</f>
        <v>0</v>
      </c>
      <c r="E50" s="687">
        <f>transport!D18</f>
        <v>39.42333543062135</v>
      </c>
      <c r="F50" s="687">
        <f>transport!E18</f>
        <v>17.387392352803914</v>
      </c>
      <c r="G50" s="687">
        <f>transport!F18</f>
        <v>0</v>
      </c>
      <c r="H50" s="687">
        <f>transport!G18</f>
        <v>8615.0836274663834</v>
      </c>
      <c r="I50" s="687">
        <f>transport!H18</f>
        <v>2377.9881041208723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11072.906948001086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25.563158766643266</v>
      </c>
      <c r="D52" s="717">
        <f t="shared" ref="D52:Q52" ca="1" si="6">SUM(D48:D51)</f>
        <v>0</v>
      </c>
      <c r="E52" s="717">
        <f t="shared" si="6"/>
        <v>39.42333543062135</v>
      </c>
      <c r="F52" s="717">
        <f t="shared" si="6"/>
        <v>17.387392352803914</v>
      </c>
      <c r="G52" s="717">
        <f t="shared" si="6"/>
        <v>0</v>
      </c>
      <c r="H52" s="717">
        <f t="shared" si="6"/>
        <v>8817.479869490593</v>
      </c>
      <c r="I52" s="717">
        <f t="shared" si="6"/>
        <v>2377.9881041208723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11277.841860161534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2478.8998534859643</v>
      </c>
      <c r="D54" s="687">
        <f ca="1">+landbouw!C12</f>
        <v>92780.636974789944</v>
      </c>
      <c r="E54" s="687">
        <f>+landbouw!D12</f>
        <v>9338.9943783904455</v>
      </c>
      <c r="F54" s="687">
        <f>+landbouw!E12</f>
        <v>76.872873683785201</v>
      </c>
      <c r="G54" s="687">
        <f>+landbouw!F12</f>
        <v>9993.0921229563392</v>
      </c>
      <c r="H54" s="687">
        <f>+landbouw!G12</f>
        <v>0</v>
      </c>
      <c r="I54" s="687">
        <f>+landbouw!H12</f>
        <v>0</v>
      </c>
      <c r="J54" s="687">
        <f>+landbouw!I12</f>
        <v>0</v>
      </c>
      <c r="K54" s="687">
        <f>+landbouw!J12</f>
        <v>1064.25224248461</v>
      </c>
      <c r="L54" s="687">
        <f>+landbouw!K12</f>
        <v>0</v>
      </c>
      <c r="M54" s="687">
        <f>+landbouw!L12</f>
        <v>0</v>
      </c>
      <c r="N54" s="687">
        <f>+landbouw!M12</f>
        <v>0</v>
      </c>
      <c r="O54" s="687">
        <f>+landbouw!N12</f>
        <v>0</v>
      </c>
      <c r="P54" s="687">
        <f>+landbouw!O12</f>
        <v>0</v>
      </c>
      <c r="Q54" s="688">
        <f>+landbouw!P12</f>
        <v>0</v>
      </c>
      <c r="R54" s="716">
        <f ca="1">SUM(C54:Q54)</f>
        <v>115732.74844579109</v>
      </c>
    </row>
    <row r="55" spans="1:18" ht="15" thickBot="1">
      <c r="A55" s="818" t="s">
        <v>690</v>
      </c>
      <c r="B55" s="828"/>
      <c r="C55" s="687">
        <f ca="1">C25*'EF ele_warmte'!B12</f>
        <v>82.407502128160047</v>
      </c>
      <c r="D55" s="687"/>
      <c r="E55" s="687">
        <f>E25*EF_CO2_aardgas</f>
        <v>58.146280888069228</v>
      </c>
      <c r="F55" s="687"/>
      <c r="G55" s="687"/>
      <c r="H55" s="687"/>
      <c r="I55" s="687"/>
      <c r="J55" s="687"/>
      <c r="K55" s="687"/>
      <c r="L55" s="687"/>
      <c r="M55" s="687"/>
      <c r="N55" s="687"/>
      <c r="O55" s="687"/>
      <c r="P55" s="687"/>
      <c r="Q55" s="688"/>
      <c r="R55" s="716">
        <f ca="1">SUM(C55:Q55)</f>
        <v>140.55378301622926</v>
      </c>
    </row>
    <row r="56" spans="1:18" ht="15.75" thickBot="1">
      <c r="A56" s="816" t="s">
        <v>691</v>
      </c>
      <c r="B56" s="829"/>
      <c r="C56" s="717">
        <f ca="1">SUM(C54:C55)</f>
        <v>2561.3073556141244</v>
      </c>
      <c r="D56" s="717">
        <f t="shared" ref="D56:Q56" ca="1" si="7">SUM(D54:D55)</f>
        <v>92780.636974789944</v>
      </c>
      <c r="E56" s="717">
        <f t="shared" si="7"/>
        <v>9397.1406592785152</v>
      </c>
      <c r="F56" s="717">
        <f t="shared" si="7"/>
        <v>76.872873683785201</v>
      </c>
      <c r="G56" s="717">
        <f t="shared" si="7"/>
        <v>9993.0921229563392</v>
      </c>
      <c r="H56" s="717">
        <f t="shared" si="7"/>
        <v>0</v>
      </c>
      <c r="I56" s="717">
        <f t="shared" si="7"/>
        <v>0</v>
      </c>
      <c r="J56" s="717">
        <f t="shared" si="7"/>
        <v>0</v>
      </c>
      <c r="K56" s="717">
        <f t="shared" si="7"/>
        <v>1064.25224248461</v>
      </c>
      <c r="L56" s="717">
        <f t="shared" si="7"/>
        <v>0</v>
      </c>
      <c r="M56" s="717">
        <f t="shared" si="7"/>
        <v>0</v>
      </c>
      <c r="N56" s="717">
        <f t="shared" si="7"/>
        <v>0</v>
      </c>
      <c r="O56" s="717">
        <f t="shared" si="7"/>
        <v>0</v>
      </c>
      <c r="P56" s="717">
        <f t="shared" si="7"/>
        <v>0</v>
      </c>
      <c r="Q56" s="718">
        <f t="shared" si="7"/>
        <v>0</v>
      </c>
      <c r="R56" s="719">
        <f ca="1">SUM(R54:R55)</f>
        <v>115873.30222880733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9046.4631825569068</v>
      </c>
      <c r="D61" s="725">
        <f t="shared" ref="D61:Q61" ca="1" si="8">D46+D52+D56</f>
        <v>92780.636974789944</v>
      </c>
      <c r="E61" s="725">
        <f t="shared" ca="1" si="8"/>
        <v>20971.602672568355</v>
      </c>
      <c r="F61" s="725">
        <f t="shared" si="8"/>
        <v>247.8005246778628</v>
      </c>
      <c r="G61" s="725">
        <f t="shared" ca="1" si="8"/>
        <v>14609.634263959371</v>
      </c>
      <c r="H61" s="725">
        <f t="shared" si="8"/>
        <v>8817.479869490593</v>
      </c>
      <c r="I61" s="725">
        <f t="shared" si="8"/>
        <v>2377.9881041208723</v>
      </c>
      <c r="J61" s="725">
        <f t="shared" si="8"/>
        <v>0</v>
      </c>
      <c r="K61" s="725">
        <f t="shared" si="8"/>
        <v>1091.56590817646</v>
      </c>
      <c r="L61" s="725">
        <f t="shared" si="8"/>
        <v>0</v>
      </c>
      <c r="M61" s="725">
        <f t="shared" ca="1" si="8"/>
        <v>0</v>
      </c>
      <c r="N61" s="725">
        <f t="shared" si="8"/>
        <v>0</v>
      </c>
      <c r="O61" s="725">
        <f t="shared" ca="1" si="8"/>
        <v>0</v>
      </c>
      <c r="P61" s="725">
        <f t="shared" si="8"/>
        <v>0</v>
      </c>
      <c r="Q61" s="725">
        <f t="shared" si="8"/>
        <v>0</v>
      </c>
      <c r="R61" s="725">
        <f ca="1">R46+R52+R56</f>
        <v>149943.17150034037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0.20965749746630116</v>
      </c>
      <c r="D63" s="771">
        <f t="shared" ca="1" si="9"/>
        <v>0.2142767101540318</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5030.8703294756924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29806.649999999994</v>
      </c>
      <c r="C76" s="738">
        <f>'lokale energieproductie'!B8*IFERROR(SUM(D76:H76)/SUM(D76:O76),0)</f>
        <v>273289.5</v>
      </c>
      <c r="D76" s="946">
        <f>'lokale energieproductie'!C8</f>
        <v>321517.05882352951</v>
      </c>
      <c r="E76" s="947">
        <f>'lokale energieproductie'!D8</f>
        <v>0</v>
      </c>
      <c r="F76" s="947">
        <f>'lokale energieproductie'!E8</f>
        <v>0</v>
      </c>
      <c r="G76" s="947">
        <f>'lokale energieproductie'!F8</f>
        <v>0</v>
      </c>
      <c r="H76" s="947">
        <f>'lokale energieproductie'!G8</f>
        <v>0</v>
      </c>
      <c r="I76" s="947">
        <f>'lokale energieproductie'!I8</f>
        <v>0</v>
      </c>
      <c r="J76" s="947">
        <f>'lokale energieproductie'!J8</f>
        <v>35066.647058823532</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64946.445882352964</v>
      </c>
      <c r="R76" s="845">
        <v>0</v>
      </c>
    </row>
    <row r="77" spans="1:18" ht="15.75" thickBot="1">
      <c r="A77" s="741" t="s">
        <v>736</v>
      </c>
      <c r="B77" s="738">
        <f>'lokale energieproductie'!B9*IFERROR(SUM(I77:O77)/SUM(D77:O77),0)</f>
        <v>1647</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4705.7142857142862</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36484.520329475687</v>
      </c>
      <c r="C78" s="743">
        <f>SUM(C72:C77)</f>
        <v>273289.5</v>
      </c>
      <c r="D78" s="744">
        <f t="shared" ref="D78:H78" si="10">SUM(D76:D77)</f>
        <v>321517.05882352951</v>
      </c>
      <c r="E78" s="744">
        <f t="shared" si="10"/>
        <v>0</v>
      </c>
      <c r="F78" s="744">
        <f t="shared" si="10"/>
        <v>0</v>
      </c>
      <c r="G78" s="744">
        <f t="shared" si="10"/>
        <v>0</v>
      </c>
      <c r="H78" s="744">
        <f t="shared" si="10"/>
        <v>0</v>
      </c>
      <c r="I78" s="744">
        <f>SUM(I76:I77)</f>
        <v>0</v>
      </c>
      <c r="J78" s="744">
        <f>SUM(J76:J77)</f>
        <v>39772.361344537814</v>
      </c>
      <c r="K78" s="744">
        <f t="shared" ref="K78:L78" si="11">SUM(K76:K77)</f>
        <v>0</v>
      </c>
      <c r="L78" s="744">
        <f t="shared" si="11"/>
        <v>0</v>
      </c>
      <c r="M78" s="744">
        <f>SUM(M76:M77)</f>
        <v>0</v>
      </c>
      <c r="N78" s="744">
        <f>SUM(N76:N77)</f>
        <v>0</v>
      </c>
      <c r="O78" s="853">
        <f>SUM(O76:O77)</f>
        <v>0</v>
      </c>
      <c r="P78" s="745">
        <v>0</v>
      </c>
      <c r="Q78" s="745">
        <f>SUM(Q76:Q77)</f>
        <v>64946.445882352964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42580.928571428587</v>
      </c>
      <c r="C87" s="756">
        <f>'lokale energieproductie'!B17*IFERROR(SUM(D87:H87)/SUM(D87:O87),0)</f>
        <v>390413.57142857159</v>
      </c>
      <c r="D87" s="767">
        <f>'lokale energieproductie'!C17</f>
        <v>459310.08403361356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50095.210084033628</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92780.636974789944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42580.928571428587</v>
      </c>
      <c r="C90" s="743">
        <f>SUM(C87:C89)</f>
        <v>390413.57142857159</v>
      </c>
      <c r="D90" s="743">
        <f t="shared" ref="D90:H90" si="12">SUM(D87:D89)</f>
        <v>459310.08403361356</v>
      </c>
      <c r="E90" s="743">
        <f t="shared" si="12"/>
        <v>0</v>
      </c>
      <c r="F90" s="743">
        <f t="shared" si="12"/>
        <v>0</v>
      </c>
      <c r="G90" s="743">
        <f t="shared" si="12"/>
        <v>0</v>
      </c>
      <c r="H90" s="743">
        <f t="shared" si="12"/>
        <v>0</v>
      </c>
      <c r="I90" s="743">
        <f>SUM(I87:I89)</f>
        <v>0</v>
      </c>
      <c r="J90" s="743">
        <f>SUM(J87:J89)</f>
        <v>50095.210084033628</v>
      </c>
      <c r="K90" s="743">
        <f t="shared" ref="K90:L90" si="13">SUM(K87:K89)</f>
        <v>0</v>
      </c>
      <c r="L90" s="743">
        <f t="shared" si="13"/>
        <v>0</v>
      </c>
      <c r="M90" s="743">
        <f>SUM(M87:M89)</f>
        <v>0</v>
      </c>
      <c r="N90" s="743">
        <f>SUM(N87:N89)</f>
        <v>0</v>
      </c>
      <c r="O90" s="743">
        <f>SUM(O87:O89)</f>
        <v>0</v>
      </c>
      <c r="P90" s="743">
        <v>0</v>
      </c>
      <c r="Q90" s="743">
        <f>SUM(Q87:Q89)</f>
        <v>92780.636974789944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14158.270323535431</v>
      </c>
      <c r="C4" s="447">
        <f>huishoudens!C8</f>
        <v>0</v>
      </c>
      <c r="D4" s="447">
        <f>huishoudens!D8</f>
        <v>37077.70562651509</v>
      </c>
      <c r="E4" s="447">
        <f>huishoudens!E8</f>
        <v>612.99764148318911</v>
      </c>
      <c r="F4" s="447">
        <f>huishoudens!F8</f>
        <v>13428.697366789551</v>
      </c>
      <c r="G4" s="447">
        <f>huishoudens!G8</f>
        <v>0</v>
      </c>
      <c r="H4" s="447">
        <f>huishoudens!H8</f>
        <v>0</v>
      </c>
      <c r="I4" s="447">
        <f>huishoudens!I8</f>
        <v>0</v>
      </c>
      <c r="J4" s="447">
        <f>huishoudens!J8</f>
        <v>76.531615040433024</v>
      </c>
      <c r="K4" s="447">
        <f>huishoudens!K8</f>
        <v>0</v>
      </c>
      <c r="L4" s="447">
        <f>huishoudens!L8</f>
        <v>0</v>
      </c>
      <c r="M4" s="447">
        <f>huishoudens!M8</f>
        <v>0</v>
      </c>
      <c r="N4" s="447">
        <f>huishoudens!N8</f>
        <v>4240.9923484732717</v>
      </c>
      <c r="O4" s="447">
        <f>huishoudens!O8</f>
        <v>162.68457398973661</v>
      </c>
      <c r="P4" s="448">
        <f>huishoudens!P8</f>
        <v>263.34898269212556</v>
      </c>
      <c r="Q4" s="449">
        <f>SUM(B4:P4)</f>
        <v>70021.228478518824</v>
      </c>
    </row>
    <row r="5" spans="1:17">
      <c r="A5" s="446" t="s">
        <v>149</v>
      </c>
      <c r="B5" s="447">
        <f ca="1">tertiair!B16</f>
        <v>12971.595416</v>
      </c>
      <c r="C5" s="447">
        <f ca="1">tertiair!C16</f>
        <v>0</v>
      </c>
      <c r="D5" s="447">
        <f ca="1">tertiair!D16</f>
        <v>17374.255716306659</v>
      </c>
      <c r="E5" s="447">
        <f>tertiair!E16</f>
        <v>51.857956797848885</v>
      </c>
      <c r="F5" s="447">
        <f ca="1">tertiair!F16</f>
        <v>3042.4948496863076</v>
      </c>
      <c r="G5" s="447">
        <f>tertiair!G16</f>
        <v>0</v>
      </c>
      <c r="H5" s="447">
        <f>tertiair!H16</f>
        <v>0</v>
      </c>
      <c r="I5" s="447">
        <f>tertiair!I16</f>
        <v>0</v>
      </c>
      <c r="J5" s="447">
        <f>tertiair!J16</f>
        <v>2.4817252437714248E-2</v>
      </c>
      <c r="K5" s="447">
        <f>tertiair!K16</f>
        <v>0</v>
      </c>
      <c r="L5" s="447">
        <f ca="1">tertiair!L16</f>
        <v>0</v>
      </c>
      <c r="M5" s="447">
        <f>tertiair!M16</f>
        <v>0</v>
      </c>
      <c r="N5" s="447">
        <f ca="1">tertiair!N16</f>
        <v>0</v>
      </c>
      <c r="O5" s="447">
        <f>tertiair!O16</f>
        <v>14.691782297523464</v>
      </c>
      <c r="P5" s="448">
        <f>tertiair!P16</f>
        <v>0</v>
      </c>
      <c r="Q5" s="446">
        <f t="shared" ref="Q5:Q14" ca="1" si="0">SUM(B5:P5)</f>
        <v>33454.920538340775</v>
      </c>
    </row>
    <row r="6" spans="1:17">
      <c r="A6" s="446" t="s">
        <v>187</v>
      </c>
      <c r="B6" s="447">
        <f>'openbare verlichting'!B8</f>
        <v>431.19646599999999</v>
      </c>
      <c r="C6" s="447"/>
      <c r="D6" s="447"/>
      <c r="E6" s="447"/>
      <c r="F6" s="447"/>
      <c r="G6" s="447"/>
      <c r="H6" s="447"/>
      <c r="I6" s="447"/>
      <c r="J6" s="447"/>
      <c r="K6" s="447"/>
      <c r="L6" s="447"/>
      <c r="M6" s="447"/>
      <c r="N6" s="447"/>
      <c r="O6" s="447"/>
      <c r="P6" s="448"/>
      <c r="Q6" s="446">
        <f t="shared" si="0"/>
        <v>431.19646599999999</v>
      </c>
    </row>
    <row r="7" spans="1:17">
      <c r="A7" s="446" t="s">
        <v>105</v>
      </c>
      <c r="B7" s="447">
        <f>landbouw!B8</f>
        <v>11823.568836999999</v>
      </c>
      <c r="C7" s="447">
        <f>landbouw!C8</f>
        <v>432994.50000000012</v>
      </c>
      <c r="D7" s="447">
        <f>landbouw!D8</f>
        <v>46232.645437576459</v>
      </c>
      <c r="E7" s="447">
        <f>landbouw!E8</f>
        <v>338.64702063341497</v>
      </c>
      <c r="F7" s="447">
        <f>landbouw!F8</f>
        <v>37427.311321933856</v>
      </c>
      <c r="G7" s="447">
        <f>landbouw!G8</f>
        <v>0</v>
      </c>
      <c r="H7" s="447">
        <f>landbouw!H8</f>
        <v>0</v>
      </c>
      <c r="I7" s="447">
        <f>landbouw!I8</f>
        <v>0</v>
      </c>
      <c r="J7" s="447">
        <f>landbouw!J8</f>
        <v>3006.3622669056781</v>
      </c>
      <c r="K7" s="447">
        <f>landbouw!K8</f>
        <v>0</v>
      </c>
      <c r="L7" s="447">
        <f>landbouw!L8</f>
        <v>0</v>
      </c>
      <c r="M7" s="447">
        <f>landbouw!M8</f>
        <v>0</v>
      </c>
      <c r="N7" s="447">
        <f>landbouw!N8</f>
        <v>0</v>
      </c>
      <c r="O7" s="447">
        <f>landbouw!O8</f>
        <v>0</v>
      </c>
      <c r="P7" s="448">
        <f>landbouw!P8</f>
        <v>0</v>
      </c>
      <c r="Q7" s="446">
        <f t="shared" si="0"/>
        <v>531823.03488404956</v>
      </c>
    </row>
    <row r="8" spans="1:17">
      <c r="A8" s="446" t="s">
        <v>611</v>
      </c>
      <c r="B8" s="447">
        <f>industrie!B18</f>
        <v>3249.1532469999997</v>
      </c>
      <c r="C8" s="447">
        <f>industrie!C18</f>
        <v>0</v>
      </c>
      <c r="D8" s="447">
        <f>industrie!D18</f>
        <v>2652.1905277684364</v>
      </c>
      <c r="E8" s="447">
        <f>industrie!E18</f>
        <v>11.533206306070776</v>
      </c>
      <c r="F8" s="447">
        <f>industrie!F18</f>
        <v>819.2277872808113</v>
      </c>
      <c r="G8" s="447">
        <f>industrie!G18</f>
        <v>0</v>
      </c>
      <c r="H8" s="447">
        <f>industrie!H18</f>
        <v>0</v>
      </c>
      <c r="I8" s="447">
        <f>industrie!I18</f>
        <v>0</v>
      </c>
      <c r="J8" s="447">
        <f>industrie!J18</f>
        <v>0.60081542421943757</v>
      </c>
      <c r="K8" s="447">
        <f>industrie!K18</f>
        <v>0</v>
      </c>
      <c r="L8" s="447">
        <f>industrie!L18</f>
        <v>0</v>
      </c>
      <c r="M8" s="447">
        <f>industrie!M18</f>
        <v>0</v>
      </c>
      <c r="N8" s="447">
        <f>industrie!N18</f>
        <v>119.72812632246128</v>
      </c>
      <c r="O8" s="447">
        <f>industrie!O18</f>
        <v>0</v>
      </c>
      <c r="P8" s="448">
        <f>industrie!P18</f>
        <v>0</v>
      </c>
      <c r="Q8" s="446">
        <f t="shared" si="0"/>
        <v>6852.4337101019992</v>
      </c>
    </row>
    <row r="9" spans="1:17" s="452" customFormat="1">
      <c r="A9" s="450" t="s">
        <v>537</v>
      </c>
      <c r="B9" s="451">
        <f>transport!B14</f>
        <v>109.81953380468117</v>
      </c>
      <c r="C9" s="451">
        <f>transport!C14</f>
        <v>0</v>
      </c>
      <c r="D9" s="451">
        <f>transport!D14</f>
        <v>195.16502688426408</v>
      </c>
      <c r="E9" s="451">
        <f>transport!E14</f>
        <v>76.596442082836617</v>
      </c>
      <c r="F9" s="451">
        <f>transport!F14</f>
        <v>0</v>
      </c>
      <c r="G9" s="451">
        <f>transport!G14</f>
        <v>32266.230814480834</v>
      </c>
      <c r="H9" s="451">
        <f>transport!H14</f>
        <v>9550.1530285978806</v>
      </c>
      <c r="I9" s="451">
        <f>transport!I14</f>
        <v>0</v>
      </c>
      <c r="J9" s="451">
        <f>transport!J14</f>
        <v>0</v>
      </c>
      <c r="K9" s="451">
        <f>transport!K14</f>
        <v>0</v>
      </c>
      <c r="L9" s="451">
        <f>transport!L14</f>
        <v>0</v>
      </c>
      <c r="M9" s="451">
        <f>transport!M14</f>
        <v>2529.6957195666064</v>
      </c>
      <c r="N9" s="451">
        <f>transport!N14</f>
        <v>0</v>
      </c>
      <c r="O9" s="451">
        <f>transport!O14</f>
        <v>0</v>
      </c>
      <c r="P9" s="451">
        <f>transport!P14</f>
        <v>0</v>
      </c>
      <c r="Q9" s="450">
        <f>SUM(B9:P9)</f>
        <v>44727.6605654171</v>
      </c>
    </row>
    <row r="10" spans="1:17">
      <c r="A10" s="446" t="s">
        <v>527</v>
      </c>
      <c r="B10" s="447">
        <f>transport!B54</f>
        <v>12.108654195140325</v>
      </c>
      <c r="C10" s="447">
        <f>transport!C54</f>
        <v>0</v>
      </c>
      <c r="D10" s="447">
        <f>transport!D54</f>
        <v>0</v>
      </c>
      <c r="E10" s="447">
        <f>transport!E54</f>
        <v>0</v>
      </c>
      <c r="F10" s="447">
        <f>transport!F54</f>
        <v>0</v>
      </c>
      <c r="G10" s="447">
        <f>transport!G54</f>
        <v>758.03835964123766</v>
      </c>
      <c r="H10" s="447">
        <f>transport!H54</f>
        <v>0</v>
      </c>
      <c r="I10" s="447">
        <f>transport!I54</f>
        <v>0</v>
      </c>
      <c r="J10" s="447">
        <f>transport!J54</f>
        <v>0</v>
      </c>
      <c r="K10" s="447">
        <f>transport!K54</f>
        <v>0</v>
      </c>
      <c r="L10" s="447">
        <f>transport!L54</f>
        <v>0</v>
      </c>
      <c r="M10" s="447">
        <f>transport!M54</f>
        <v>43.524884137167398</v>
      </c>
      <c r="N10" s="447">
        <f>transport!N54</f>
        <v>0</v>
      </c>
      <c r="O10" s="447">
        <f>transport!O54</f>
        <v>0</v>
      </c>
      <c r="P10" s="448">
        <f>transport!P54</f>
        <v>0</v>
      </c>
      <c r="Q10" s="446">
        <f t="shared" si="0"/>
        <v>813.67189797354536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393.05773999999997</v>
      </c>
      <c r="C14" s="454"/>
      <c r="D14" s="454">
        <f>'SEAP template'!E25</f>
        <v>287.852875683511</v>
      </c>
      <c r="E14" s="454"/>
      <c r="F14" s="454"/>
      <c r="G14" s="454"/>
      <c r="H14" s="454"/>
      <c r="I14" s="454"/>
      <c r="J14" s="454"/>
      <c r="K14" s="454"/>
      <c r="L14" s="454"/>
      <c r="M14" s="454"/>
      <c r="N14" s="454"/>
      <c r="O14" s="454"/>
      <c r="P14" s="455"/>
      <c r="Q14" s="446">
        <f t="shared" si="0"/>
        <v>680.91061568351097</v>
      </c>
    </row>
    <row r="15" spans="1:17" s="458" customFormat="1">
      <c r="A15" s="456" t="s">
        <v>531</v>
      </c>
      <c r="B15" s="457">
        <f ca="1">SUM(B4:B14)</f>
        <v>43148.770217535246</v>
      </c>
      <c r="C15" s="457">
        <f t="shared" ref="C15:Q15" ca="1" si="1">SUM(C4:C14)</f>
        <v>432994.50000000012</v>
      </c>
      <c r="D15" s="457">
        <f t="shared" ca="1" si="1"/>
        <v>103819.81521073442</v>
      </c>
      <c r="E15" s="457">
        <f t="shared" si="1"/>
        <v>1091.6322673033603</v>
      </c>
      <c r="F15" s="457">
        <f t="shared" ca="1" si="1"/>
        <v>54717.731325690525</v>
      </c>
      <c r="G15" s="457">
        <f t="shared" si="1"/>
        <v>33024.26917412207</v>
      </c>
      <c r="H15" s="457">
        <f t="shared" si="1"/>
        <v>9550.1530285978806</v>
      </c>
      <c r="I15" s="457">
        <f t="shared" si="1"/>
        <v>0</v>
      </c>
      <c r="J15" s="457">
        <f t="shared" si="1"/>
        <v>3083.5195146227684</v>
      </c>
      <c r="K15" s="457">
        <f t="shared" si="1"/>
        <v>0</v>
      </c>
      <c r="L15" s="457">
        <f t="shared" ca="1" si="1"/>
        <v>0</v>
      </c>
      <c r="M15" s="457">
        <f t="shared" si="1"/>
        <v>2573.2206037037736</v>
      </c>
      <c r="N15" s="457">
        <f t="shared" ca="1" si="1"/>
        <v>4360.720474795733</v>
      </c>
      <c r="O15" s="457">
        <f t="shared" si="1"/>
        <v>177.37635628726008</v>
      </c>
      <c r="P15" s="457">
        <f t="shared" si="1"/>
        <v>263.34898269212556</v>
      </c>
      <c r="Q15" s="457">
        <f t="shared" ca="1" si="1"/>
        <v>688805.05715608527</v>
      </c>
    </row>
    <row r="17" spans="1:17">
      <c r="A17" s="459" t="s">
        <v>532</v>
      </c>
      <c r="B17" s="776">
        <f ca="1">huishoudens!B10</f>
        <v>0.20965749746630113</v>
      </c>
      <c r="C17" s="776">
        <f ca="1">huishoudens!C10</f>
        <v>0.2142767101540318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2968.3875244838364</v>
      </c>
      <c r="C22" s="447">
        <f t="shared" ref="C22:C32" ca="1" si="3">C4*$C$17</f>
        <v>0</v>
      </c>
      <c r="D22" s="447">
        <f t="shared" ref="D22:D32" si="4">D4*$D$17</f>
        <v>7489.6965365560482</v>
      </c>
      <c r="E22" s="447">
        <f t="shared" ref="E22:E32" si="5">E4*$E$17</f>
        <v>139.15046461668393</v>
      </c>
      <c r="F22" s="447">
        <f t="shared" ref="F22:F32" si="6">F4*$F$17</f>
        <v>3585.4621969328105</v>
      </c>
      <c r="G22" s="447">
        <f t="shared" ref="G22:G32" si="7">G4*$G$17</f>
        <v>0</v>
      </c>
      <c r="H22" s="447">
        <f t="shared" ref="H22:H32" si="8">H4*$H$17</f>
        <v>0</v>
      </c>
      <c r="I22" s="447">
        <f t="shared" ref="I22:I32" si="9">I4*$I$17</f>
        <v>0</v>
      </c>
      <c r="J22" s="447">
        <f t="shared" ref="J22:J32" si="10">J4*$J$17</f>
        <v>27.092191724313288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14209.788914313693</v>
      </c>
    </row>
    <row r="23" spans="1:17">
      <c r="A23" s="446" t="s">
        <v>149</v>
      </c>
      <c r="B23" s="447">
        <f t="shared" ca="1" si="2"/>
        <v>2719.5922330639032</v>
      </c>
      <c r="C23" s="447">
        <f t="shared" ca="1" si="3"/>
        <v>0</v>
      </c>
      <c r="D23" s="447">
        <f t="shared" ca="1" si="4"/>
        <v>3509.5996546939455</v>
      </c>
      <c r="E23" s="447">
        <f t="shared" si="5"/>
        <v>11.771756193111697</v>
      </c>
      <c r="F23" s="447">
        <f t="shared" ca="1" si="6"/>
        <v>812.34612486624417</v>
      </c>
      <c r="G23" s="447">
        <f t="shared" si="7"/>
        <v>0</v>
      </c>
      <c r="H23" s="447">
        <f t="shared" si="8"/>
        <v>0</v>
      </c>
      <c r="I23" s="447">
        <f t="shared" si="9"/>
        <v>0</v>
      </c>
      <c r="J23" s="447">
        <f t="shared" si="10"/>
        <v>8.7853073629508439E-3</v>
      </c>
      <c r="K23" s="447">
        <f t="shared" si="11"/>
        <v>0</v>
      </c>
      <c r="L23" s="447">
        <f t="shared" ca="1" si="12"/>
        <v>0</v>
      </c>
      <c r="M23" s="447">
        <f t="shared" si="13"/>
        <v>0</v>
      </c>
      <c r="N23" s="447">
        <f t="shared" ca="1" si="14"/>
        <v>0</v>
      </c>
      <c r="O23" s="447">
        <f t="shared" si="15"/>
        <v>0</v>
      </c>
      <c r="P23" s="448">
        <f t="shared" si="16"/>
        <v>0</v>
      </c>
      <c r="Q23" s="446">
        <f t="shared" ref="Q23:Q31" ca="1" si="17">SUM(B23:P23)</f>
        <v>7053.3185541245666</v>
      </c>
    </row>
    <row r="24" spans="1:17">
      <c r="A24" s="446" t="s">
        <v>187</v>
      </c>
      <c r="B24" s="447">
        <f t="shared" ca="1" si="2"/>
        <v>90.403571977873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90.403571977873</v>
      </c>
    </row>
    <row r="25" spans="1:17">
      <c r="A25" s="446" t="s">
        <v>105</v>
      </c>
      <c r="B25" s="447">
        <f t="shared" ca="1" si="2"/>
        <v>2478.8998534859643</v>
      </c>
      <c r="C25" s="447">
        <f t="shared" ca="1" si="3"/>
        <v>92780.636974789944</v>
      </c>
      <c r="D25" s="447">
        <f t="shared" si="4"/>
        <v>9338.9943783904455</v>
      </c>
      <c r="E25" s="447">
        <f t="shared" si="5"/>
        <v>76.872873683785201</v>
      </c>
      <c r="F25" s="447">
        <f t="shared" si="6"/>
        <v>9993.0921229563392</v>
      </c>
      <c r="G25" s="447">
        <f t="shared" si="7"/>
        <v>0</v>
      </c>
      <c r="H25" s="447">
        <f t="shared" si="8"/>
        <v>0</v>
      </c>
      <c r="I25" s="447">
        <f t="shared" si="9"/>
        <v>0</v>
      </c>
      <c r="J25" s="447">
        <f t="shared" si="10"/>
        <v>1064.25224248461</v>
      </c>
      <c r="K25" s="447">
        <f t="shared" si="11"/>
        <v>0</v>
      </c>
      <c r="L25" s="447">
        <f t="shared" si="12"/>
        <v>0</v>
      </c>
      <c r="M25" s="447">
        <f t="shared" si="13"/>
        <v>0</v>
      </c>
      <c r="N25" s="447">
        <f t="shared" si="14"/>
        <v>0</v>
      </c>
      <c r="O25" s="447">
        <f t="shared" si="15"/>
        <v>0</v>
      </c>
      <c r="P25" s="448">
        <f t="shared" si="16"/>
        <v>0</v>
      </c>
      <c r="Q25" s="446">
        <f t="shared" ca="1" si="17"/>
        <v>115732.74844579109</v>
      </c>
    </row>
    <row r="26" spans="1:17">
      <c r="A26" s="446" t="s">
        <v>611</v>
      </c>
      <c r="B26" s="447">
        <f t="shared" ca="1" si="2"/>
        <v>681.20933865052655</v>
      </c>
      <c r="C26" s="447">
        <f t="shared" ca="1" si="3"/>
        <v>0</v>
      </c>
      <c r="D26" s="447">
        <f t="shared" si="4"/>
        <v>535.74248660922422</v>
      </c>
      <c r="E26" s="447">
        <f t="shared" si="5"/>
        <v>2.6180378314780661</v>
      </c>
      <c r="F26" s="447">
        <f t="shared" si="6"/>
        <v>218.73381920397662</v>
      </c>
      <c r="G26" s="447">
        <f t="shared" si="7"/>
        <v>0</v>
      </c>
      <c r="H26" s="447">
        <f t="shared" si="8"/>
        <v>0</v>
      </c>
      <c r="I26" s="447">
        <f t="shared" si="9"/>
        <v>0</v>
      </c>
      <c r="J26" s="447">
        <f t="shared" si="10"/>
        <v>0.21268866017368088</v>
      </c>
      <c r="K26" s="447">
        <f t="shared" si="11"/>
        <v>0</v>
      </c>
      <c r="L26" s="447">
        <f t="shared" si="12"/>
        <v>0</v>
      </c>
      <c r="M26" s="447">
        <f t="shared" si="13"/>
        <v>0</v>
      </c>
      <c r="N26" s="447">
        <f t="shared" si="14"/>
        <v>0</v>
      </c>
      <c r="O26" s="447">
        <f t="shared" si="15"/>
        <v>0</v>
      </c>
      <c r="P26" s="448">
        <f t="shared" si="16"/>
        <v>0</v>
      </c>
      <c r="Q26" s="446">
        <f t="shared" ca="1" si="17"/>
        <v>1438.516370955379</v>
      </c>
    </row>
    <row r="27" spans="1:17" s="452" customFormat="1">
      <c r="A27" s="450" t="s">
        <v>537</v>
      </c>
      <c r="B27" s="770">
        <f t="shared" ca="1" si="2"/>
        <v>23.024488630405315</v>
      </c>
      <c r="C27" s="451">
        <f t="shared" ca="1" si="3"/>
        <v>0</v>
      </c>
      <c r="D27" s="451">
        <f t="shared" si="4"/>
        <v>39.42333543062135</v>
      </c>
      <c r="E27" s="451">
        <f t="shared" si="5"/>
        <v>17.387392352803914</v>
      </c>
      <c r="F27" s="451">
        <f t="shared" si="6"/>
        <v>0</v>
      </c>
      <c r="G27" s="451">
        <f t="shared" si="7"/>
        <v>8615.0836274663834</v>
      </c>
      <c r="H27" s="451">
        <f t="shared" si="8"/>
        <v>2377.9881041208723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11072.906948001086</v>
      </c>
    </row>
    <row r="28" spans="1:17" ht="16.5" customHeight="1">
      <c r="A28" s="446" t="s">
        <v>527</v>
      </c>
      <c r="B28" s="447">
        <f t="shared" ca="1" si="2"/>
        <v>2.5386701362379491</v>
      </c>
      <c r="C28" s="447">
        <f t="shared" ca="1" si="3"/>
        <v>0</v>
      </c>
      <c r="D28" s="447">
        <f t="shared" si="4"/>
        <v>0</v>
      </c>
      <c r="E28" s="447">
        <f t="shared" si="5"/>
        <v>0</v>
      </c>
      <c r="F28" s="447">
        <f t="shared" si="6"/>
        <v>0</v>
      </c>
      <c r="G28" s="447">
        <f t="shared" si="7"/>
        <v>202.39624202421047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204.93491216044842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82.407502128160047</v>
      </c>
      <c r="C32" s="447">
        <f t="shared" ca="1" si="3"/>
        <v>0</v>
      </c>
      <c r="D32" s="447">
        <f t="shared" si="4"/>
        <v>58.146280888069228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140.55378301622926</v>
      </c>
    </row>
    <row r="33" spans="1:17" s="458" customFormat="1">
      <c r="A33" s="456" t="s">
        <v>531</v>
      </c>
      <c r="B33" s="457">
        <f ca="1">SUM(B22:B32)</f>
        <v>9046.4631825569068</v>
      </c>
      <c r="C33" s="457">
        <f t="shared" ref="C33:Q33" ca="1" si="19">SUM(C22:C32)</f>
        <v>92780.636974789944</v>
      </c>
      <c r="D33" s="457">
        <f t="shared" ca="1" si="19"/>
        <v>20971.602672568355</v>
      </c>
      <c r="E33" s="457">
        <f t="shared" si="19"/>
        <v>247.8005246778628</v>
      </c>
      <c r="F33" s="457">
        <f t="shared" ca="1" si="19"/>
        <v>14609.634263959369</v>
      </c>
      <c r="G33" s="457">
        <f t="shared" si="19"/>
        <v>8817.479869490593</v>
      </c>
      <c r="H33" s="457">
        <f t="shared" si="19"/>
        <v>2377.9881041208723</v>
      </c>
      <c r="I33" s="457">
        <f t="shared" si="19"/>
        <v>0</v>
      </c>
      <c r="J33" s="457">
        <f t="shared" si="19"/>
        <v>1091.5659081764597</v>
      </c>
      <c r="K33" s="457">
        <f t="shared" si="19"/>
        <v>0</v>
      </c>
      <c r="L33" s="457">
        <f t="shared" ca="1" si="19"/>
        <v>0</v>
      </c>
      <c r="M33" s="457">
        <f t="shared" si="19"/>
        <v>0</v>
      </c>
      <c r="N33" s="457">
        <f t="shared" ca="1" si="19"/>
        <v>0</v>
      </c>
      <c r="O33" s="457">
        <f t="shared" si="19"/>
        <v>0</v>
      </c>
      <c r="P33" s="457">
        <f t="shared" si="19"/>
        <v>0</v>
      </c>
      <c r="Q33" s="457">
        <f t="shared" ca="1" si="19"/>
        <v>149943.17150034037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5030.8703294756924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29806.649999999994</v>
      </c>
      <c r="C8" s="1014">
        <f>'SEAP template'!C76</f>
        <v>273289.5</v>
      </c>
      <c r="D8" s="1014">
        <f>'SEAP template'!D76</f>
        <v>321517.05882352951</v>
      </c>
      <c r="E8" s="1014">
        <f>'SEAP template'!E76</f>
        <v>0</v>
      </c>
      <c r="F8" s="1014">
        <f>'SEAP template'!F76</f>
        <v>0</v>
      </c>
      <c r="G8" s="1014">
        <f>'SEAP template'!G76</f>
        <v>0</v>
      </c>
      <c r="H8" s="1014">
        <f>'SEAP template'!H76</f>
        <v>0</v>
      </c>
      <c r="I8" s="1014">
        <f>'SEAP template'!I76</f>
        <v>0</v>
      </c>
      <c r="J8" s="1014">
        <f>'SEAP template'!J76</f>
        <v>35066.647058823532</v>
      </c>
      <c r="K8" s="1014">
        <f>'SEAP template'!K76</f>
        <v>0</v>
      </c>
      <c r="L8" s="1014">
        <f>'SEAP template'!L76</f>
        <v>0</v>
      </c>
      <c r="M8" s="1014">
        <f>'SEAP template'!M76</f>
        <v>0</v>
      </c>
      <c r="N8" s="1014">
        <f>'SEAP template'!N76</f>
        <v>0</v>
      </c>
      <c r="O8" s="1014">
        <f>'SEAP template'!O76</f>
        <v>0</v>
      </c>
      <c r="P8" s="1015">
        <f>'SEAP template'!Q76</f>
        <v>64946.445882352964</v>
      </c>
    </row>
    <row r="9" spans="1:16">
      <c r="A9" s="1020" t="s">
        <v>737</v>
      </c>
      <c r="B9" s="1014">
        <f>'SEAP template'!B77</f>
        <v>1647</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4705.7142857142862</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36484.520329475687</v>
      </c>
      <c r="C10" s="1016">
        <f>SUM(C4:C9)</f>
        <v>273289.5</v>
      </c>
      <c r="D10" s="1016">
        <f t="shared" ref="D10:H10" si="0">SUM(D8:D9)</f>
        <v>321517.05882352951</v>
      </c>
      <c r="E10" s="1016">
        <f t="shared" si="0"/>
        <v>0</v>
      </c>
      <c r="F10" s="1016">
        <f t="shared" si="0"/>
        <v>0</v>
      </c>
      <c r="G10" s="1016">
        <f t="shared" si="0"/>
        <v>0</v>
      </c>
      <c r="H10" s="1016">
        <f t="shared" si="0"/>
        <v>0</v>
      </c>
      <c r="I10" s="1016">
        <f>SUM(I8:I9)</f>
        <v>0</v>
      </c>
      <c r="J10" s="1016">
        <f>SUM(J8:J9)</f>
        <v>39772.361344537814</v>
      </c>
      <c r="K10" s="1016">
        <f t="shared" ref="K10:L10" si="1">SUM(K8:K9)</f>
        <v>0</v>
      </c>
      <c r="L10" s="1016">
        <f t="shared" si="1"/>
        <v>0</v>
      </c>
      <c r="M10" s="1016">
        <f>SUM(M8:M9)</f>
        <v>0</v>
      </c>
      <c r="N10" s="1016">
        <f>SUM(N8:N9)</f>
        <v>0</v>
      </c>
      <c r="O10" s="1016">
        <f>SUM(O8:O9)</f>
        <v>0</v>
      </c>
      <c r="P10" s="1016">
        <f>SUM(P8:P9)</f>
        <v>64946.445882352964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0.20965749746630113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42580.928571428587</v>
      </c>
      <c r="C17" s="1017">
        <f>'SEAP template'!C87</f>
        <v>390413.57142857159</v>
      </c>
      <c r="D17" s="1015">
        <f>'SEAP template'!D87</f>
        <v>459310.08403361356</v>
      </c>
      <c r="E17" s="1015">
        <f>'SEAP template'!E87</f>
        <v>0</v>
      </c>
      <c r="F17" s="1015">
        <f>'SEAP template'!F87</f>
        <v>0</v>
      </c>
      <c r="G17" s="1015">
        <f>'SEAP template'!G87</f>
        <v>0</v>
      </c>
      <c r="H17" s="1015">
        <f>'SEAP template'!H87</f>
        <v>0</v>
      </c>
      <c r="I17" s="1015">
        <f>'SEAP template'!I87</f>
        <v>0</v>
      </c>
      <c r="J17" s="1015">
        <f>'SEAP template'!J87</f>
        <v>50095.210084033628</v>
      </c>
      <c r="K17" s="1015">
        <f>'SEAP template'!K87</f>
        <v>0</v>
      </c>
      <c r="L17" s="1015">
        <f>'SEAP template'!L87</f>
        <v>0</v>
      </c>
      <c r="M17" s="1015">
        <f>'SEAP template'!M87</f>
        <v>0</v>
      </c>
      <c r="N17" s="1015">
        <f>'SEAP template'!N87</f>
        <v>0</v>
      </c>
      <c r="O17" s="1015">
        <f>'SEAP template'!O87</f>
        <v>0</v>
      </c>
      <c r="P17" s="1015">
        <f>'SEAP template'!Q87</f>
        <v>92780.636974789944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42580.928571428587</v>
      </c>
      <c r="C20" s="1016">
        <f>SUM(C17:C19)</f>
        <v>390413.57142857159</v>
      </c>
      <c r="D20" s="1016">
        <f t="shared" ref="D20:H20" si="2">SUM(D17:D19)</f>
        <v>459310.08403361356</v>
      </c>
      <c r="E20" s="1016">
        <f t="shared" si="2"/>
        <v>0</v>
      </c>
      <c r="F20" s="1016">
        <f t="shared" si="2"/>
        <v>0</v>
      </c>
      <c r="G20" s="1016">
        <f t="shared" si="2"/>
        <v>0</v>
      </c>
      <c r="H20" s="1016">
        <f t="shared" si="2"/>
        <v>0</v>
      </c>
      <c r="I20" s="1016">
        <f>SUM(I17:I19)</f>
        <v>0</v>
      </c>
      <c r="J20" s="1016">
        <f>SUM(J17:J19)</f>
        <v>50095.210084033628</v>
      </c>
      <c r="K20" s="1016">
        <f t="shared" ref="K20:L20" si="3">SUM(K17:K19)</f>
        <v>0</v>
      </c>
      <c r="L20" s="1016">
        <f t="shared" si="3"/>
        <v>0</v>
      </c>
      <c r="M20" s="1016">
        <f>SUM(M17:M19)</f>
        <v>0</v>
      </c>
      <c r="N20" s="1016">
        <f>SUM(N17:N19)</f>
        <v>0</v>
      </c>
      <c r="O20" s="1016">
        <f>SUM(O17:O19)</f>
        <v>0</v>
      </c>
      <c r="P20" s="1016">
        <f>SUM(P17:P19)</f>
        <v>92780.636974789944</v>
      </c>
    </row>
    <row r="21" spans="1:16">
      <c r="B21" s="881"/>
    </row>
    <row r="22" spans="1:16">
      <c r="A22" s="459" t="s">
        <v>749</v>
      </c>
      <c r="B22" s="776" t="s">
        <v>747</v>
      </c>
      <c r="C22" s="776">
        <f ca="1">'EF ele_warmte'!B22</f>
        <v>0.2142767101540318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0.20965749746630113</v>
      </c>
      <c r="C17" s="496">
        <f ca="1">'EF ele_warmte'!B22</f>
        <v>0.2142767101540318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0.20965749746630113</v>
      </c>
      <c r="C17" s="496">
        <f ca="1">'EF ele_warmte'!B22</f>
        <v>0.2142767101540318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0.20965749746630113</v>
      </c>
      <c r="C29" s="497">
        <f ca="1">'EF ele_warmte'!B22</f>
        <v>0.2142767101540318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3303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2531.0300000000002</v>
      </c>
      <c r="C14" s="326"/>
      <c r="D14" s="326"/>
      <c r="E14" s="326"/>
      <c r="F14" s="326"/>
    </row>
    <row r="15" spans="1:6">
      <c r="A15" s="1310" t="s">
        <v>177</v>
      </c>
      <c r="B15" s="1311">
        <v>12306</v>
      </c>
      <c r="C15" s="326"/>
      <c r="D15" s="326"/>
      <c r="E15" s="326"/>
      <c r="F15" s="326"/>
    </row>
    <row r="16" spans="1:6">
      <c r="A16" s="1310" t="s">
        <v>6</v>
      </c>
      <c r="B16" s="1311">
        <v>4008</v>
      </c>
      <c r="C16" s="326"/>
      <c r="D16" s="326"/>
      <c r="E16" s="326"/>
      <c r="F16" s="326"/>
    </row>
    <row r="17" spans="1:6">
      <c r="A17" s="1310" t="s">
        <v>7</v>
      </c>
      <c r="B17" s="1311">
        <v>390</v>
      </c>
      <c r="C17" s="326"/>
      <c r="D17" s="326"/>
      <c r="E17" s="326"/>
      <c r="F17" s="326"/>
    </row>
    <row r="18" spans="1:6">
      <c r="A18" s="1310" t="s">
        <v>8</v>
      </c>
      <c r="B18" s="1311">
        <v>2007</v>
      </c>
      <c r="C18" s="326"/>
      <c r="D18" s="326"/>
      <c r="E18" s="326"/>
      <c r="F18" s="326"/>
    </row>
    <row r="19" spans="1:6">
      <c r="A19" s="1310" t="s">
        <v>9</v>
      </c>
      <c r="B19" s="1311">
        <v>1756</v>
      </c>
      <c r="C19" s="326"/>
      <c r="D19" s="326"/>
      <c r="E19" s="326"/>
      <c r="F19" s="326"/>
    </row>
    <row r="20" spans="1:6">
      <c r="A20" s="1310" t="s">
        <v>10</v>
      </c>
      <c r="B20" s="1311">
        <v>1014</v>
      </c>
      <c r="C20" s="326"/>
      <c r="D20" s="326"/>
      <c r="E20" s="326"/>
      <c r="F20" s="326"/>
    </row>
    <row r="21" spans="1:6">
      <c r="A21" s="1310" t="s">
        <v>11</v>
      </c>
      <c r="B21" s="1311">
        <v>22403</v>
      </c>
      <c r="C21" s="326"/>
      <c r="D21" s="326"/>
      <c r="E21" s="326"/>
      <c r="F21" s="326"/>
    </row>
    <row r="22" spans="1:6">
      <c r="A22" s="1310" t="s">
        <v>12</v>
      </c>
      <c r="B22" s="1311">
        <v>44868</v>
      </c>
      <c r="C22" s="326"/>
      <c r="D22" s="326"/>
      <c r="E22" s="326"/>
      <c r="F22" s="326"/>
    </row>
    <row r="23" spans="1:6">
      <c r="A23" s="1310" t="s">
        <v>13</v>
      </c>
      <c r="B23" s="1311">
        <v>1143</v>
      </c>
      <c r="C23" s="326"/>
      <c r="D23" s="326"/>
      <c r="E23" s="326"/>
      <c r="F23" s="326"/>
    </row>
    <row r="24" spans="1:6">
      <c r="A24" s="1310" t="s">
        <v>14</v>
      </c>
      <c r="B24" s="1311">
        <v>31</v>
      </c>
      <c r="C24" s="326"/>
      <c r="D24" s="326"/>
      <c r="E24" s="326"/>
      <c r="F24" s="326"/>
    </row>
    <row r="25" spans="1:6">
      <c r="A25" s="1310" t="s">
        <v>15</v>
      </c>
      <c r="B25" s="1311">
        <v>5560</v>
      </c>
      <c r="C25" s="326"/>
      <c r="D25" s="326"/>
      <c r="E25" s="326"/>
      <c r="F25" s="326"/>
    </row>
    <row r="26" spans="1:6">
      <c r="A26" s="1310" t="s">
        <v>16</v>
      </c>
      <c r="B26" s="1311">
        <v>9</v>
      </c>
      <c r="C26" s="326"/>
      <c r="D26" s="326"/>
      <c r="E26" s="326"/>
      <c r="F26" s="326"/>
    </row>
    <row r="27" spans="1:6">
      <c r="A27" s="1310" t="s">
        <v>17</v>
      </c>
      <c r="B27" s="1311">
        <v>2206</v>
      </c>
      <c r="C27" s="326"/>
      <c r="D27" s="326"/>
      <c r="E27" s="326"/>
      <c r="F27" s="326"/>
    </row>
    <row r="28" spans="1:6">
      <c r="A28" s="1310" t="s">
        <v>18</v>
      </c>
      <c r="B28" s="1312">
        <v>804364</v>
      </c>
      <c r="C28" s="326"/>
      <c r="D28" s="326"/>
      <c r="E28" s="326"/>
      <c r="F28" s="326"/>
    </row>
    <row r="29" spans="1:6">
      <c r="A29" s="1310" t="s">
        <v>678</v>
      </c>
      <c r="B29" s="1312">
        <v>113</v>
      </c>
      <c r="C29" s="326"/>
      <c r="D29" s="326"/>
      <c r="E29" s="326"/>
      <c r="F29" s="326"/>
    </row>
    <row r="30" spans="1:6">
      <c r="A30" s="1305" t="s">
        <v>679</v>
      </c>
      <c r="B30" s="1313">
        <v>17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60498.413</v>
      </c>
    </row>
    <row r="36" spans="1:6">
      <c r="A36" s="1310" t="s">
        <v>24</v>
      </c>
      <c r="B36" s="1310" t="s">
        <v>26</v>
      </c>
      <c r="C36" s="1311">
        <v>0</v>
      </c>
      <c r="D36" s="1311">
        <v>0</v>
      </c>
      <c r="E36" s="1311">
        <v>9</v>
      </c>
      <c r="F36" s="1311">
        <v>467939.02799999999</v>
      </c>
    </row>
    <row r="37" spans="1:6">
      <c r="A37" s="1310" t="s">
        <v>24</v>
      </c>
      <c r="B37" s="1310" t="s">
        <v>27</v>
      </c>
      <c r="C37" s="1311">
        <v>0</v>
      </c>
      <c r="D37" s="1311">
        <v>0</v>
      </c>
      <c r="E37" s="1311">
        <v>0</v>
      </c>
      <c r="F37" s="1311">
        <v>0</v>
      </c>
    </row>
    <row r="38" spans="1:6">
      <c r="A38" s="1310" t="s">
        <v>24</v>
      </c>
      <c r="B38" s="1310" t="s">
        <v>28</v>
      </c>
      <c r="C38" s="1311">
        <v>3</v>
      </c>
      <c r="D38" s="1311">
        <v>22593234.340879668</v>
      </c>
      <c r="E38" s="1311">
        <v>1</v>
      </c>
      <c r="F38" s="1311">
        <v>5068.9930000000004</v>
      </c>
    </row>
    <row r="39" spans="1:6">
      <c r="A39" s="1310" t="s">
        <v>29</v>
      </c>
      <c r="B39" s="1310" t="s">
        <v>30</v>
      </c>
      <c r="C39" s="1311">
        <v>2434</v>
      </c>
      <c r="D39" s="1311">
        <v>41060582.089163996</v>
      </c>
      <c r="E39" s="1311">
        <v>3337</v>
      </c>
      <c r="F39" s="1311">
        <v>10800499.753318001</v>
      </c>
    </row>
    <row r="40" spans="1:6">
      <c r="A40" s="1310" t="s">
        <v>29</v>
      </c>
      <c r="B40" s="1310" t="s">
        <v>28</v>
      </c>
      <c r="C40" s="1311">
        <v>0</v>
      </c>
      <c r="D40" s="1311">
        <v>0</v>
      </c>
      <c r="E40" s="1311">
        <v>0</v>
      </c>
      <c r="F40" s="1311">
        <v>0</v>
      </c>
    </row>
    <row r="41" spans="1:6">
      <c r="A41" s="1310" t="s">
        <v>31</v>
      </c>
      <c r="B41" s="1310" t="s">
        <v>32</v>
      </c>
      <c r="C41" s="1311">
        <v>43</v>
      </c>
      <c r="D41" s="1311">
        <v>2307680.9821081301</v>
      </c>
      <c r="E41" s="1311">
        <v>89</v>
      </c>
      <c r="F41" s="1311">
        <v>1160054.128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284593.29935040203</v>
      </c>
      <c r="E44" s="1311">
        <v>16</v>
      </c>
      <c r="F44" s="1311">
        <v>551491.99199999997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28699.297925704199</v>
      </c>
      <c r="E48" s="1311">
        <v>3</v>
      </c>
      <c r="F48" s="1311">
        <v>27456.621000000003</v>
      </c>
    </row>
    <row r="49" spans="1:6">
      <c r="A49" s="1310" t="s">
        <v>31</v>
      </c>
      <c r="B49" s="1310" t="s">
        <v>39</v>
      </c>
      <c r="C49" s="1311">
        <v>0</v>
      </c>
      <c r="D49" s="1311">
        <v>0</v>
      </c>
      <c r="E49" s="1311">
        <v>0</v>
      </c>
      <c r="F49" s="1311">
        <v>0</v>
      </c>
    </row>
    <row r="50" spans="1:6">
      <c r="A50" s="1310" t="s">
        <v>31</v>
      </c>
      <c r="B50" s="1310" t="s">
        <v>40</v>
      </c>
      <c r="C50" s="1311">
        <v>3</v>
      </c>
      <c r="D50" s="1311">
        <v>316114.49123418698</v>
      </c>
      <c r="E50" s="1311">
        <v>6</v>
      </c>
      <c r="F50" s="1311">
        <v>1510150.5060000001</v>
      </c>
    </row>
    <row r="51" spans="1:6">
      <c r="A51" s="1310" t="s">
        <v>41</v>
      </c>
      <c r="B51" s="1310" t="s">
        <v>42</v>
      </c>
      <c r="C51" s="1311">
        <v>21</v>
      </c>
      <c r="D51" s="1311">
        <v>915902312.61873698</v>
      </c>
      <c r="E51" s="1311">
        <v>147</v>
      </c>
      <c r="F51" s="1311">
        <v>11823568.836999999</v>
      </c>
    </row>
    <row r="52" spans="1:6">
      <c r="A52" s="1310" t="s">
        <v>41</v>
      </c>
      <c r="B52" s="1310" t="s">
        <v>28</v>
      </c>
      <c r="C52" s="1311">
        <v>0</v>
      </c>
      <c r="D52" s="1311">
        <v>0</v>
      </c>
      <c r="E52" s="1311">
        <v>0</v>
      </c>
      <c r="F52" s="1311">
        <v>0</v>
      </c>
    </row>
    <row r="53" spans="1:6">
      <c r="A53" s="1310" t="s">
        <v>43</v>
      </c>
      <c r="B53" s="1310" t="s">
        <v>44</v>
      </c>
      <c r="C53" s="1311">
        <v>13</v>
      </c>
      <c r="D53" s="1311">
        <v>287852.87568351103</v>
      </c>
      <c r="E53" s="1311">
        <v>23</v>
      </c>
      <c r="F53" s="1311">
        <v>393057.74</v>
      </c>
    </row>
    <row r="54" spans="1:6">
      <c r="A54" s="1310" t="s">
        <v>45</v>
      </c>
      <c r="B54" s="1310" t="s">
        <v>46</v>
      </c>
      <c r="C54" s="1311">
        <v>0</v>
      </c>
      <c r="D54" s="1311">
        <v>0</v>
      </c>
      <c r="E54" s="1311">
        <v>1</v>
      </c>
      <c r="F54" s="1311">
        <v>431196.46600000001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819592.50354756601</v>
      </c>
      <c r="E57" s="1311">
        <v>44</v>
      </c>
      <c r="F57" s="1311">
        <v>2453710.7089999998</v>
      </c>
    </row>
    <row r="58" spans="1:6">
      <c r="A58" s="1310" t="s">
        <v>48</v>
      </c>
      <c r="B58" s="1310" t="s">
        <v>50</v>
      </c>
      <c r="C58" s="1311">
        <v>24</v>
      </c>
      <c r="D58" s="1311">
        <v>4763188.6952413702</v>
      </c>
      <c r="E58" s="1311">
        <v>32</v>
      </c>
      <c r="F58" s="1311">
        <v>1144762.7520000001</v>
      </c>
    </row>
    <row r="59" spans="1:6">
      <c r="A59" s="1310" t="s">
        <v>48</v>
      </c>
      <c r="B59" s="1310" t="s">
        <v>51</v>
      </c>
      <c r="C59" s="1311">
        <v>40</v>
      </c>
      <c r="D59" s="1311">
        <v>1741857.2054810899</v>
      </c>
      <c r="E59" s="1311">
        <v>98</v>
      </c>
      <c r="F59" s="1311">
        <v>2398630.531</v>
      </c>
    </row>
    <row r="60" spans="1:6">
      <c r="A60" s="1310" t="s">
        <v>48</v>
      </c>
      <c r="B60" s="1310" t="s">
        <v>52</v>
      </c>
      <c r="C60" s="1311">
        <v>20</v>
      </c>
      <c r="D60" s="1311">
        <v>927169.13820667099</v>
      </c>
      <c r="E60" s="1311">
        <v>32</v>
      </c>
      <c r="F60" s="1311">
        <v>1560273.406</v>
      </c>
    </row>
    <row r="61" spans="1:6">
      <c r="A61" s="1310" t="s">
        <v>48</v>
      </c>
      <c r="B61" s="1310" t="s">
        <v>53</v>
      </c>
      <c r="C61" s="1311">
        <v>65</v>
      </c>
      <c r="D61" s="1311">
        <v>10920605.318956301</v>
      </c>
      <c r="E61" s="1311">
        <v>94</v>
      </c>
      <c r="F61" s="1311">
        <v>3664254.0809999998</v>
      </c>
    </row>
    <row r="62" spans="1:6">
      <c r="A62" s="1310" t="s">
        <v>48</v>
      </c>
      <c r="B62" s="1310" t="s">
        <v>54</v>
      </c>
      <c r="C62" s="1311">
        <v>0</v>
      </c>
      <c r="D62" s="1311">
        <v>0</v>
      </c>
      <c r="E62" s="1311">
        <v>3</v>
      </c>
      <c r="F62" s="1311">
        <v>102963.93700000001</v>
      </c>
    </row>
    <row r="63" spans="1:6">
      <c r="A63" s="1310" t="s">
        <v>48</v>
      </c>
      <c r="B63" s="1310" t="s">
        <v>28</v>
      </c>
      <c r="C63" s="1311">
        <v>1</v>
      </c>
      <c r="D63" s="1311">
        <v>68180.401365077603</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24580.698493534001</v>
      </c>
      <c r="E65" s="1311">
        <v>0</v>
      </c>
      <c r="F65" s="1311">
        <v>0</v>
      </c>
    </row>
    <row r="66" spans="1:6">
      <c r="A66" s="1310" t="s">
        <v>55</v>
      </c>
      <c r="B66" s="1310" t="s">
        <v>57</v>
      </c>
      <c r="C66" s="1311">
        <v>0</v>
      </c>
      <c r="D66" s="1311">
        <v>0</v>
      </c>
      <c r="E66" s="1311">
        <v>3</v>
      </c>
      <c r="F66" s="1311">
        <v>9753.0249999999996</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68688.06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45871296</v>
      </c>
      <c r="E73" s="445"/>
      <c r="F73" s="326"/>
    </row>
    <row r="74" spans="1:6">
      <c r="A74" s="1310" t="s">
        <v>63</v>
      </c>
      <c r="B74" s="1310" t="s">
        <v>632</v>
      </c>
      <c r="C74" s="1323" t="s">
        <v>634</v>
      </c>
      <c r="D74" s="1311">
        <v>3333769.6128745838</v>
      </c>
      <c r="E74" s="445"/>
      <c r="F74" s="326"/>
    </row>
    <row r="75" spans="1:6">
      <c r="A75" s="1310" t="s">
        <v>64</v>
      </c>
      <c r="B75" s="1310" t="s">
        <v>631</v>
      </c>
      <c r="C75" s="1323" t="s">
        <v>635</v>
      </c>
      <c r="D75" s="1311">
        <v>8323123</v>
      </c>
      <c r="E75" s="445"/>
      <c r="F75" s="326"/>
    </row>
    <row r="76" spans="1:6">
      <c r="A76" s="1310" t="s">
        <v>64</v>
      </c>
      <c r="B76" s="1310" t="s">
        <v>632</v>
      </c>
      <c r="C76" s="1323" t="s">
        <v>636</v>
      </c>
      <c r="D76" s="1311">
        <v>219856.61287458398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225852.77425083201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3357.7705702174294</v>
      </c>
      <c r="C91" s="326"/>
      <c r="D91" s="326"/>
      <c r="E91" s="326"/>
      <c r="F91" s="326"/>
    </row>
    <row r="92" spans="1:6">
      <c r="A92" s="1305" t="s">
        <v>68</v>
      </c>
      <c r="B92" s="1306">
        <v>1673.0997592582626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1528</v>
      </c>
      <c r="C97" s="326"/>
      <c r="D97" s="326"/>
      <c r="E97" s="326"/>
      <c r="F97" s="326"/>
    </row>
    <row r="98" spans="1:6">
      <c r="A98" s="1310" t="s">
        <v>71</v>
      </c>
      <c r="B98" s="1311">
        <v>2</v>
      </c>
      <c r="C98" s="326"/>
      <c r="D98" s="326"/>
      <c r="E98" s="326"/>
      <c r="F98" s="326"/>
    </row>
    <row r="99" spans="1:6">
      <c r="A99" s="1310" t="s">
        <v>72</v>
      </c>
      <c r="B99" s="1311">
        <v>75</v>
      </c>
      <c r="C99" s="326"/>
      <c r="D99" s="326"/>
      <c r="E99" s="326"/>
      <c r="F99" s="326"/>
    </row>
    <row r="100" spans="1:6">
      <c r="A100" s="1310" t="s">
        <v>73</v>
      </c>
      <c r="B100" s="1311">
        <v>103</v>
      </c>
      <c r="C100" s="326"/>
      <c r="D100" s="326"/>
      <c r="E100" s="326"/>
      <c r="F100" s="326"/>
    </row>
    <row r="101" spans="1:6">
      <c r="A101" s="1310" t="s">
        <v>74</v>
      </c>
      <c r="B101" s="1311">
        <v>100</v>
      </c>
      <c r="C101" s="326"/>
      <c r="D101" s="326"/>
      <c r="E101" s="326"/>
      <c r="F101" s="326"/>
    </row>
    <row r="102" spans="1:6">
      <c r="A102" s="1310" t="s">
        <v>75</v>
      </c>
      <c r="B102" s="1311">
        <v>31</v>
      </c>
      <c r="C102" s="326"/>
      <c r="D102" s="326"/>
      <c r="E102" s="326"/>
      <c r="F102" s="326"/>
    </row>
    <row r="103" spans="1:6">
      <c r="A103" s="1310" t="s">
        <v>76</v>
      </c>
      <c r="B103" s="1311">
        <v>63</v>
      </c>
      <c r="C103" s="326"/>
      <c r="D103" s="326"/>
      <c r="E103" s="326"/>
      <c r="F103" s="326"/>
    </row>
    <row r="104" spans="1:6">
      <c r="A104" s="1310" t="s">
        <v>77</v>
      </c>
      <c r="B104" s="1311">
        <v>786</v>
      </c>
      <c r="C104" s="326"/>
      <c r="D104" s="326"/>
      <c r="E104" s="326"/>
      <c r="F104" s="326"/>
    </row>
    <row r="105" spans="1:6">
      <c r="A105" s="1305" t="s">
        <v>78</v>
      </c>
      <c r="B105" s="131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15</v>
      </c>
      <c r="C123" s="1311">
        <v>17</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64</v>
      </c>
      <c r="C129" s="326"/>
      <c r="D129" s="326"/>
      <c r="E129" s="326"/>
      <c r="F129" s="326"/>
    </row>
    <row r="130" spans="1:6">
      <c r="A130" s="1310" t="s">
        <v>284</v>
      </c>
      <c r="B130" s="1311">
        <v>3</v>
      </c>
      <c r="C130" s="326"/>
      <c r="D130" s="326"/>
      <c r="E130" s="326"/>
      <c r="F130" s="326"/>
    </row>
    <row r="131" spans="1:6">
      <c r="A131" s="1310" t="s">
        <v>285</v>
      </c>
      <c r="B131" s="1311">
        <v>0</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43148.770217535246</v>
      </c>
      <c r="C3" s="43" t="s">
        <v>163</v>
      </c>
      <c r="D3" s="43"/>
      <c r="E3" s="154"/>
      <c r="F3" s="43"/>
      <c r="G3" s="43"/>
      <c r="H3" s="43"/>
      <c r="I3" s="43"/>
      <c r="J3" s="43"/>
      <c r="K3" s="96"/>
    </row>
    <row r="4" spans="1:11">
      <c r="A4" s="352" t="s">
        <v>164</v>
      </c>
      <c r="B4" s="49">
        <f>IF(ISERROR('SEAP template'!B78+'SEAP template'!C78),0,'SEAP template'!B78+'SEAP template'!C78)</f>
        <v>309774.02032947569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64946.445882352964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0.20965749746630113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92780.636974789944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432994.50000000012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0.2142767101540318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431.19646599999999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431.19646599999999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0.20965749746630113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90.403571977873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10800.499753318001</v>
      </c>
      <c r="C5" s="17">
        <f>IF(ISERROR('Eigen informatie GS &amp; warmtenet'!B59),0,'Eigen informatie GS &amp; warmtenet'!B59)</f>
        <v>0</v>
      </c>
      <c r="D5" s="30">
        <f>(SUM(HH_hh_gas_kWh,HH_rest_gas_kWh)/1000)*0.903</f>
        <v>37077.70562651509</v>
      </c>
      <c r="E5" s="17">
        <f>B32*B41</f>
        <v>612.99764148318911</v>
      </c>
      <c r="F5" s="17">
        <f>B36*B45</f>
        <v>13428.697366789551</v>
      </c>
      <c r="G5" s="18"/>
      <c r="H5" s="17"/>
      <c r="I5" s="17"/>
      <c r="J5" s="17">
        <f>B35*B44+C35*C44</f>
        <v>76.531615040433024</v>
      </c>
      <c r="K5" s="17"/>
      <c r="L5" s="17"/>
      <c r="M5" s="17"/>
      <c r="N5" s="17">
        <f>B34*B43+C34*C43</f>
        <v>4240.9923484732717</v>
      </c>
      <c r="O5" s="17">
        <f>B52*B53*B54</f>
        <v>162.68457398973661</v>
      </c>
      <c r="P5" s="17">
        <f>B60*B61*B62/1000-B60*B61*B62/1000/B63</f>
        <v>263.34898269212556</v>
      </c>
    </row>
    <row r="6" spans="1:16">
      <c r="A6" s="16" t="s">
        <v>597</v>
      </c>
      <c r="B6" s="778">
        <f>kWh_PV_kleiner_dan_10kW</f>
        <v>3357.7705702174294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14158.270323535431</v>
      </c>
      <c r="C8" s="21">
        <f>C5</f>
        <v>0</v>
      </c>
      <c r="D8" s="21">
        <f>D5</f>
        <v>37077.70562651509</v>
      </c>
      <c r="E8" s="21">
        <f>E5</f>
        <v>612.99764148318911</v>
      </c>
      <c r="F8" s="21">
        <f>F5</f>
        <v>13428.697366789551</v>
      </c>
      <c r="G8" s="21"/>
      <c r="H8" s="21"/>
      <c r="I8" s="21"/>
      <c r="J8" s="21">
        <f>J5</f>
        <v>76.531615040433024</v>
      </c>
      <c r="K8" s="21"/>
      <c r="L8" s="21">
        <f>L5</f>
        <v>0</v>
      </c>
      <c r="M8" s="21">
        <f>M5</f>
        <v>0</v>
      </c>
      <c r="N8" s="21">
        <f>N5</f>
        <v>4240.9923484732717</v>
      </c>
      <c r="O8" s="21">
        <f>O5</f>
        <v>162.68457398973661</v>
      </c>
      <c r="P8" s="21">
        <f>P5</f>
        <v>263.34898269212556</v>
      </c>
    </row>
    <row r="9" spans="1:16">
      <c r="B9" s="19"/>
      <c r="C9" s="19"/>
      <c r="D9" s="254"/>
      <c r="E9" s="19"/>
      <c r="F9" s="19"/>
      <c r="G9" s="19"/>
      <c r="H9" s="19"/>
      <c r="I9" s="19"/>
      <c r="J9" s="19"/>
      <c r="K9" s="19"/>
      <c r="L9" s="19"/>
      <c r="M9" s="19"/>
      <c r="N9" s="19"/>
      <c r="O9" s="19"/>
      <c r="P9" s="19"/>
    </row>
    <row r="10" spans="1:16">
      <c r="A10" s="24" t="s">
        <v>207</v>
      </c>
      <c r="B10" s="25">
        <f ca="1">'EF ele_warmte'!B12</f>
        <v>0.20965749746630113</v>
      </c>
      <c r="C10" s="25">
        <f ca="1">'EF ele_warmte'!B22</f>
        <v>0.2142767101540318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2968.3875244838364</v>
      </c>
      <c r="C12" s="23">
        <f ca="1">C10*C8</f>
        <v>0</v>
      </c>
      <c r="D12" s="23">
        <f>D8*D10</f>
        <v>7489.6965365560482</v>
      </c>
      <c r="E12" s="23">
        <f>E10*E8</f>
        <v>139.15046461668393</v>
      </c>
      <c r="F12" s="23">
        <f>F10*F8</f>
        <v>3585.4621969328105</v>
      </c>
      <c r="G12" s="23"/>
      <c r="H12" s="23"/>
      <c r="I12" s="23"/>
      <c r="J12" s="23">
        <f>J10*J8</f>
        <v>27.092191724313288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3303</v>
      </c>
      <c r="C26" s="36"/>
      <c r="D26" s="225"/>
    </row>
    <row r="27" spans="1:5" s="15" customFormat="1">
      <c r="A27" s="227" t="s">
        <v>860</v>
      </c>
      <c r="B27" s="37">
        <f>SUM(HH_hh_gas_aantal,HH_rest_gas_aantal)</f>
        <v>2434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2312.3000000000002</v>
      </c>
      <c r="C31" s="34" t="s">
        <v>104</v>
      </c>
      <c r="D31" s="171"/>
    </row>
    <row r="32" spans="1:5">
      <c r="A32" s="168" t="s">
        <v>72</v>
      </c>
      <c r="B32" s="33">
        <f>IF((B21*($B$26-($B$27-0.05*$B$27)-$B$60))&lt;0,0,(B21*($B$26-($B$27-0.05*$B$27)-$B$60)))</f>
        <v>15.330679378732736</v>
      </c>
      <c r="C32" s="34" t="s">
        <v>104</v>
      </c>
      <c r="D32" s="171"/>
    </row>
    <row r="33" spans="1:6">
      <c r="A33" s="168" t="s">
        <v>73</v>
      </c>
      <c r="B33" s="33">
        <f>IF((B22*($B$26-($B$27-0.05*$B$27)-$B$60))&lt;0,0,B22*($B$26-($B$27-0.05*$B$27)-$B$60))</f>
        <v>248.93987036685195</v>
      </c>
      <c r="C33" s="34" t="s">
        <v>104</v>
      </c>
      <c r="D33" s="171"/>
    </row>
    <row r="34" spans="1:6">
      <c r="A34" s="168" t="s">
        <v>74</v>
      </c>
      <c r="B34" s="33">
        <f>IF((B24*($B$26-($B$27-0.05*$B$27)-$B$60))&lt;0,0,B24*($B$26-($B$27-0.05*$B$27)-$B$60))</f>
        <v>47.725104578202746</v>
      </c>
      <c r="C34" s="33">
        <f>B26*C24</f>
        <v>676.80431918101544</v>
      </c>
      <c r="D34" s="230"/>
    </row>
    <row r="35" spans="1:6">
      <c r="A35" s="168" t="s">
        <v>76</v>
      </c>
      <c r="B35" s="33">
        <f>IF((B19*($B$26-($B$27-0.05*$B$27)-$B$60))&lt;0,0,B19*($B$26-($B$27-0.05*$B$27)-$B$60))</f>
        <v>6.664209776595075</v>
      </c>
      <c r="C35" s="33">
        <f>B35/2</f>
        <v>3.3321048882975375</v>
      </c>
      <c r="D35" s="230"/>
    </row>
    <row r="36" spans="1:6">
      <c r="A36" s="168" t="s">
        <v>77</v>
      </c>
      <c r="B36" s="33">
        <f>IF((B18*($B$26-($B$27-0.05*$B$27)-$B$60))&lt;0,0,B18*($B$26-($B$27-0.05*$B$27)-$B$60))</f>
        <v>647.0401358996171</v>
      </c>
      <c r="C36" s="34" t="s">
        <v>104</v>
      </c>
      <c r="D36" s="171"/>
    </row>
    <row r="37" spans="1:6">
      <c r="A37" s="168" t="s">
        <v>78</v>
      </c>
      <c r="B37" s="33">
        <f>B60</f>
        <v>25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11324.595416</v>
      </c>
      <c r="C5" s="17">
        <f>IF(ISERROR('Eigen informatie GS &amp; warmtenet'!B60),0,'Eigen informatie GS &amp; warmtenet'!B60)</f>
        <v>0</v>
      </c>
      <c r="D5" s="30">
        <f>SUM(D6:D12)</f>
        <v>17374.255716306659</v>
      </c>
      <c r="E5" s="17">
        <f>SUM(E6:E12)</f>
        <v>51.857956797848885</v>
      </c>
      <c r="F5" s="17">
        <f>SUM(F6:F12)</f>
        <v>3042.4948496863076</v>
      </c>
      <c r="G5" s="18"/>
      <c r="H5" s="17"/>
      <c r="I5" s="17"/>
      <c r="J5" s="17">
        <f>SUM(J6:J12)</f>
        <v>2.4817252437714248E-2</v>
      </c>
      <c r="K5" s="17"/>
      <c r="L5" s="17"/>
      <c r="M5" s="17"/>
      <c r="N5" s="17">
        <f>SUM(N6:N12)</f>
        <v>953.32569966729761</v>
      </c>
      <c r="O5" s="17">
        <f>B38*B39*B40</f>
        <v>14.691782297523464</v>
      </c>
      <c r="P5" s="17">
        <f>B46*B47*B48/1000-B46*B47*B48/1000/B49</f>
        <v>0</v>
      </c>
      <c r="R5" s="32"/>
    </row>
    <row r="6" spans="1:18">
      <c r="A6" s="32" t="s">
        <v>53</v>
      </c>
      <c r="B6" s="37">
        <f>B26</f>
        <v>3664.2540809999996</v>
      </c>
      <c r="C6" s="33"/>
      <c r="D6" s="37">
        <f>IF(ISERROR(TER_kantoor_gas_kWh/1000),0,TER_kantoor_gas_kWh/1000)*0.903</f>
        <v>9861.3066030175396</v>
      </c>
      <c r="E6" s="33">
        <f>$C$26*'E Balans VL '!I12/100/3.6*1000000</f>
        <v>0.87308374479419315</v>
      </c>
      <c r="F6" s="33">
        <f>$C$26*('E Balans VL '!L12+'E Balans VL '!N12)/100/3.6*1000000</f>
        <v>318.2763625136165</v>
      </c>
      <c r="G6" s="34"/>
      <c r="H6" s="33"/>
      <c r="I6" s="33"/>
      <c r="J6" s="33">
        <f>$C$26*('E Balans VL '!D12+'E Balans VL '!E12)/100/3.6*1000000</f>
        <v>0</v>
      </c>
      <c r="K6" s="33"/>
      <c r="L6" s="33"/>
      <c r="M6" s="33"/>
      <c r="N6" s="33">
        <f>$C$26*'E Balans VL '!Y12/100/3.6*1000000</f>
        <v>4.8977882091318046</v>
      </c>
      <c r="O6" s="33"/>
      <c r="P6" s="33"/>
      <c r="R6" s="32"/>
    </row>
    <row r="7" spans="1:18">
      <c r="A7" s="32" t="s">
        <v>52</v>
      </c>
      <c r="B7" s="37">
        <f t="shared" ref="B7:B12" si="0">B27</f>
        <v>1560.273406</v>
      </c>
      <c r="C7" s="33"/>
      <c r="D7" s="37">
        <f>IF(ISERROR(TER_horeca_gas_kWh/1000),0,TER_horeca_gas_kWh/1000)*0.903</f>
        <v>837.2337318006239</v>
      </c>
      <c r="E7" s="33">
        <f>$C$27*'E Balans VL '!I9/100/3.6*1000000</f>
        <v>0</v>
      </c>
      <c r="F7" s="33">
        <f>$C$27*('E Balans VL '!L9+'E Balans VL '!N9)/100/3.6*1000000</f>
        <v>127.13404567390313</v>
      </c>
      <c r="G7" s="34"/>
      <c r="H7" s="33"/>
      <c r="I7" s="33"/>
      <c r="J7" s="33">
        <f>$C$27*('E Balans VL '!D9+'E Balans VL '!E9)/100/3.6*1000000</f>
        <v>0</v>
      </c>
      <c r="K7" s="33"/>
      <c r="L7" s="33"/>
      <c r="M7" s="33"/>
      <c r="N7" s="33">
        <f>$C$27*'E Balans VL '!Y9/100/3.6*1000000</f>
        <v>0.43216668530469921</v>
      </c>
      <c r="O7" s="33"/>
      <c r="P7" s="33"/>
      <c r="R7" s="32"/>
    </row>
    <row r="8" spans="1:18">
      <c r="A8" s="6" t="s">
        <v>51</v>
      </c>
      <c r="B8" s="37">
        <f t="shared" si="0"/>
        <v>2398.6305309999998</v>
      </c>
      <c r="C8" s="33"/>
      <c r="D8" s="37">
        <f>IF(ISERROR(TER_handel_gas_kWh/1000),0,TER_handel_gas_kWh/1000)*0.903</f>
        <v>1572.8970565494244</v>
      </c>
      <c r="E8" s="33">
        <f>$C$28*'E Balans VL '!I13/100/3.6*1000000</f>
        <v>19.173728029296075</v>
      </c>
      <c r="F8" s="33">
        <f>$C$28*('E Balans VL '!L13+'E Balans VL '!N13)/100/3.6*1000000</f>
        <v>238.28903249750385</v>
      </c>
      <c r="G8" s="34"/>
      <c r="H8" s="33"/>
      <c r="I8" s="33"/>
      <c r="J8" s="33">
        <f>$C$28*('E Balans VL '!D13+'E Balans VL '!E13)/100/3.6*1000000</f>
        <v>0</v>
      </c>
      <c r="K8" s="33"/>
      <c r="L8" s="33"/>
      <c r="M8" s="33"/>
      <c r="N8" s="33">
        <f>$C$28*'E Balans VL '!Y13/100/3.6*1000000</f>
        <v>0.89603127932137427</v>
      </c>
      <c r="O8" s="33"/>
      <c r="P8" s="33"/>
      <c r="R8" s="32"/>
    </row>
    <row r="9" spans="1:18">
      <c r="A9" s="32" t="s">
        <v>50</v>
      </c>
      <c r="B9" s="37">
        <f t="shared" si="0"/>
        <v>1144.7627520000001</v>
      </c>
      <c r="C9" s="33"/>
      <c r="D9" s="37">
        <f>IF(ISERROR(TER_gezond_gas_kWh/1000),0,TER_gezond_gas_kWh/1000)*0.903</f>
        <v>4301.1593918029575</v>
      </c>
      <c r="E9" s="33">
        <f>$C$29*'E Balans VL '!I10/100/3.6*1000000</f>
        <v>0</v>
      </c>
      <c r="F9" s="33">
        <f>$C$29*('E Balans VL '!L10+'E Balans VL '!N10)/100/3.6*1000000</f>
        <v>104.36377955134704</v>
      </c>
      <c r="G9" s="34"/>
      <c r="H9" s="33"/>
      <c r="I9" s="33"/>
      <c r="J9" s="33">
        <f>$C$29*('E Balans VL '!D10+'E Balans VL '!E10)/100/3.6*1000000</f>
        <v>0</v>
      </c>
      <c r="K9" s="33"/>
      <c r="L9" s="33"/>
      <c r="M9" s="33"/>
      <c r="N9" s="33">
        <f>$C$29*'E Balans VL '!Y10/100/3.6*1000000</f>
        <v>8.3671898264820967</v>
      </c>
      <c r="O9" s="33"/>
      <c r="P9" s="33"/>
      <c r="R9" s="32"/>
    </row>
    <row r="10" spans="1:18">
      <c r="A10" s="32" t="s">
        <v>49</v>
      </c>
      <c r="B10" s="37">
        <f t="shared" si="0"/>
        <v>2453.710709</v>
      </c>
      <c r="C10" s="33"/>
      <c r="D10" s="37">
        <f>IF(ISERROR(TER_ander_gas_kWh/1000),0,TER_ander_gas_kWh/1000)*0.903</f>
        <v>740.09203070345211</v>
      </c>
      <c r="E10" s="33">
        <f>$C$30*'E Balans VL '!I14/100/3.6*1000000</f>
        <v>31.811145023758613</v>
      </c>
      <c r="F10" s="33">
        <f>$C$30*('E Balans VL '!L14+'E Balans VL '!N14)/100/3.6*1000000</f>
        <v>2250.3972276777795</v>
      </c>
      <c r="G10" s="34"/>
      <c r="H10" s="33"/>
      <c r="I10" s="33"/>
      <c r="J10" s="33">
        <f>$C$30*('E Balans VL '!D14+'E Balans VL '!E14)/100/3.6*1000000</f>
        <v>2.4817252437714248E-2</v>
      </c>
      <c r="K10" s="33"/>
      <c r="L10" s="33"/>
      <c r="M10" s="33"/>
      <c r="N10" s="33">
        <f>$C$30*'E Balans VL '!Y14/100/3.6*1000000</f>
        <v>938.40826478985366</v>
      </c>
      <c r="O10" s="33"/>
      <c r="P10" s="33"/>
      <c r="R10" s="32"/>
    </row>
    <row r="11" spans="1:18">
      <c r="A11" s="32" t="s">
        <v>54</v>
      </c>
      <c r="B11" s="37">
        <f t="shared" si="0"/>
        <v>102.963937</v>
      </c>
      <c r="C11" s="33"/>
      <c r="D11" s="37">
        <f>IF(ISERROR(TER_onderwijs_gas_kWh/1000),0,TER_onderwijs_gas_kWh/1000)*0.903</f>
        <v>0</v>
      </c>
      <c r="E11" s="33">
        <f>$C$31*'E Balans VL '!I11/100/3.6*1000000</f>
        <v>0</v>
      </c>
      <c r="F11" s="33">
        <f>$C$31*('E Balans VL '!L11+'E Balans VL '!N11)/100/3.6*1000000</f>
        <v>4.0344017721575467</v>
      </c>
      <c r="G11" s="34"/>
      <c r="H11" s="33"/>
      <c r="I11" s="33"/>
      <c r="J11" s="33">
        <f>$C$31*('E Balans VL '!D11+'E Balans VL '!E11)/100/3.6*1000000</f>
        <v>0</v>
      </c>
      <c r="K11" s="33"/>
      <c r="L11" s="33"/>
      <c r="M11" s="33"/>
      <c r="N11" s="33">
        <f>$C$31*'E Balans VL '!Y11/100/3.6*1000000</f>
        <v>0.32425887720393143</v>
      </c>
      <c r="O11" s="33"/>
      <c r="P11" s="33"/>
      <c r="R11" s="32"/>
    </row>
    <row r="12" spans="1:18">
      <c r="A12" s="32" t="s">
        <v>249</v>
      </c>
      <c r="B12" s="37">
        <f t="shared" si="0"/>
        <v>0</v>
      </c>
      <c r="C12" s="33"/>
      <c r="D12" s="37">
        <f>IF(ISERROR(TER_rest_gas_kWh/1000),0,TER_rest_gas_kWh/1000)*0.903</f>
        <v>61.566902432665074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energieproductie'!N55+'lokale energieproductie'!N48</f>
        <v>1647</v>
      </c>
      <c r="C13" s="243">
        <f ca="1">'lokale energieproductie'!O55+'lokale energieproductie'!O48</f>
        <v>0</v>
      </c>
      <c r="D13" s="304">
        <f ca="1">('lokale energieproductie'!P48+'lokale energieproductie'!P55)*(-1)</f>
        <v>0</v>
      </c>
      <c r="E13" s="244"/>
      <c r="F13" s="304">
        <f ca="1">('lokale energieproductie'!S48+'lokale energieproductie'!S55)*(-1)</f>
        <v>0</v>
      </c>
      <c r="G13" s="245"/>
      <c r="H13" s="244"/>
      <c r="I13" s="244"/>
      <c r="J13" s="244"/>
      <c r="K13" s="244"/>
      <c r="L13" s="304">
        <f ca="1">('lokale energieproductie'!U48+'lokale energieproductie'!T48+'lokale energieproductie'!U55+'lokale energieproductie'!T55)*(-1)</f>
        <v>0</v>
      </c>
      <c r="M13" s="244"/>
      <c r="N13" s="304">
        <f ca="1">('lokale energieproductie'!Q48+'lokale energieproductie'!R48+'lokale energieproductie'!V48+'lokale energieproductie'!Q55+'lokale energieproductie'!R55+'lokale energieproductie'!V55)*(-1)</f>
        <v>-4705.7142857142862</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12971.595416</v>
      </c>
      <c r="C16" s="21">
        <f t="shared" ca="1" si="1"/>
        <v>0</v>
      </c>
      <c r="D16" s="21">
        <f t="shared" ca="1" si="1"/>
        <v>17374.255716306659</v>
      </c>
      <c r="E16" s="21">
        <f t="shared" si="1"/>
        <v>51.857956797848885</v>
      </c>
      <c r="F16" s="21">
        <f t="shared" ca="1" si="1"/>
        <v>3042.4948496863076</v>
      </c>
      <c r="G16" s="21">
        <f t="shared" si="1"/>
        <v>0</v>
      </c>
      <c r="H16" s="21">
        <f t="shared" si="1"/>
        <v>0</v>
      </c>
      <c r="I16" s="21">
        <f t="shared" si="1"/>
        <v>0</v>
      </c>
      <c r="J16" s="21">
        <f t="shared" si="1"/>
        <v>2.4817252437714248E-2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0.20965749746630113</v>
      </c>
      <c r="C18" s="25">
        <f ca="1">'EF ele_warmte'!B22</f>
        <v>0.2142767101540318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2719.5922330639032</v>
      </c>
      <c r="C20" s="23">
        <f t="shared" ref="C20:P20" ca="1" si="2">C16*C18</f>
        <v>0</v>
      </c>
      <c r="D20" s="23">
        <f t="shared" ca="1" si="2"/>
        <v>3509.5996546939455</v>
      </c>
      <c r="E20" s="23">
        <f t="shared" si="2"/>
        <v>11.771756193111697</v>
      </c>
      <c r="F20" s="23">
        <f t="shared" ca="1" si="2"/>
        <v>812.34612486624417</v>
      </c>
      <c r="G20" s="23">
        <f t="shared" si="2"/>
        <v>0</v>
      </c>
      <c r="H20" s="23">
        <f t="shared" si="2"/>
        <v>0</v>
      </c>
      <c r="I20" s="23">
        <f t="shared" si="2"/>
        <v>0</v>
      </c>
      <c r="J20" s="23">
        <f t="shared" si="2"/>
        <v>8.7853073629508439E-3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3664.2540809999996</v>
      </c>
      <c r="C26" s="39">
        <f>IF(ISERROR(B26*3.6/1000000/'E Balans VL '!Z12*100),0,B26*3.6/1000000/'E Balans VL '!Z12*100)</f>
        <v>0.10512710475887002</v>
      </c>
      <c r="D26" s="233" t="s">
        <v>835</v>
      </c>
      <c r="F26" s="6"/>
    </row>
    <row r="27" spans="1:18" ht="30">
      <c r="A27" s="228" t="s">
        <v>52</v>
      </c>
      <c r="B27" s="33">
        <f>IF(ISERROR(TER_horeca_ele_kWh/1000),0,TER_horeca_ele_kWh/1000)</f>
        <v>1560.273406</v>
      </c>
      <c r="C27" s="39">
        <f>IF(ISERROR(B27*3.6/1000000/'E Balans VL '!Z9*100),0,B27*3.6/1000000/'E Balans VL '!Z9*100)</f>
        <v>0.11430618211582912</v>
      </c>
      <c r="D27" s="233" t="s">
        <v>835</v>
      </c>
      <c r="F27" s="6"/>
    </row>
    <row r="28" spans="1:18" ht="30">
      <c r="A28" s="168" t="s">
        <v>51</v>
      </c>
      <c r="B28" s="33">
        <f>IF(ISERROR(TER_handel_ele_kWh/1000),0,TER_handel_ele_kWh/1000)</f>
        <v>2398.6305309999998</v>
      </c>
      <c r="C28" s="39">
        <f>IF(ISERROR(B28*3.6/1000000/'E Balans VL '!Z13*100),0,B28*3.6/1000000/'E Balans VL '!Z13*100)</f>
        <v>7.4119706536027605E-2</v>
      </c>
      <c r="D28" s="233" t="s">
        <v>835</v>
      </c>
      <c r="F28" s="6"/>
    </row>
    <row r="29" spans="1:18" ht="30">
      <c r="A29" s="228" t="s">
        <v>50</v>
      </c>
      <c r="B29" s="33">
        <f>IF(ISERROR(TER_gezond_ele_kWh/1000),0,TER_gezond_ele_kWh/1000)</f>
        <v>1144.7627520000001</v>
      </c>
      <c r="C29" s="39">
        <f>IF(ISERROR(B29*3.6/1000000/'E Balans VL '!Z10*100),0,B29*3.6/1000000/'E Balans VL '!Z10*100)</f>
        <v>0.11219378879064631</v>
      </c>
      <c r="D29" s="233" t="s">
        <v>835</v>
      </c>
      <c r="F29" s="6"/>
    </row>
    <row r="30" spans="1:18" ht="30">
      <c r="A30" s="228" t="s">
        <v>49</v>
      </c>
      <c r="B30" s="33">
        <f>IF(ISERROR(TER_ander_ele_kWh/1000),0,TER_ander_ele_kWh/1000)</f>
        <v>2453.710709</v>
      </c>
      <c r="C30" s="39">
        <f>IF(ISERROR(B30*3.6/1000000/'E Balans VL '!Z14*100),0,B30*3.6/1000000/'E Balans VL '!Z14*100)</f>
        <v>0.10164062431828362</v>
      </c>
      <c r="D30" s="233" t="s">
        <v>835</v>
      </c>
      <c r="F30" s="6"/>
    </row>
    <row r="31" spans="1:18" ht="30">
      <c r="A31" s="228" t="s">
        <v>54</v>
      </c>
      <c r="B31" s="33">
        <f>IF(ISERROR(TER_onderwijs_ele_kWh/1000),0,TER_onderwijs_ele_kWh/1000)</f>
        <v>102.963937</v>
      </c>
      <c r="C31" s="39">
        <f>IF(ISERROR(B31*3.6/1000000/'E Balans VL '!Z11*100),0,B31*3.6/1000000/'E Balans VL '!Z11*100)</f>
        <v>3.163768746664089E-2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3249.1532469999997</v>
      </c>
      <c r="C5" s="17">
        <f>IF(ISERROR('Eigen informatie GS &amp; warmtenet'!B61),0,'Eigen informatie GS &amp; warmtenet'!B61)</f>
        <v>0</v>
      </c>
      <c r="D5" s="30">
        <f>SUM(D6:D15)</f>
        <v>2652.1905277684364</v>
      </c>
      <c r="E5" s="17">
        <f>SUM(E6:E15)</f>
        <v>11.533206306070776</v>
      </c>
      <c r="F5" s="17">
        <f>SUM(F6:F15)</f>
        <v>819.2277872808113</v>
      </c>
      <c r="G5" s="18"/>
      <c r="H5" s="17"/>
      <c r="I5" s="17"/>
      <c r="J5" s="17">
        <f>SUM(J6:J15)</f>
        <v>0.60081542421943757</v>
      </c>
      <c r="K5" s="17"/>
      <c r="L5" s="17"/>
      <c r="M5" s="17"/>
      <c r="N5" s="17">
        <f>SUM(N6:N15)</f>
        <v>119.72812632246128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551.49199199999998</v>
      </c>
      <c r="C8" s="33"/>
      <c r="D8" s="37">
        <f>IF( ISERROR(IND_metaal_Gas_kWH/1000),0,IND_metaal_Gas_kWH/1000)*0.903</f>
        <v>256.98774931341308</v>
      </c>
      <c r="E8" s="33">
        <f>C30*'E Balans VL '!I18/100/3.6*1000000</f>
        <v>3.0062688576889127</v>
      </c>
      <c r="F8" s="33">
        <f>C30*'E Balans VL '!L18/100/3.6*1000000+C30*'E Balans VL '!N18/100/3.6*1000000</f>
        <v>35.516126409248216</v>
      </c>
      <c r="G8" s="34"/>
      <c r="H8" s="33"/>
      <c r="I8" s="33"/>
      <c r="J8" s="40">
        <f>C30*'E Balans VL '!D18/100/3.6*1000000+C30*'E Balans VL '!E18/100/3.6*1000000</f>
        <v>0.45173921156321578</v>
      </c>
      <c r="K8" s="33"/>
      <c r="L8" s="33"/>
      <c r="M8" s="33"/>
      <c r="N8" s="33">
        <f>C30*'E Balans VL '!Y18/100/3.6*1000000</f>
        <v>11.914620062962705</v>
      </c>
      <c r="O8" s="33"/>
      <c r="P8" s="33"/>
      <c r="R8" s="32"/>
    </row>
    <row r="9" spans="1:18">
      <c r="A9" s="6" t="s">
        <v>32</v>
      </c>
      <c r="B9" s="37">
        <f t="shared" si="0"/>
        <v>1160.054128</v>
      </c>
      <c r="C9" s="33"/>
      <c r="D9" s="37">
        <f>IF( ISERROR(IND_andere_gas_kWh/1000),0,IND_andere_gas_kWh/1000)*0.903</f>
        <v>2083.8359268436416</v>
      </c>
      <c r="E9" s="33">
        <f>C31*'E Balans VL '!I19/100/3.6*1000000</f>
        <v>3.7448522830465687</v>
      </c>
      <c r="F9" s="33">
        <f>C31*'E Balans VL '!L19/100/3.6*1000000+C31*'E Balans VL '!N19/100/3.6*1000000</f>
        <v>750.100105660954</v>
      </c>
      <c r="G9" s="34"/>
      <c r="H9" s="33"/>
      <c r="I9" s="33"/>
      <c r="J9" s="40">
        <f>C31*'E Balans VL '!D19/100/3.6*1000000+C31*'E Balans VL '!E19/100/3.6*1000000</f>
        <v>0</v>
      </c>
      <c r="K9" s="33"/>
      <c r="L9" s="33"/>
      <c r="M9" s="33"/>
      <c r="N9" s="33">
        <f>C31*'E Balans VL '!Y19/100/3.6*1000000</f>
        <v>46.876447332446034</v>
      </c>
      <c r="O9" s="33"/>
      <c r="P9" s="33"/>
      <c r="R9" s="32"/>
    </row>
    <row r="10" spans="1:18">
      <c r="A10" s="6" t="s">
        <v>40</v>
      </c>
      <c r="B10" s="37">
        <f t="shared" si="0"/>
        <v>1510.150506</v>
      </c>
      <c r="C10" s="33"/>
      <c r="D10" s="37">
        <f>IF( ISERROR(IND_voed_gas_kWh/1000),0,IND_voed_gas_kWh/1000)*0.903</f>
        <v>285.45138558447087</v>
      </c>
      <c r="E10" s="33">
        <f>C32*'E Balans VL '!I20/100/3.6*1000000</f>
        <v>3.1656455585356533</v>
      </c>
      <c r="F10" s="33">
        <f>C32*'E Balans VL '!L20/100/3.6*1000000+C32*'E Balans VL '!N20/100/3.6*1000000</f>
        <v>29.42295075151625</v>
      </c>
      <c r="G10" s="34"/>
      <c r="H10" s="33"/>
      <c r="I10" s="33"/>
      <c r="J10" s="40">
        <f>C32*'E Balans VL '!D20/100/3.6*1000000+C32*'E Balans VL '!E20/100/3.6*1000000</f>
        <v>0</v>
      </c>
      <c r="K10" s="33"/>
      <c r="L10" s="33"/>
      <c r="M10" s="33"/>
      <c r="N10" s="33">
        <f>C32*'E Balans VL '!Y20/100/3.6*1000000</f>
        <v>60.069600377875751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27.456621000000002</v>
      </c>
      <c r="C15" s="33"/>
      <c r="D15" s="37">
        <f>IF( ISERROR(IND_rest_gas_kWh/1000),0,IND_rest_gas_kWh/1000)*0.903</f>
        <v>25.915466026910892</v>
      </c>
      <c r="E15" s="33">
        <f>C37*'E Balans VL '!I15/100/3.6*1000000</f>
        <v>1.616439606799642</v>
      </c>
      <c r="F15" s="33">
        <f>C37*'E Balans VL '!L15/100/3.6*1000000+C37*'E Balans VL '!N15/100/3.6*1000000</f>
        <v>4.1886044590928115</v>
      </c>
      <c r="G15" s="34"/>
      <c r="H15" s="33"/>
      <c r="I15" s="33"/>
      <c r="J15" s="40">
        <f>C37*'E Balans VL '!D15/100/3.6*1000000+C37*'E Balans VL '!E15/100/3.6*1000000</f>
        <v>0.14907621265622176</v>
      </c>
      <c r="K15" s="33"/>
      <c r="L15" s="33"/>
      <c r="M15" s="33"/>
      <c r="N15" s="33">
        <f>C37*'E Balans VL '!Y15/100/3.6*1000000</f>
        <v>0.86745854917678333</v>
      </c>
      <c r="O15" s="33"/>
      <c r="P15" s="33"/>
      <c r="R15" s="32"/>
    </row>
    <row r="16" spans="1:18">
      <c r="A16" s="16" t="s">
        <v>467</v>
      </c>
      <c r="B16" s="243">
        <f>'lokale energieproductie'!N54+'lokale energieproductie'!N47</f>
        <v>0</v>
      </c>
      <c r="C16" s="243">
        <f>'lokale energieproductie'!O54+'lokale energieproductie'!O47</f>
        <v>0</v>
      </c>
      <c r="D16" s="304">
        <f>('lokale energieproductie'!P47+'lokale energieproductie'!P54)*(-1)</f>
        <v>0</v>
      </c>
      <c r="E16" s="244"/>
      <c r="F16" s="304">
        <f>('lokale energieproductie'!S47+'lokale energieproductie'!S54)*(-1)</f>
        <v>0</v>
      </c>
      <c r="G16" s="245"/>
      <c r="H16" s="244"/>
      <c r="I16" s="244"/>
      <c r="J16" s="244"/>
      <c r="K16" s="244"/>
      <c r="L16" s="304">
        <f>('lokale energieproductie'!T47+'lokale energieproductie'!U47+'lokale energieproductie'!T54+'lokale energieproductie'!U54)*(-1)</f>
        <v>0</v>
      </c>
      <c r="M16" s="244"/>
      <c r="N16" s="304">
        <f>('lokale energieproductie'!Q47+'lokale energieproductie'!R47+'lokale energieproductie'!V47+'lokale energieproductie'!Q54+'lokale energieproductie'!R54+'lokale energieproductie'!V54)*(-1)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3249.1532469999997</v>
      </c>
      <c r="C18" s="21">
        <f>C5+C16</f>
        <v>0</v>
      </c>
      <c r="D18" s="21">
        <f>MAX((D5+D16),0)</f>
        <v>2652.1905277684364</v>
      </c>
      <c r="E18" s="21">
        <f>MAX((E5+E16),0)</f>
        <v>11.533206306070776</v>
      </c>
      <c r="F18" s="21">
        <f>MAX((F5+F16),0)</f>
        <v>819.2277872808113</v>
      </c>
      <c r="G18" s="21"/>
      <c r="H18" s="21"/>
      <c r="I18" s="21"/>
      <c r="J18" s="21">
        <f>MAX((J5+J16),0)</f>
        <v>0.60081542421943757</v>
      </c>
      <c r="K18" s="21"/>
      <c r="L18" s="21">
        <f>MAX((L5+L16),0)</f>
        <v>0</v>
      </c>
      <c r="M18" s="21"/>
      <c r="N18" s="21">
        <f>MAX((N5+N16),0)</f>
        <v>119.72812632246128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0.20965749746630113</v>
      </c>
      <c r="C20" s="25">
        <f ca="1">'EF ele_warmte'!B22</f>
        <v>0.2142767101540318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681.20933865052655</v>
      </c>
      <c r="C22" s="23">
        <f ca="1">C18*C20</f>
        <v>0</v>
      </c>
      <c r="D22" s="23">
        <f>D18*D20</f>
        <v>535.74248660922422</v>
      </c>
      <c r="E22" s="23">
        <f>E18*E20</f>
        <v>2.6180378314780661</v>
      </c>
      <c r="F22" s="23">
        <f>F18*F20</f>
        <v>218.73381920397662</v>
      </c>
      <c r="G22" s="23"/>
      <c r="H22" s="23"/>
      <c r="I22" s="23"/>
      <c r="J22" s="23">
        <f>J18*J20</f>
        <v>0.21268866017368088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551.49199199999998</v>
      </c>
      <c r="C30" s="39">
        <f>IF(ISERROR(B30*3.6/1000000/'E Balans VL '!Z18*100),0,B30*3.6/1000000/'E Balans VL '!Z18*100)</f>
        <v>3.3209335544773975E-2</v>
      </c>
      <c r="D30" s="233" t="s">
        <v>835</v>
      </c>
    </row>
    <row r="31" spans="1:18" ht="30">
      <c r="A31" s="6" t="s">
        <v>32</v>
      </c>
      <c r="B31" s="37">
        <f>IF( ISERROR(IND_ander_ele_kWh/1000),0,IND_ander_ele_kWh/1000)</f>
        <v>1160.054128</v>
      </c>
      <c r="C31" s="39">
        <f>IF(ISERROR(B31*3.6/1000000/'E Balans VL '!Z19*100),0,B31*3.6/1000000/'E Balans VL '!Z19*100)</f>
        <v>4.726300676314283E-2</v>
      </c>
      <c r="D31" s="233" t="s">
        <v>835</v>
      </c>
    </row>
    <row r="32" spans="1:18" ht="30">
      <c r="A32" s="168" t="s">
        <v>40</v>
      </c>
      <c r="B32" s="37">
        <f>IF( ISERROR(IND_voed_ele_kWh/1000),0,IND_voed_ele_kWh/1000)</f>
        <v>1510.150506</v>
      </c>
      <c r="C32" s="39">
        <f>IF(ISERROR(B32*3.6/1000000/'E Balans VL '!Z20*100),0,B32*3.6/1000000/'E Balans VL '!Z20*100)</f>
        <v>4.3664528428208831E-2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27.456621000000002</v>
      </c>
      <c r="C37" s="39">
        <f>IF(ISERROR(B37*3.6/1000000/'E Balans VL '!Z15*100),0,B37*3.6/1000000/'E Balans VL '!Z15*100)</f>
        <v>2.2543965464701815E-4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11823.568836999999</v>
      </c>
      <c r="C5" s="17">
        <f>'Eigen informatie GS &amp; warmtenet'!B62</f>
        <v>0</v>
      </c>
      <c r="D5" s="30">
        <f>IF(ISERROR(SUM(LB_lb_gas_kWh,LB_rest_gas_kWh)/1000),0,SUM(LB_lb_gas_kWh,LB_rest_gas_kWh)/1000)*0.903</f>
        <v>827059.78829471953</v>
      </c>
      <c r="E5" s="17">
        <f>B17*'E Balans VL '!I25/3.6*1000000/100</f>
        <v>338.64702063341497</v>
      </c>
      <c r="F5" s="17">
        <f>B17*('E Balans VL '!L25/3.6*1000000+'E Balans VL '!N25/3.6*1000000)/100</f>
        <v>37427.311321933856</v>
      </c>
      <c r="G5" s="18"/>
      <c r="H5" s="17"/>
      <c r="I5" s="17"/>
      <c r="J5" s="17">
        <f>('E Balans VL '!D25+'E Balans VL '!E25)/3.6*1000000*landbouw!B17/100</f>
        <v>3006.3622669056781</v>
      </c>
      <c r="K5" s="17"/>
      <c r="L5" s="17">
        <f>L6*(-1)</f>
        <v>0</v>
      </c>
      <c r="M5" s="17"/>
      <c r="N5" s="17">
        <f>N6*(-1)</f>
        <v>85161.857142857159</v>
      </c>
      <c r="O5" s="17"/>
      <c r="P5" s="17"/>
      <c r="R5" s="32"/>
    </row>
    <row r="6" spans="1:18">
      <c r="A6" s="16" t="s">
        <v>467</v>
      </c>
      <c r="B6" s="17" t="s">
        <v>204</v>
      </c>
      <c r="C6" s="17">
        <f>'lokale energieproductie'!O56+'lokale energieproductie'!O49</f>
        <v>432994.50000000012</v>
      </c>
      <c r="D6" s="304">
        <f>('lokale energieproductie'!P49+'lokale energieproductie'!P56)*(-1)</f>
        <v>-780827.14285714307</v>
      </c>
      <c r="E6" s="244"/>
      <c r="F6" s="304">
        <f>('lokale energieproductie'!S49+'lokale energieproductie'!S56)*(-1)</f>
        <v>0</v>
      </c>
      <c r="G6" s="245"/>
      <c r="H6" s="244"/>
      <c r="I6" s="244"/>
      <c r="J6" s="244"/>
      <c r="K6" s="244"/>
      <c r="L6" s="304">
        <f>('lokale energieproductie'!T49+'lokale energieproductie'!U49+'lokale energieproductie'!T56+'lokale energieproductie'!U56)*(-1)</f>
        <v>0</v>
      </c>
      <c r="M6" s="244"/>
      <c r="N6" s="304">
        <f>('lokale energieproductie'!V49+'lokale energieproductie'!R49+'lokale energieproductie'!Q49+'lokale energieproductie'!Q56+'lokale energieproductie'!R56+'lokale energieproductie'!V56)*(-1)</f>
        <v>-85161.857142857159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11823.568836999999</v>
      </c>
      <c r="C8" s="21">
        <f>C5+C6</f>
        <v>432994.50000000012</v>
      </c>
      <c r="D8" s="21">
        <f>MAX((D5+D6),0)</f>
        <v>46232.645437576459</v>
      </c>
      <c r="E8" s="21">
        <f>MAX((E5+E6),0)</f>
        <v>338.64702063341497</v>
      </c>
      <c r="F8" s="21">
        <f>MAX((F5+F6),0)</f>
        <v>37427.311321933856</v>
      </c>
      <c r="G8" s="21"/>
      <c r="H8" s="21"/>
      <c r="I8" s="21"/>
      <c r="J8" s="21">
        <f>MAX((J5+J6),0)</f>
        <v>3006.3622669056781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0.20965749746630113</v>
      </c>
      <c r="C10" s="31">
        <f ca="1">'EF ele_warmte'!B22</f>
        <v>0.2142767101540318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2478.8998534859643</v>
      </c>
      <c r="C12" s="23">
        <f ca="1">C8*C10</f>
        <v>92780.636974789944</v>
      </c>
      <c r="D12" s="23">
        <f>D8*D10</f>
        <v>9338.9943783904455</v>
      </c>
      <c r="E12" s="23">
        <f>E8*E10</f>
        <v>76.872873683785201</v>
      </c>
      <c r="F12" s="23">
        <f>F8*F10</f>
        <v>9993.0921229563392</v>
      </c>
      <c r="G12" s="23"/>
      <c r="H12" s="23"/>
      <c r="I12" s="23"/>
      <c r="J12" s="23">
        <f>J8*J10</f>
        <v>1064.25224248461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1.6372960603565447</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930.9003928951322</v>
      </c>
      <c r="C26" s="243">
        <f>B26*'GWP N2O_CH4'!B5</f>
        <v>19548.908250797776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549.11560273783664</v>
      </c>
      <c r="C27" s="243">
        <f>B27*'GWP N2O_CH4'!B5</f>
        <v>11531.427657494569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22.347269869499144</v>
      </c>
      <c r="C28" s="243">
        <f>B28*'GWP N2O_CH4'!B4</f>
        <v>6927.6536595447342</v>
      </c>
      <c r="D28" s="50"/>
    </row>
    <row r="29" spans="1:4">
      <c r="A29" s="41" t="s">
        <v>266</v>
      </c>
      <c r="B29" s="243">
        <f>B34*'ha_N2O bodem landbouw'!B4</f>
        <v>16.506624602536633</v>
      </c>
      <c r="C29" s="243">
        <f>B29*'GWP N2O_CH4'!B4</f>
        <v>5117.0536267863563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3.750009686052051E-3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3.953503216968522E-4</v>
      </c>
      <c r="C5" s="432" t="s">
        <v>204</v>
      </c>
      <c r="D5" s="417">
        <f>SUM(D6:D11)</f>
        <v>7.0259409678335072E-4</v>
      </c>
      <c r="E5" s="417">
        <f>SUM(E6:E11)</f>
        <v>2.7574719149821183E-4</v>
      </c>
      <c r="F5" s="430" t="s">
        <v>204</v>
      </c>
      <c r="G5" s="417">
        <f>SUM(G6:G11)</f>
        <v>0.116158430932131</v>
      </c>
      <c r="H5" s="417">
        <f>SUM(H6:H11)</f>
        <v>3.4380550902952375E-2</v>
      </c>
      <c r="I5" s="432" t="s">
        <v>204</v>
      </c>
      <c r="J5" s="432" t="s">
        <v>204</v>
      </c>
      <c r="K5" s="432" t="s">
        <v>204</v>
      </c>
      <c r="L5" s="432" t="s">
        <v>204</v>
      </c>
      <c r="M5" s="417">
        <f>SUM(M6:M11)</f>
        <v>9.1069045904397829E-3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3.2165895005154666E-4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5.3629755034499368E-4</v>
      </c>
      <c r="E6" s="884">
        <f>vkm_GW_PW*SUMIFS(TableVerdeelsleutelVkm[LPG],TableVerdeelsleutelVkm[Voertuigtype],"Lichte voertuigen")*SUMIFS(TableECFTransport[EnergieConsumptieFactor (PJ per km)],TableECFTransport[Index],CONCATENATE($A6,"_LPG_LPG"))</f>
        <v>2.1262016632111173E-4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6.3897701091675946E-2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2.6300970521636085E-2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5.5334224995866287E-3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8.1110042034730086E-7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3.2152531907866905E-2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2.3723914626243881E-7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1.8461440075819881E-3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7.2826780488696795E-5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1.6629654643835701E-4</v>
      </c>
      <c r="E8" s="420">
        <f>vkm_NGW_PW*SUMIFS(TableVerdeelsleutelVkm[LPG],TableVerdeelsleutelVkm[Voertuigtype],"Lichte voertuigen")*SUMIFS(TableECFTransport[EnergieConsumptieFactor (PJ per km)],TableECFTransport[Index],CONCATENATE($A8,"_LPG_LPG"))</f>
        <v>6.3127025177100104E-5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1.737761263691508E-2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8.0793242576153567E-3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1.5705525829601695E-3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5.3490736261449465E-8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2.7305852956730774E-3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1.8884554672919895E-8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1.5678550031099719E-4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109.81953380468117</v>
      </c>
      <c r="C14" s="21"/>
      <c r="D14" s="21">
        <f t="shared" ref="D14:M14" si="0">((D5)*10^9/3600)+D12</f>
        <v>195.16502688426408</v>
      </c>
      <c r="E14" s="21">
        <f t="shared" si="0"/>
        <v>76.596442082836617</v>
      </c>
      <c r="F14" s="21"/>
      <c r="G14" s="21">
        <f t="shared" si="0"/>
        <v>32266.230814480834</v>
      </c>
      <c r="H14" s="21">
        <f t="shared" si="0"/>
        <v>9550.1530285978806</v>
      </c>
      <c r="I14" s="21"/>
      <c r="J14" s="21"/>
      <c r="K14" s="21"/>
      <c r="L14" s="21"/>
      <c r="M14" s="21">
        <f t="shared" si="0"/>
        <v>2529.6957195666064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0.20965749746630113</v>
      </c>
      <c r="C16" s="56">
        <f ca="1">'EF ele_warmte'!B22</f>
        <v>0.2142767101540318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23.024488630405315</v>
      </c>
      <c r="C18" s="23"/>
      <c r="D18" s="23">
        <f t="shared" ref="D18:M18" si="1">D14*D16</f>
        <v>39.42333543062135</v>
      </c>
      <c r="E18" s="23">
        <f t="shared" si="1"/>
        <v>17.387392352803914</v>
      </c>
      <c r="F18" s="23"/>
      <c r="G18" s="23">
        <f t="shared" si="1"/>
        <v>8615.0836274663834</v>
      </c>
      <c r="H18" s="23">
        <f t="shared" si="1"/>
        <v>2377.9881041208723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4.3591155102505163E-5</v>
      </c>
      <c r="C50" s="315">
        <f t="shared" ref="C50:P50" si="2">SUM(C51:C52)</f>
        <v>0</v>
      </c>
      <c r="D50" s="315">
        <f t="shared" si="2"/>
        <v>0</v>
      </c>
      <c r="E50" s="315">
        <f t="shared" si="2"/>
        <v>0</v>
      </c>
      <c r="F50" s="315">
        <f t="shared" si="2"/>
        <v>0</v>
      </c>
      <c r="G50" s="315">
        <f t="shared" si="2"/>
        <v>2.7289380947084557E-3</v>
      </c>
      <c r="H50" s="315">
        <f t="shared" si="2"/>
        <v>0</v>
      </c>
      <c r="I50" s="315">
        <f t="shared" si="2"/>
        <v>0</v>
      </c>
      <c r="J50" s="315">
        <f t="shared" si="2"/>
        <v>0</v>
      </c>
      <c r="K50" s="315">
        <f t="shared" si="2"/>
        <v>0</v>
      </c>
      <c r="L50" s="315">
        <f t="shared" si="2"/>
        <v>0</v>
      </c>
      <c r="M50" s="315">
        <f t="shared" si="2"/>
        <v>1.5668958289380265E-4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4.3591155102505163E-5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2.7289380947084557E-3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1.5668958289380265E-4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12.108654195140325</v>
      </c>
      <c r="C54" s="21">
        <f t="shared" ref="C54:P54" si="3">(C50)*10^9/3600</f>
        <v>0</v>
      </c>
      <c r="D54" s="21">
        <f t="shared" si="3"/>
        <v>0</v>
      </c>
      <c r="E54" s="21">
        <f t="shared" si="3"/>
        <v>0</v>
      </c>
      <c r="F54" s="21">
        <f t="shared" si="3"/>
        <v>0</v>
      </c>
      <c r="G54" s="21">
        <f t="shared" si="3"/>
        <v>758.03835964123766</v>
      </c>
      <c r="H54" s="21">
        <f t="shared" si="3"/>
        <v>0</v>
      </c>
      <c r="I54" s="21">
        <f t="shared" si="3"/>
        <v>0</v>
      </c>
      <c r="J54" s="21">
        <f t="shared" si="3"/>
        <v>0</v>
      </c>
      <c r="K54" s="21">
        <f t="shared" si="3"/>
        <v>0</v>
      </c>
      <c r="L54" s="21">
        <f t="shared" si="3"/>
        <v>0</v>
      </c>
      <c r="M54" s="21">
        <f t="shared" si="3"/>
        <v>43.524884137167398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0.20965749746630113</v>
      </c>
      <c r="C56" s="56">
        <f ca="1">'EF ele_warmte'!B22</f>
        <v>0.2142767101540318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2.5386701362379491</v>
      </c>
      <c r="C58" s="23">
        <f t="shared" ref="C58:P58" ca="1" si="4">C54*C56</f>
        <v>0</v>
      </c>
      <c r="D58" s="23">
        <f t="shared" si="4"/>
        <v>0</v>
      </c>
      <c r="E58" s="23">
        <f t="shared" si="4"/>
        <v>0</v>
      </c>
      <c r="F58" s="23">
        <f t="shared" si="4"/>
        <v>0</v>
      </c>
      <c r="G58" s="23">
        <f t="shared" si="4"/>
        <v>202.39624202421047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8"/>
  <sheetViews>
    <sheetView showGridLines="0" zoomScale="65" zoomScaleNormal="65" workbookViewId="0">
      <selection activeCell="A28" sqref="A28:XFD46"/>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5030.8703294756924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N46</f>
        <v>303096.15000000002</v>
      </c>
      <c r="C8" s="543">
        <f>B65</f>
        <v>321517.05882352951</v>
      </c>
      <c r="D8" s="544"/>
      <c r="E8" s="544">
        <f>E65</f>
        <v>0</v>
      </c>
      <c r="F8" s="545"/>
      <c r="G8" s="546"/>
      <c r="H8" s="544">
        <f>I65</f>
        <v>0</v>
      </c>
      <c r="I8" s="544">
        <f>G65+F65</f>
        <v>0</v>
      </c>
      <c r="J8" s="544">
        <f>H65+D65+C65</f>
        <v>35066.647058823532</v>
      </c>
      <c r="K8" s="544"/>
      <c r="L8" s="544"/>
      <c r="M8" s="544"/>
      <c r="N8" s="547"/>
      <c r="O8" s="548">
        <f>C8*$C$12+D8*$D$12+E8*$E$12+F8*$F$12+G8*$G$12+H8*$H$12+I8*$I$12+J8*$J$12</f>
        <v>64946.445882352964</v>
      </c>
      <c r="P8" s="1256"/>
      <c r="Q8" s="1257"/>
      <c r="S8" s="538"/>
      <c r="T8" s="1244"/>
      <c r="U8" s="1244"/>
    </row>
    <row r="9" spans="1:21" s="529" customFormat="1" ht="17.45" customHeight="1" thickBot="1">
      <c r="A9" s="549" t="s">
        <v>237</v>
      </c>
      <c r="B9" s="550">
        <f>N53+'Eigen informatie GS &amp; warmtenet'!B12</f>
        <v>1647</v>
      </c>
      <c r="C9" s="551">
        <f>P53+IF(ISERROR(('Eigen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(T53+U53)+IF(ISERROR('Eigen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V53+Q53+R53+IF(ISERROR('Eigen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309774.02032947569</v>
      </c>
      <c r="C10" s="558">
        <f t="shared" ref="C10:L10" si="0">SUM(C8:C9)</f>
        <v>321517.05882352951</v>
      </c>
      <c r="D10" s="558">
        <f t="shared" si="0"/>
        <v>0</v>
      </c>
      <c r="E10" s="558">
        <f t="shared" si="0"/>
        <v>0</v>
      </c>
      <c r="F10" s="558">
        <f t="shared" si="0"/>
        <v>0</v>
      </c>
      <c r="G10" s="558">
        <f t="shared" si="0"/>
        <v>0</v>
      </c>
      <c r="H10" s="558">
        <f t="shared" si="0"/>
        <v>0</v>
      </c>
      <c r="I10" s="558">
        <f t="shared" si="0"/>
        <v>0</v>
      </c>
      <c r="J10" s="558">
        <f t="shared" si="0"/>
        <v>39772.361344537814</v>
      </c>
      <c r="K10" s="558">
        <f t="shared" si="0"/>
        <v>0</v>
      </c>
      <c r="L10" s="558">
        <f t="shared" si="0"/>
        <v>0</v>
      </c>
      <c r="M10" s="959"/>
      <c r="N10" s="959"/>
      <c r="O10" s="559">
        <f>SUM(O4:O9)</f>
        <v>64946.445882352964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O46</f>
        <v>432994.50000000012</v>
      </c>
      <c r="C17" s="574">
        <f>B66</f>
        <v>459310.08403361356</v>
      </c>
      <c r="D17" s="575"/>
      <c r="E17" s="575">
        <f>E66</f>
        <v>0</v>
      </c>
      <c r="F17" s="576"/>
      <c r="G17" s="577"/>
      <c r="H17" s="574">
        <f>I66</f>
        <v>0</v>
      </c>
      <c r="I17" s="575">
        <f>G66+F66</f>
        <v>0</v>
      </c>
      <c r="J17" s="575">
        <f>H66+D66+C66</f>
        <v>50095.210084033628</v>
      </c>
      <c r="K17" s="575"/>
      <c r="L17" s="575"/>
      <c r="M17" s="575"/>
      <c r="N17" s="960"/>
      <c r="O17" s="578">
        <f>C17*$C$22+E17*$E$22+H17*$H$22+I17*$I$22+J17*$J$22+D17*$D$22+F17*$F$22+G17*$G$22+K17*$K$22+L17*$L$22</f>
        <v>92780.636974789944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432994.50000000012</v>
      </c>
      <c r="C20" s="557">
        <f>SUM(C17:C19)</f>
        <v>459310.08403361356</v>
      </c>
      <c r="D20" s="557">
        <f t="shared" ref="D20:L20" si="1">SUM(D17:D19)</f>
        <v>0</v>
      </c>
      <c r="E20" s="557">
        <f t="shared" si="1"/>
        <v>0</v>
      </c>
      <c r="F20" s="557">
        <f t="shared" si="1"/>
        <v>0</v>
      </c>
      <c r="G20" s="557">
        <f t="shared" si="1"/>
        <v>0</v>
      </c>
      <c r="H20" s="557">
        <f t="shared" si="1"/>
        <v>0</v>
      </c>
      <c r="I20" s="557">
        <f t="shared" si="1"/>
        <v>0</v>
      </c>
      <c r="J20" s="557">
        <f t="shared" si="1"/>
        <v>50095.210084033628</v>
      </c>
      <c r="K20" s="557">
        <f t="shared" si="1"/>
        <v>0</v>
      </c>
      <c r="L20" s="557">
        <f t="shared" si="1"/>
        <v>0</v>
      </c>
      <c r="M20" s="557"/>
      <c r="N20" s="557"/>
      <c r="O20" s="583">
        <f>SUM(O17:O19)</f>
        <v>92780.636974789944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13023</v>
      </c>
      <c r="C28" s="785">
        <v>2330</v>
      </c>
      <c r="D28" s="635"/>
      <c r="E28" s="634"/>
      <c r="F28" s="634"/>
      <c r="G28" s="634" t="s">
        <v>868</v>
      </c>
      <c r="H28" s="634" t="s">
        <v>869</v>
      </c>
      <c r="I28" s="634"/>
      <c r="J28" s="784"/>
      <c r="K28" s="784"/>
      <c r="L28" s="634" t="s">
        <v>870</v>
      </c>
      <c r="M28" s="634">
        <v>2758</v>
      </c>
      <c r="N28" s="634">
        <v>12411</v>
      </c>
      <c r="O28" s="634">
        <v>17730</v>
      </c>
      <c r="P28" s="634">
        <v>35460</v>
      </c>
      <c r="Q28" s="634">
        <v>0</v>
      </c>
      <c r="R28" s="634">
        <v>0</v>
      </c>
      <c r="S28" s="634">
        <v>0</v>
      </c>
      <c r="T28" s="634">
        <v>0</v>
      </c>
      <c r="U28" s="634">
        <v>0</v>
      </c>
      <c r="V28" s="634">
        <v>0</v>
      </c>
      <c r="W28" s="634">
        <v>0</v>
      </c>
      <c r="X28" s="634">
        <v>10</v>
      </c>
      <c r="Y28" s="634" t="s">
        <v>105</v>
      </c>
      <c r="Z28" s="636" t="s">
        <v>105</v>
      </c>
    </row>
    <row r="29" spans="1:26" s="588" customFormat="1" ht="25.5" hidden="1">
      <c r="A29" s="587"/>
      <c r="B29" s="785">
        <v>13023</v>
      </c>
      <c r="C29" s="785">
        <v>2330</v>
      </c>
      <c r="D29" s="635"/>
      <c r="E29" s="634"/>
      <c r="F29" s="634"/>
      <c r="G29" s="634" t="s">
        <v>868</v>
      </c>
      <c r="H29" s="634" t="s">
        <v>869</v>
      </c>
      <c r="I29" s="634"/>
      <c r="J29" s="784"/>
      <c r="K29" s="784"/>
      <c r="L29" s="634" t="s">
        <v>870</v>
      </c>
      <c r="M29" s="634">
        <v>2800</v>
      </c>
      <c r="N29" s="634">
        <v>12600</v>
      </c>
      <c r="O29" s="634">
        <v>18000</v>
      </c>
      <c r="P29" s="634">
        <v>36000</v>
      </c>
      <c r="Q29" s="634">
        <v>0</v>
      </c>
      <c r="R29" s="634">
        <v>0</v>
      </c>
      <c r="S29" s="634">
        <v>0</v>
      </c>
      <c r="T29" s="634">
        <v>0</v>
      </c>
      <c r="U29" s="634">
        <v>0</v>
      </c>
      <c r="V29" s="634">
        <v>0</v>
      </c>
      <c r="W29" s="634">
        <v>0</v>
      </c>
      <c r="X29" s="634">
        <v>10</v>
      </c>
      <c r="Y29" s="634" t="s">
        <v>105</v>
      </c>
      <c r="Z29" s="636" t="s">
        <v>105</v>
      </c>
    </row>
    <row r="30" spans="1:26" s="588" customFormat="1" ht="25.5" hidden="1">
      <c r="A30" s="587"/>
      <c r="B30" s="785">
        <v>13023</v>
      </c>
      <c r="C30" s="785">
        <v>2330</v>
      </c>
      <c r="D30" s="635"/>
      <c r="E30" s="634"/>
      <c r="F30" s="634"/>
      <c r="G30" s="634" t="s">
        <v>868</v>
      </c>
      <c r="H30" s="634" t="s">
        <v>869</v>
      </c>
      <c r="I30" s="634"/>
      <c r="J30" s="784"/>
      <c r="K30" s="784"/>
      <c r="L30" s="634" t="s">
        <v>871</v>
      </c>
      <c r="M30" s="634">
        <v>2678</v>
      </c>
      <c r="N30" s="634">
        <v>12051</v>
      </c>
      <c r="O30" s="634">
        <v>17215.714285714286</v>
      </c>
      <c r="P30" s="634">
        <v>34431.428571428572</v>
      </c>
      <c r="Q30" s="634">
        <v>0</v>
      </c>
      <c r="R30" s="634">
        <v>0</v>
      </c>
      <c r="S30" s="634">
        <v>0</v>
      </c>
      <c r="T30" s="634">
        <v>0</v>
      </c>
      <c r="U30" s="634">
        <v>0</v>
      </c>
      <c r="V30" s="634">
        <v>0</v>
      </c>
      <c r="W30" s="634">
        <v>0</v>
      </c>
      <c r="X30" s="634">
        <v>10</v>
      </c>
      <c r="Y30" s="634" t="s">
        <v>105</v>
      </c>
      <c r="Z30" s="636" t="s">
        <v>105</v>
      </c>
    </row>
    <row r="31" spans="1:26" s="588" customFormat="1" ht="25.5" hidden="1">
      <c r="A31" s="587"/>
      <c r="B31" s="785">
        <v>13023</v>
      </c>
      <c r="C31" s="785">
        <v>2330</v>
      </c>
      <c r="D31" s="635"/>
      <c r="E31" s="634"/>
      <c r="F31" s="634"/>
      <c r="G31" s="634" t="s">
        <v>868</v>
      </c>
      <c r="H31" s="634" t="s">
        <v>869</v>
      </c>
      <c r="I31" s="634"/>
      <c r="J31" s="784"/>
      <c r="K31" s="784"/>
      <c r="L31" s="634" t="s">
        <v>870</v>
      </c>
      <c r="M31" s="634">
        <v>3183</v>
      </c>
      <c r="N31" s="634">
        <v>14323.5</v>
      </c>
      <c r="O31" s="634">
        <v>20462.142857142859</v>
      </c>
      <c r="P31" s="634">
        <v>40924.285714285717</v>
      </c>
      <c r="Q31" s="634">
        <v>0</v>
      </c>
      <c r="R31" s="634">
        <v>0</v>
      </c>
      <c r="S31" s="634">
        <v>0</v>
      </c>
      <c r="T31" s="634">
        <v>0</v>
      </c>
      <c r="U31" s="634">
        <v>0</v>
      </c>
      <c r="V31" s="634">
        <v>0</v>
      </c>
      <c r="W31" s="634">
        <v>0</v>
      </c>
      <c r="X31" s="634">
        <v>10</v>
      </c>
      <c r="Y31" s="634" t="s">
        <v>105</v>
      </c>
      <c r="Z31" s="636" t="s">
        <v>105</v>
      </c>
    </row>
    <row r="32" spans="1:26" s="588" customFormat="1" ht="25.5" hidden="1">
      <c r="A32" s="587"/>
      <c r="B32" s="785">
        <v>13023</v>
      </c>
      <c r="C32" s="785">
        <v>2330</v>
      </c>
      <c r="D32" s="635"/>
      <c r="E32" s="634"/>
      <c r="F32" s="634"/>
      <c r="G32" s="634" t="s">
        <v>868</v>
      </c>
      <c r="H32" s="634" t="s">
        <v>869</v>
      </c>
      <c r="I32" s="634"/>
      <c r="J32" s="784"/>
      <c r="K32" s="784"/>
      <c r="L32" s="634" t="s">
        <v>870</v>
      </c>
      <c r="M32" s="634">
        <v>3574</v>
      </c>
      <c r="N32" s="634">
        <v>16083</v>
      </c>
      <c r="O32" s="634">
        <v>22975.714285714286</v>
      </c>
      <c r="P32" s="634">
        <v>45951.428571428572</v>
      </c>
      <c r="Q32" s="634">
        <v>0</v>
      </c>
      <c r="R32" s="634">
        <v>0</v>
      </c>
      <c r="S32" s="634">
        <v>0</v>
      </c>
      <c r="T32" s="634">
        <v>0</v>
      </c>
      <c r="U32" s="634">
        <v>0</v>
      </c>
      <c r="V32" s="634">
        <v>0</v>
      </c>
      <c r="W32" s="634">
        <v>0</v>
      </c>
      <c r="X32" s="634">
        <v>10</v>
      </c>
      <c r="Y32" s="634" t="s">
        <v>105</v>
      </c>
      <c r="Z32" s="636" t="s">
        <v>105</v>
      </c>
    </row>
    <row r="33" spans="1:26" s="588" customFormat="1" ht="25.5" hidden="1">
      <c r="A33" s="587"/>
      <c r="B33" s="785">
        <v>13023</v>
      </c>
      <c r="C33" s="785">
        <v>2330</v>
      </c>
      <c r="D33" s="635"/>
      <c r="E33" s="634"/>
      <c r="F33" s="634"/>
      <c r="G33" s="634" t="s">
        <v>868</v>
      </c>
      <c r="H33" s="634" t="s">
        <v>869</v>
      </c>
      <c r="I33" s="634"/>
      <c r="J33" s="784"/>
      <c r="K33" s="784"/>
      <c r="L33" s="634" t="s">
        <v>870</v>
      </c>
      <c r="M33" s="634">
        <v>12421</v>
      </c>
      <c r="N33" s="634">
        <v>55894.5</v>
      </c>
      <c r="O33" s="634">
        <v>79849.28571428571</v>
      </c>
      <c r="P33" s="634">
        <v>159698.57142857145</v>
      </c>
      <c r="Q33" s="634">
        <v>0</v>
      </c>
      <c r="R33" s="634">
        <v>0</v>
      </c>
      <c r="S33" s="634">
        <v>0</v>
      </c>
      <c r="T33" s="634">
        <v>0</v>
      </c>
      <c r="U33" s="634">
        <v>0</v>
      </c>
      <c r="V33" s="634">
        <v>0</v>
      </c>
      <c r="W33" s="634">
        <v>0</v>
      </c>
      <c r="X33" s="634">
        <v>10</v>
      </c>
      <c r="Y33" s="634" t="s">
        <v>105</v>
      </c>
      <c r="Z33" s="636" t="s">
        <v>105</v>
      </c>
    </row>
    <row r="34" spans="1:26" s="588" customFormat="1" ht="25.5" hidden="1">
      <c r="A34" s="587"/>
      <c r="B34" s="785">
        <v>13023</v>
      </c>
      <c r="C34" s="785">
        <v>2330</v>
      </c>
      <c r="D34" s="635"/>
      <c r="E34" s="634"/>
      <c r="F34" s="634"/>
      <c r="G34" s="634" t="s">
        <v>868</v>
      </c>
      <c r="H34" s="634" t="s">
        <v>869</v>
      </c>
      <c r="I34" s="634"/>
      <c r="J34" s="784"/>
      <c r="K34" s="784"/>
      <c r="L34" s="634" t="s">
        <v>870</v>
      </c>
      <c r="M34" s="634">
        <v>8585</v>
      </c>
      <c r="N34" s="634">
        <v>38632.500000000007</v>
      </c>
      <c r="O34" s="634">
        <v>55189.285714285725</v>
      </c>
      <c r="P34" s="634">
        <v>110378.57142857145</v>
      </c>
      <c r="Q34" s="634">
        <v>0</v>
      </c>
      <c r="R34" s="634">
        <v>0</v>
      </c>
      <c r="S34" s="634">
        <v>0</v>
      </c>
      <c r="T34" s="634">
        <v>0</v>
      </c>
      <c r="U34" s="634">
        <v>0</v>
      </c>
      <c r="V34" s="634">
        <v>0</v>
      </c>
      <c r="W34" s="634">
        <v>0</v>
      </c>
      <c r="X34" s="634">
        <v>10</v>
      </c>
      <c r="Y34" s="634" t="s">
        <v>105</v>
      </c>
      <c r="Z34" s="636" t="s">
        <v>105</v>
      </c>
    </row>
    <row r="35" spans="1:26" s="588" customFormat="1" ht="25.5" hidden="1">
      <c r="A35" s="587"/>
      <c r="B35" s="785">
        <v>13023</v>
      </c>
      <c r="C35" s="785">
        <v>2330</v>
      </c>
      <c r="D35" s="635"/>
      <c r="E35" s="634"/>
      <c r="F35" s="634"/>
      <c r="G35" s="634" t="s">
        <v>868</v>
      </c>
      <c r="H35" s="634" t="s">
        <v>869</v>
      </c>
      <c r="I35" s="634"/>
      <c r="J35" s="784"/>
      <c r="K35" s="784"/>
      <c r="L35" s="634" t="s">
        <v>870</v>
      </c>
      <c r="M35" s="634">
        <v>6614</v>
      </c>
      <c r="N35" s="634">
        <v>29763</v>
      </c>
      <c r="O35" s="634">
        <v>42518.571428571428</v>
      </c>
      <c r="P35" s="634">
        <v>0</v>
      </c>
      <c r="Q35" s="634">
        <v>85037.14285714287</v>
      </c>
      <c r="R35" s="634">
        <v>0</v>
      </c>
      <c r="S35" s="634">
        <v>0</v>
      </c>
      <c r="T35" s="634">
        <v>0</v>
      </c>
      <c r="U35" s="634">
        <v>0</v>
      </c>
      <c r="V35" s="634">
        <v>0</v>
      </c>
      <c r="W35" s="634">
        <v>0</v>
      </c>
      <c r="X35" s="634">
        <v>10</v>
      </c>
      <c r="Y35" s="634" t="s">
        <v>105</v>
      </c>
      <c r="Z35" s="636" t="s">
        <v>105</v>
      </c>
    </row>
    <row r="36" spans="1:26" s="588" customFormat="1" ht="25.5" hidden="1">
      <c r="A36" s="587"/>
      <c r="B36" s="785">
        <v>13023</v>
      </c>
      <c r="C36" s="785">
        <v>2330</v>
      </c>
      <c r="D36" s="635"/>
      <c r="E36" s="634"/>
      <c r="F36" s="634"/>
      <c r="G36" s="634" t="s">
        <v>868</v>
      </c>
      <c r="H36" s="634" t="s">
        <v>869</v>
      </c>
      <c r="I36" s="634"/>
      <c r="J36" s="784"/>
      <c r="K36" s="784"/>
      <c r="L36" s="634" t="s">
        <v>870</v>
      </c>
      <c r="M36" s="634">
        <v>3349</v>
      </c>
      <c r="N36" s="634">
        <v>15070.5</v>
      </c>
      <c r="O36" s="634">
        <v>21529.285714285714</v>
      </c>
      <c r="P36" s="634">
        <v>43058.571428571435</v>
      </c>
      <c r="Q36" s="634">
        <v>0</v>
      </c>
      <c r="R36" s="634">
        <v>0</v>
      </c>
      <c r="S36" s="634">
        <v>0</v>
      </c>
      <c r="T36" s="634">
        <v>0</v>
      </c>
      <c r="U36" s="634">
        <v>0</v>
      </c>
      <c r="V36" s="634">
        <v>0</v>
      </c>
      <c r="W36" s="634">
        <v>0</v>
      </c>
      <c r="X36" s="634">
        <v>10</v>
      </c>
      <c r="Y36" s="634" t="s">
        <v>105</v>
      </c>
      <c r="Z36" s="636" t="s">
        <v>105</v>
      </c>
    </row>
    <row r="37" spans="1:26" s="588" customFormat="1" ht="25.5" hidden="1">
      <c r="A37" s="587"/>
      <c r="B37" s="785">
        <v>13023</v>
      </c>
      <c r="C37" s="785">
        <v>2330</v>
      </c>
      <c r="D37" s="635"/>
      <c r="E37" s="634"/>
      <c r="F37" s="634"/>
      <c r="G37" s="634" t="s">
        <v>868</v>
      </c>
      <c r="H37" s="634" t="s">
        <v>869</v>
      </c>
      <c r="I37" s="634"/>
      <c r="J37" s="784"/>
      <c r="K37" s="784"/>
      <c r="L37" s="634" t="s">
        <v>870</v>
      </c>
      <c r="M37" s="634">
        <v>9.6999999999999993</v>
      </c>
      <c r="N37" s="634">
        <v>43.649999999999991</v>
      </c>
      <c r="O37" s="634">
        <v>62.357142857142847</v>
      </c>
      <c r="P37" s="634">
        <v>0</v>
      </c>
      <c r="Q37" s="634">
        <v>124.71428571428569</v>
      </c>
      <c r="R37" s="634">
        <v>0</v>
      </c>
      <c r="S37" s="634">
        <v>0</v>
      </c>
      <c r="T37" s="634">
        <v>0</v>
      </c>
      <c r="U37" s="634">
        <v>0</v>
      </c>
      <c r="V37" s="634">
        <v>0</v>
      </c>
      <c r="W37" s="634">
        <v>0</v>
      </c>
      <c r="X37" s="634">
        <v>10</v>
      </c>
      <c r="Y37" s="634" t="s">
        <v>105</v>
      </c>
      <c r="Z37" s="636" t="s">
        <v>105</v>
      </c>
    </row>
    <row r="38" spans="1:26" s="588" customFormat="1" ht="25.5" hidden="1">
      <c r="A38" s="587"/>
      <c r="B38" s="785">
        <v>13023</v>
      </c>
      <c r="C38" s="785">
        <v>2330</v>
      </c>
      <c r="D38" s="635"/>
      <c r="E38" s="634"/>
      <c r="F38" s="634"/>
      <c r="G38" s="634" t="s">
        <v>868</v>
      </c>
      <c r="H38" s="634" t="s">
        <v>869</v>
      </c>
      <c r="I38" s="634"/>
      <c r="J38" s="784"/>
      <c r="K38" s="784"/>
      <c r="L38" s="634" t="s">
        <v>870</v>
      </c>
      <c r="M38" s="634">
        <v>2678</v>
      </c>
      <c r="N38" s="634">
        <v>12051</v>
      </c>
      <c r="O38" s="634">
        <v>17215.714285714286</v>
      </c>
      <c r="P38" s="634">
        <v>34431.428571428572</v>
      </c>
      <c r="Q38" s="634">
        <v>0</v>
      </c>
      <c r="R38" s="634">
        <v>0</v>
      </c>
      <c r="S38" s="634">
        <v>0</v>
      </c>
      <c r="T38" s="634">
        <v>0</v>
      </c>
      <c r="U38" s="634">
        <v>0</v>
      </c>
      <c r="V38" s="634">
        <v>0</v>
      </c>
      <c r="W38" s="634">
        <v>0</v>
      </c>
      <c r="X38" s="634">
        <v>10</v>
      </c>
      <c r="Y38" s="634" t="s">
        <v>105</v>
      </c>
      <c r="Z38" s="636" t="s">
        <v>105</v>
      </c>
    </row>
    <row r="39" spans="1:26" s="588" customFormat="1" ht="25.5" hidden="1">
      <c r="A39" s="587"/>
      <c r="B39" s="785">
        <v>13023</v>
      </c>
      <c r="C39" s="785">
        <v>2330</v>
      </c>
      <c r="D39" s="635"/>
      <c r="E39" s="634"/>
      <c r="F39" s="634"/>
      <c r="G39" s="634" t="s">
        <v>868</v>
      </c>
      <c r="H39" s="634" t="s">
        <v>869</v>
      </c>
      <c r="I39" s="634"/>
      <c r="J39" s="784"/>
      <c r="K39" s="784"/>
      <c r="L39" s="634" t="s">
        <v>871</v>
      </c>
      <c r="M39" s="634">
        <v>2000</v>
      </c>
      <c r="N39" s="634">
        <v>9000</v>
      </c>
      <c r="O39" s="634">
        <v>12857.142857142857</v>
      </c>
      <c r="P39" s="634">
        <v>25714.285714285717</v>
      </c>
      <c r="Q39" s="634">
        <v>0</v>
      </c>
      <c r="R39" s="634">
        <v>0</v>
      </c>
      <c r="S39" s="634">
        <v>0</v>
      </c>
      <c r="T39" s="634">
        <v>0</v>
      </c>
      <c r="U39" s="634">
        <v>0</v>
      </c>
      <c r="V39" s="634">
        <v>0</v>
      </c>
      <c r="W39" s="634">
        <v>0</v>
      </c>
      <c r="X39" s="634">
        <v>10</v>
      </c>
      <c r="Y39" s="634" t="s">
        <v>105</v>
      </c>
      <c r="Z39" s="636" t="s">
        <v>105</v>
      </c>
    </row>
    <row r="40" spans="1:26" s="588" customFormat="1" ht="25.5" hidden="1">
      <c r="A40" s="587"/>
      <c r="B40" s="785">
        <v>13023</v>
      </c>
      <c r="C40" s="785">
        <v>2330</v>
      </c>
      <c r="D40" s="635"/>
      <c r="E40" s="634"/>
      <c r="F40" s="634"/>
      <c r="G40" s="634" t="s">
        <v>872</v>
      </c>
      <c r="H40" s="634" t="s">
        <v>869</v>
      </c>
      <c r="I40" s="634"/>
      <c r="J40" s="784"/>
      <c r="K40" s="784"/>
      <c r="L40" s="634" t="s">
        <v>871</v>
      </c>
      <c r="M40" s="634">
        <v>2000</v>
      </c>
      <c r="N40" s="634">
        <v>9000</v>
      </c>
      <c r="O40" s="634">
        <v>12857.142857142857</v>
      </c>
      <c r="P40" s="634">
        <v>25714.285714285717</v>
      </c>
      <c r="Q40" s="634">
        <v>0</v>
      </c>
      <c r="R40" s="634">
        <v>0</v>
      </c>
      <c r="S40" s="634">
        <v>0</v>
      </c>
      <c r="T40" s="634">
        <v>0</v>
      </c>
      <c r="U40" s="634">
        <v>0</v>
      </c>
      <c r="V40" s="634">
        <v>0</v>
      </c>
      <c r="W40" s="634">
        <v>0</v>
      </c>
      <c r="X40" s="634">
        <v>10</v>
      </c>
      <c r="Y40" s="634" t="s">
        <v>105</v>
      </c>
      <c r="Z40" s="636" t="s">
        <v>105</v>
      </c>
    </row>
    <row r="41" spans="1:26" s="588" customFormat="1" ht="25.5" hidden="1">
      <c r="A41" s="587"/>
      <c r="B41" s="785">
        <v>13023</v>
      </c>
      <c r="C41" s="785">
        <v>2330</v>
      </c>
      <c r="D41" s="635"/>
      <c r="E41" s="634"/>
      <c r="F41" s="634"/>
      <c r="G41" s="634" t="s">
        <v>872</v>
      </c>
      <c r="H41" s="634" t="s">
        <v>869</v>
      </c>
      <c r="I41" s="634"/>
      <c r="J41" s="784"/>
      <c r="K41" s="784"/>
      <c r="L41" s="634" t="s">
        <v>871</v>
      </c>
      <c r="M41" s="634">
        <v>4497</v>
      </c>
      <c r="N41" s="634">
        <v>20236.5</v>
      </c>
      <c r="O41" s="634">
        <v>28909.285714285714</v>
      </c>
      <c r="P41" s="634">
        <v>57818.571428571435</v>
      </c>
      <c r="Q41" s="634">
        <v>0</v>
      </c>
      <c r="R41" s="634">
        <v>0</v>
      </c>
      <c r="S41" s="634">
        <v>0</v>
      </c>
      <c r="T41" s="634">
        <v>0</v>
      </c>
      <c r="U41" s="634">
        <v>0</v>
      </c>
      <c r="V41" s="634">
        <v>0</v>
      </c>
      <c r="W41" s="634">
        <v>0</v>
      </c>
      <c r="X41" s="634">
        <v>10</v>
      </c>
      <c r="Y41" s="634" t="s">
        <v>105</v>
      </c>
      <c r="Z41" s="636" t="s">
        <v>105</v>
      </c>
    </row>
    <row r="42" spans="1:26" s="588" customFormat="1" ht="25.5" hidden="1">
      <c r="A42" s="587"/>
      <c r="B42" s="785">
        <v>13023</v>
      </c>
      <c r="C42" s="785">
        <v>2330</v>
      </c>
      <c r="D42" s="635"/>
      <c r="E42" s="634"/>
      <c r="F42" s="634"/>
      <c r="G42" s="634" t="s">
        <v>872</v>
      </c>
      <c r="H42" s="634" t="s">
        <v>869</v>
      </c>
      <c r="I42" s="634"/>
      <c r="J42" s="784"/>
      <c r="K42" s="784"/>
      <c r="L42" s="634" t="s">
        <v>871</v>
      </c>
      <c r="M42" s="634">
        <v>3207</v>
      </c>
      <c r="N42" s="634">
        <v>14431.5</v>
      </c>
      <c r="O42" s="634">
        <v>20616.428571428572</v>
      </c>
      <c r="P42" s="634">
        <v>41232.857142857145</v>
      </c>
      <c r="Q42" s="634">
        <v>0</v>
      </c>
      <c r="R42" s="634">
        <v>0</v>
      </c>
      <c r="S42" s="634">
        <v>0</v>
      </c>
      <c r="T42" s="634">
        <v>0</v>
      </c>
      <c r="U42" s="634">
        <v>0</v>
      </c>
      <c r="V42" s="634">
        <v>0</v>
      </c>
      <c r="W42" s="634">
        <v>0</v>
      </c>
      <c r="X42" s="634">
        <v>10</v>
      </c>
      <c r="Y42" s="634" t="s">
        <v>105</v>
      </c>
      <c r="Z42" s="636" t="s">
        <v>105</v>
      </c>
    </row>
    <row r="43" spans="1:26" s="588" customFormat="1" ht="25.5" hidden="1">
      <c r="A43" s="587"/>
      <c r="B43" s="785">
        <v>13023</v>
      </c>
      <c r="C43" s="785">
        <v>2330</v>
      </c>
      <c r="D43" s="635"/>
      <c r="E43" s="634"/>
      <c r="F43" s="634"/>
      <c r="G43" s="634" t="s">
        <v>872</v>
      </c>
      <c r="H43" s="634" t="s">
        <v>869</v>
      </c>
      <c r="I43" s="634"/>
      <c r="J43" s="784"/>
      <c r="K43" s="784"/>
      <c r="L43" s="634" t="s">
        <v>871</v>
      </c>
      <c r="M43" s="634">
        <v>2004</v>
      </c>
      <c r="N43" s="634">
        <v>9018</v>
      </c>
      <c r="O43" s="634">
        <v>12882.857142857143</v>
      </c>
      <c r="P43" s="634">
        <v>25765.714285714286</v>
      </c>
      <c r="Q43" s="634">
        <v>0</v>
      </c>
      <c r="R43" s="634">
        <v>0</v>
      </c>
      <c r="S43" s="634">
        <v>0</v>
      </c>
      <c r="T43" s="634">
        <v>0</v>
      </c>
      <c r="U43" s="634">
        <v>0</v>
      </c>
      <c r="V43" s="634">
        <v>0</v>
      </c>
      <c r="W43" s="634">
        <v>0</v>
      </c>
      <c r="X43" s="634">
        <v>10</v>
      </c>
      <c r="Y43" s="634" t="s">
        <v>105</v>
      </c>
      <c r="Z43" s="636" t="s">
        <v>105</v>
      </c>
    </row>
    <row r="44" spans="1:26" s="588" customFormat="1" ht="25.5" hidden="1">
      <c r="A44" s="587"/>
      <c r="B44" s="785">
        <v>13023</v>
      </c>
      <c r="C44" s="785">
        <v>2330</v>
      </c>
      <c r="D44" s="635"/>
      <c r="E44" s="634"/>
      <c r="F44" s="634"/>
      <c r="G44" s="634" t="s">
        <v>872</v>
      </c>
      <c r="H44" s="634" t="s">
        <v>869</v>
      </c>
      <c r="I44" s="634"/>
      <c r="J44" s="784"/>
      <c r="K44" s="784"/>
      <c r="L44" s="634" t="s">
        <v>871</v>
      </c>
      <c r="M44" s="634">
        <v>4497</v>
      </c>
      <c r="N44" s="634">
        <v>20236.5</v>
      </c>
      <c r="O44" s="634">
        <v>28909.285714285714</v>
      </c>
      <c r="P44" s="634">
        <v>57818.571428571435</v>
      </c>
      <c r="Q44" s="634">
        <v>0</v>
      </c>
      <c r="R44" s="634">
        <v>0</v>
      </c>
      <c r="S44" s="634">
        <v>0</v>
      </c>
      <c r="T44" s="634">
        <v>0</v>
      </c>
      <c r="U44" s="634">
        <v>0</v>
      </c>
      <c r="V44" s="634">
        <v>0</v>
      </c>
      <c r="W44" s="634">
        <v>0</v>
      </c>
      <c r="X44" s="634">
        <v>10</v>
      </c>
      <c r="Y44" s="634" t="s">
        <v>105</v>
      </c>
      <c r="Z44" s="636" t="s">
        <v>105</v>
      </c>
    </row>
    <row r="45" spans="1:26" s="588" customFormat="1" ht="25.5" hidden="1">
      <c r="A45" s="587"/>
      <c r="B45" s="785">
        <v>13023</v>
      </c>
      <c r="C45" s="785">
        <v>2330</v>
      </c>
      <c r="D45" s="635"/>
      <c r="E45" s="634"/>
      <c r="F45" s="634"/>
      <c r="G45" s="634" t="s">
        <v>872</v>
      </c>
      <c r="H45" s="634" t="s">
        <v>869</v>
      </c>
      <c r="I45" s="634"/>
      <c r="J45" s="784"/>
      <c r="K45" s="784"/>
      <c r="L45" s="634" t="s">
        <v>871</v>
      </c>
      <c r="M45" s="634">
        <v>2000</v>
      </c>
      <c r="N45" s="634">
        <v>2250</v>
      </c>
      <c r="O45" s="634">
        <v>3214.2857142857142</v>
      </c>
      <c r="P45" s="634">
        <v>6428.5714285714294</v>
      </c>
      <c r="Q45" s="634">
        <v>0</v>
      </c>
      <c r="R45" s="634">
        <v>0</v>
      </c>
      <c r="S45" s="634">
        <v>0</v>
      </c>
      <c r="T45" s="634">
        <v>0</v>
      </c>
      <c r="U45" s="634">
        <v>0</v>
      </c>
      <c r="V45" s="634">
        <v>0</v>
      </c>
      <c r="W45" s="634">
        <v>0</v>
      </c>
      <c r="X45" s="634">
        <v>10</v>
      </c>
      <c r="Y45" s="634" t="s">
        <v>105</v>
      </c>
      <c r="Z45" s="636" t="s">
        <v>105</v>
      </c>
    </row>
    <row r="46" spans="1:26" s="568" customFormat="1" hidden="1">
      <c r="A46" s="590" t="s">
        <v>269</v>
      </c>
      <c r="B46" s="591"/>
      <c r="C46" s="591"/>
      <c r="D46" s="591"/>
      <c r="E46" s="591"/>
      <c r="F46" s="591"/>
      <c r="G46" s="591"/>
      <c r="H46" s="591"/>
      <c r="I46" s="591"/>
      <c r="J46" s="591"/>
      <c r="K46" s="591"/>
      <c r="L46" s="592"/>
      <c r="M46" s="592">
        <f>SUM(M28:M45)</f>
        <v>68854.7</v>
      </c>
      <c r="N46" s="592">
        <f>SUM(N28:N45)</f>
        <v>303096.15000000002</v>
      </c>
      <c r="O46" s="592">
        <f>SUM(O28:O45)</f>
        <v>432994.50000000012</v>
      </c>
      <c r="P46" s="592">
        <f>SUM(P28:P45)</f>
        <v>780827.14285714307</v>
      </c>
      <c r="Q46" s="592">
        <f>SUM(Q28:Q45)</f>
        <v>85161.857142857159</v>
      </c>
      <c r="R46" s="592">
        <f>SUM(R28:R45)</f>
        <v>0</v>
      </c>
      <c r="S46" s="592">
        <f>SUM(S28:S45)</f>
        <v>0</v>
      </c>
      <c r="T46" s="592">
        <f>SUM(T28:T45)</f>
        <v>0</v>
      </c>
      <c r="U46" s="592">
        <f>SUM(U28:U45)</f>
        <v>0</v>
      </c>
      <c r="V46" s="592">
        <f>SUM(V28:V45)</f>
        <v>0</v>
      </c>
      <c r="W46" s="592">
        <f>SUM(W28:W45)</f>
        <v>0</v>
      </c>
      <c r="X46" s="593"/>
      <c r="Y46" s="593"/>
      <c r="Z46" s="594"/>
    </row>
    <row r="47" spans="1:26" s="568" customFormat="1">
      <c r="A47" s="590" t="s">
        <v>276</v>
      </c>
      <c r="B47" s="591"/>
      <c r="C47" s="591"/>
      <c r="D47" s="591"/>
      <c r="E47" s="591"/>
      <c r="F47" s="591"/>
      <c r="G47" s="591"/>
      <c r="H47" s="591"/>
      <c r="I47" s="591"/>
      <c r="J47" s="591"/>
      <c r="K47" s="591"/>
      <c r="L47" s="592"/>
      <c r="M47" s="592">
        <f>SUMIF($Z$28:$Z$45,"industrie",M28:M45)</f>
        <v>0</v>
      </c>
      <c r="N47" s="592">
        <f>SUMIF($Z$28:$Z$45,"industrie",N28:N45)</f>
        <v>0</v>
      </c>
      <c r="O47" s="592">
        <f>SUMIF($Z$28:$Z$45,"industrie",O28:O45)</f>
        <v>0</v>
      </c>
      <c r="P47" s="592">
        <f>SUMIF($Z$28:$Z$45,"industrie",P28:P45)</f>
        <v>0</v>
      </c>
      <c r="Q47" s="592">
        <f>SUMIF($Z$28:$Z$45,"industrie",Q28:Q45)</f>
        <v>0</v>
      </c>
      <c r="R47" s="592">
        <f>SUMIF($Z$28:$Z$45,"industrie",R28:R45)</f>
        <v>0</v>
      </c>
      <c r="S47" s="592">
        <f>SUMIF($Z$28:$Z$45,"industrie",S28:S45)</f>
        <v>0</v>
      </c>
      <c r="T47" s="592">
        <f>SUMIF($Z$28:$Z$45,"industrie",T28:T45)</f>
        <v>0</v>
      </c>
      <c r="U47" s="592">
        <f>SUMIF($Z$28:$Z$45,"industrie",U28:U45)</f>
        <v>0</v>
      </c>
      <c r="V47" s="592">
        <f>SUMIF($Z$28:$Z$45,"industrie",V28:V45)</f>
        <v>0</v>
      </c>
      <c r="W47" s="592">
        <f>SUMIF($Z$28:$Z$45,"industrie",W28:W45)</f>
        <v>0</v>
      </c>
      <c r="X47" s="593"/>
      <c r="Y47" s="593"/>
      <c r="Z47" s="594"/>
    </row>
    <row r="48" spans="1:26" s="568" customFormat="1">
      <c r="A48" s="590" t="s">
        <v>277</v>
      </c>
      <c r="B48" s="591"/>
      <c r="C48" s="591"/>
      <c r="D48" s="591"/>
      <c r="E48" s="591"/>
      <c r="F48" s="591"/>
      <c r="G48" s="591"/>
      <c r="H48" s="591"/>
      <c r="I48" s="591"/>
      <c r="J48" s="591"/>
      <c r="K48" s="591"/>
      <c r="L48" s="592"/>
      <c r="M48" s="592">
        <f ca="1">SUMIF($Z$28:AC45,"tertiair",M28:M45)</f>
        <v>0</v>
      </c>
      <c r="N48" s="592">
        <f ca="1">SUMIF($Z$28:AD45,"tertiair",N28:N45)</f>
        <v>0</v>
      </c>
      <c r="O48" s="592">
        <f ca="1">SUMIF($Z$28:AE45,"tertiair",O28:O45)</f>
        <v>0</v>
      </c>
      <c r="P48" s="592">
        <f ca="1">SUMIF($Z$28:AF45,"tertiair",P28:P45)</f>
        <v>0</v>
      </c>
      <c r="Q48" s="592">
        <f ca="1">SUMIF($Z$28:AG45,"tertiair",Q28:Q45)</f>
        <v>0</v>
      </c>
      <c r="R48" s="592">
        <f ca="1">SUMIF($Z$28:AH45,"tertiair",R28:R45)</f>
        <v>0</v>
      </c>
      <c r="S48" s="592">
        <f ca="1">SUMIF($Z$28:AI45,"tertiair",S28:S45)</f>
        <v>0</v>
      </c>
      <c r="T48" s="592">
        <f ca="1">SUMIF($Z$28:AJ45,"tertiair",T28:T45)</f>
        <v>0</v>
      </c>
      <c r="U48" s="592">
        <f ca="1">SUMIF($Z$28:AK45,"tertiair",U28:U45)</f>
        <v>0</v>
      </c>
      <c r="V48" s="592">
        <f ca="1">SUMIF($Z$28:AL45,"tertiair",V28:V45)</f>
        <v>0</v>
      </c>
      <c r="W48" s="592">
        <f ca="1">SUMIF($Z$28:AM45,"tertiair",W28:W45)</f>
        <v>0</v>
      </c>
      <c r="X48" s="593"/>
      <c r="Y48" s="593"/>
      <c r="Z48" s="594"/>
    </row>
    <row r="49" spans="1:27" s="568" customFormat="1" ht="15.75" thickBot="1">
      <c r="A49" s="595" t="s">
        <v>278</v>
      </c>
      <c r="B49" s="596"/>
      <c r="C49" s="596"/>
      <c r="D49" s="596"/>
      <c r="E49" s="596"/>
      <c r="F49" s="596"/>
      <c r="G49" s="596"/>
      <c r="H49" s="596"/>
      <c r="I49" s="596"/>
      <c r="J49" s="596"/>
      <c r="K49" s="596"/>
      <c r="L49" s="597"/>
      <c r="M49" s="597">
        <f>SUMIF($Z$28:$Z$45,"landbouw",M28:M45)</f>
        <v>68854.7</v>
      </c>
      <c r="N49" s="597">
        <f>SUMIF($Z$28:$Z$45,"landbouw",N28:N45)</f>
        <v>303096.15000000002</v>
      </c>
      <c r="O49" s="597">
        <f>SUMIF($Z$28:$Z$45,"landbouw",O28:O45)</f>
        <v>432994.50000000012</v>
      </c>
      <c r="P49" s="597">
        <f>SUMIF($Z$28:$Z$45,"landbouw",P28:P45)</f>
        <v>780827.14285714307</v>
      </c>
      <c r="Q49" s="597">
        <f>SUMIF($Z$28:$Z$45,"landbouw",Q28:Q45)</f>
        <v>85161.857142857159</v>
      </c>
      <c r="R49" s="597">
        <f>SUMIF($Z$28:$Z$45,"landbouw",R28:R45)</f>
        <v>0</v>
      </c>
      <c r="S49" s="597">
        <f>SUMIF($Z$28:$Z$45,"landbouw",S28:S45)</f>
        <v>0</v>
      </c>
      <c r="T49" s="597">
        <f>SUMIF($Z$28:$Z$45,"landbouw",T28:T45)</f>
        <v>0</v>
      </c>
      <c r="U49" s="597">
        <f>SUMIF($Z$28:$Z$45,"landbouw",U28:U45)</f>
        <v>0</v>
      </c>
      <c r="V49" s="597">
        <f>SUMIF($Z$28:$Z$45,"landbouw",V28:V45)</f>
        <v>0</v>
      </c>
      <c r="W49" s="597">
        <f>SUMIF($Z$28:$Z$45,"landbouw",W28:W45)</f>
        <v>0</v>
      </c>
      <c r="X49" s="598"/>
      <c r="Y49" s="598"/>
      <c r="Z49" s="599"/>
    </row>
    <row r="50" spans="1:27" s="529" customFormat="1" ht="15.75" thickBot="1">
      <c r="A50" s="600"/>
      <c r="B50" s="601"/>
      <c r="C50" s="601"/>
      <c r="D50" s="601"/>
      <c r="E50" s="601"/>
      <c r="F50" s="601"/>
      <c r="G50" s="601"/>
      <c r="H50" s="601"/>
      <c r="I50" s="601"/>
      <c r="J50" s="601"/>
      <c r="K50" s="601"/>
      <c r="L50" s="584"/>
      <c r="M50" s="584"/>
      <c r="N50" s="584"/>
      <c r="O50" s="585"/>
      <c r="P50" s="585"/>
    </row>
    <row r="51" spans="1:27" s="529" customFormat="1" ht="45">
      <c r="A51" s="602" t="s">
        <v>270</v>
      </c>
      <c r="B51" s="631" t="s">
        <v>89</v>
      </c>
      <c r="C51" s="631" t="s">
        <v>90</v>
      </c>
      <c r="D51" s="631"/>
      <c r="E51" s="631"/>
      <c r="F51" s="631"/>
      <c r="G51" s="631" t="s">
        <v>91</v>
      </c>
      <c r="H51" s="631" t="s">
        <v>92</v>
      </c>
      <c r="I51" s="631"/>
      <c r="J51" s="631"/>
      <c r="K51" s="631"/>
      <c r="L51" s="631" t="s">
        <v>93</v>
      </c>
      <c r="M51" s="632" t="s">
        <v>287</v>
      </c>
      <c r="N51" s="632" t="s">
        <v>94</v>
      </c>
      <c r="O51" s="632" t="s">
        <v>95</v>
      </c>
      <c r="P51" s="632" t="s">
        <v>511</v>
      </c>
      <c r="Q51" s="632" t="s">
        <v>96</v>
      </c>
      <c r="R51" s="632" t="s">
        <v>97</v>
      </c>
      <c r="S51" s="632" t="s">
        <v>98</v>
      </c>
      <c r="T51" s="632" t="s">
        <v>99</v>
      </c>
      <c r="U51" s="632" t="s">
        <v>100</v>
      </c>
      <c r="V51" s="632" t="s">
        <v>101</v>
      </c>
      <c r="W51" s="631" t="s">
        <v>102</v>
      </c>
      <c r="X51" s="631" t="s">
        <v>288</v>
      </c>
      <c r="Y51" s="631" t="s">
        <v>103</v>
      </c>
      <c r="Z51" s="633" t="s">
        <v>289</v>
      </c>
    </row>
    <row r="52" spans="1:27" s="603" customFormat="1" ht="63.75" hidden="1">
      <c r="A52" s="589"/>
      <c r="B52" s="785">
        <v>13023</v>
      </c>
      <c r="C52" s="785">
        <v>2330</v>
      </c>
      <c r="D52" s="637"/>
      <c r="E52" s="637"/>
      <c r="F52" s="637"/>
      <c r="G52" s="637" t="s">
        <v>873</v>
      </c>
      <c r="H52" s="637" t="s">
        <v>874</v>
      </c>
      <c r="I52" s="637"/>
      <c r="J52" s="784"/>
      <c r="K52" s="784"/>
      <c r="L52" s="637" t="s">
        <v>870</v>
      </c>
      <c r="M52" s="637">
        <v>366</v>
      </c>
      <c r="N52" s="637">
        <v>1647</v>
      </c>
      <c r="O52" s="637">
        <v>0</v>
      </c>
      <c r="P52" s="637">
        <v>0</v>
      </c>
      <c r="Q52" s="637">
        <v>0</v>
      </c>
      <c r="R52" s="637">
        <v>4705.7142857142862</v>
      </c>
      <c r="S52" s="637">
        <v>0</v>
      </c>
      <c r="T52" s="637">
        <v>0</v>
      </c>
      <c r="U52" s="637">
        <v>0</v>
      </c>
      <c r="V52" s="637">
        <v>0</v>
      </c>
      <c r="W52" s="637">
        <v>0</v>
      </c>
      <c r="X52" s="637">
        <v>1600</v>
      </c>
      <c r="Y52" s="637" t="s">
        <v>49</v>
      </c>
      <c r="Z52" s="638" t="s">
        <v>149</v>
      </c>
    </row>
    <row r="53" spans="1:27" s="568" customFormat="1" hidden="1">
      <c r="A53" s="590" t="s">
        <v>269</v>
      </c>
      <c r="B53" s="591"/>
      <c r="C53" s="591"/>
      <c r="D53" s="591"/>
      <c r="E53" s="591"/>
      <c r="F53" s="591"/>
      <c r="G53" s="591"/>
      <c r="H53" s="591"/>
      <c r="I53" s="591"/>
      <c r="J53" s="591"/>
      <c r="K53" s="591"/>
      <c r="L53" s="592"/>
      <c r="M53" s="592">
        <f>SUM(M52:M52)</f>
        <v>366</v>
      </c>
      <c r="N53" s="592">
        <f>SUM(N52:N52)</f>
        <v>1647</v>
      </c>
      <c r="O53" s="592">
        <f>SUM(O52:O52)</f>
        <v>0</v>
      </c>
      <c r="P53" s="592">
        <f>SUM(P52:P52)</f>
        <v>0</v>
      </c>
      <c r="Q53" s="592">
        <f>SUM(Q52:Q52)</f>
        <v>0</v>
      </c>
      <c r="R53" s="592">
        <f>SUM(R52:R52)</f>
        <v>4705.7142857142862</v>
      </c>
      <c r="S53" s="592">
        <f>SUM(S52:S52)</f>
        <v>0</v>
      </c>
      <c r="T53" s="592">
        <f>SUM(T52:T52)</f>
        <v>0</v>
      </c>
      <c r="U53" s="592">
        <f>SUM(U52:U52)</f>
        <v>0</v>
      </c>
      <c r="V53" s="592">
        <f>SUM(V52:V52)</f>
        <v>0</v>
      </c>
      <c r="W53" s="592">
        <f>SUM(W52:W52)</f>
        <v>0</v>
      </c>
      <c r="X53" s="593"/>
      <c r="Y53" s="593"/>
      <c r="Z53" s="594"/>
    </row>
    <row r="54" spans="1:27" s="568" customFormat="1">
      <c r="A54" s="590" t="s">
        <v>276</v>
      </c>
      <c r="B54" s="591"/>
      <c r="C54" s="591"/>
      <c r="D54" s="591"/>
      <c r="E54" s="591"/>
      <c r="F54" s="591"/>
      <c r="G54" s="591"/>
      <c r="H54" s="591"/>
      <c r="I54" s="591"/>
      <c r="J54" s="591"/>
      <c r="K54" s="591"/>
      <c r="L54" s="592"/>
      <c r="M54" s="592">
        <f>SUMIF($Z$52:$Z$52,"industrie",M52:M52)</f>
        <v>0</v>
      </c>
      <c r="N54" s="592">
        <f>SUMIF($Z$52:$Z$52,"industrie",N52:N52)</f>
        <v>0</v>
      </c>
      <c r="O54" s="592">
        <f>SUMIF($Z$52:$Z$52,"industrie",O52:O52)</f>
        <v>0</v>
      </c>
      <c r="P54" s="592">
        <f>SUMIF($Z$52:$Z$52,"industrie",P52:P52)</f>
        <v>0</v>
      </c>
      <c r="Q54" s="592">
        <f>SUMIF($Z$52:$Z$52,"industrie",Q52:Q52)</f>
        <v>0</v>
      </c>
      <c r="R54" s="592">
        <f>SUMIF($Z$52:$Z$52,"industrie",R52:R52)</f>
        <v>0</v>
      </c>
      <c r="S54" s="592">
        <f>SUMIF($Z$52:$Z$52,"industrie",S52:S52)</f>
        <v>0</v>
      </c>
      <c r="T54" s="592">
        <f>SUMIF($Z$52:$Z$52,"industrie",T52:T52)</f>
        <v>0</v>
      </c>
      <c r="U54" s="592">
        <f>SUMIF($Z$52:$Z$52,"industrie",U52:U52)</f>
        <v>0</v>
      </c>
      <c r="V54" s="592">
        <f>SUMIF($Z$52:$Z$52,"industrie",V52:V52)</f>
        <v>0</v>
      </c>
      <c r="W54" s="592">
        <f>SUMIF($Z$52:$Z$52,"industrie",W52:W52)</f>
        <v>0</v>
      </c>
      <c r="X54" s="593"/>
      <c r="Y54" s="593"/>
      <c r="Z54" s="594"/>
    </row>
    <row r="55" spans="1:27" s="568" customFormat="1">
      <c r="A55" s="590" t="s">
        <v>277</v>
      </c>
      <c r="B55" s="591"/>
      <c r="C55" s="591"/>
      <c r="D55" s="591"/>
      <c r="E55" s="591"/>
      <c r="F55" s="591"/>
      <c r="G55" s="591"/>
      <c r="H55" s="591"/>
      <c r="I55" s="591"/>
      <c r="J55" s="591"/>
      <c r="K55" s="591"/>
      <c r="L55" s="592"/>
      <c r="M55" s="592">
        <f>SUMIF($Z$52:$Z$53,"tertiair",M52:M53)</f>
        <v>366</v>
      </c>
      <c r="N55" s="592">
        <f>SUMIF($Z$52:$Z$53,"tertiair",N52:N53)</f>
        <v>1647</v>
      </c>
      <c r="O55" s="592">
        <f>SUMIF($Z$52:$Z$53,"tertiair",O52:O53)</f>
        <v>0</v>
      </c>
      <c r="P55" s="592">
        <f>SUMIF($Z$52:$Z$53,"tertiair",P52:P53)</f>
        <v>0</v>
      </c>
      <c r="Q55" s="592">
        <f>SUMIF($Z$52:$Z$53,"tertiair",Q52:Q53)</f>
        <v>0</v>
      </c>
      <c r="R55" s="592">
        <f>SUMIF($Z$52:$Z$53,"tertiair",R52:R53)</f>
        <v>4705.7142857142862</v>
      </c>
      <c r="S55" s="592">
        <f>SUMIF($Z$52:$Z$53,"tertiair",S52:S53)</f>
        <v>0</v>
      </c>
      <c r="T55" s="592">
        <f>SUMIF($Z$52:$Z$53,"tertiair",T52:T53)</f>
        <v>0</v>
      </c>
      <c r="U55" s="592">
        <f>SUMIF($Z$52:$Z$53,"tertiair",U52:U53)</f>
        <v>0</v>
      </c>
      <c r="V55" s="592">
        <f>SUMIF($Z$52:$Z$53,"tertiair",V52:V53)</f>
        <v>0</v>
      </c>
      <c r="W55" s="592">
        <f>SUMIF($Z$52:$Z$53,"tertiair",W52:W53)</f>
        <v>0</v>
      </c>
      <c r="X55" s="593"/>
      <c r="Y55" s="593"/>
      <c r="Z55" s="594"/>
    </row>
    <row r="56" spans="1:27" s="568" customFormat="1" ht="15.75" thickBot="1">
      <c r="A56" s="595" t="s">
        <v>278</v>
      </c>
      <c r="B56" s="596"/>
      <c r="C56" s="596"/>
      <c r="D56" s="596"/>
      <c r="E56" s="596"/>
      <c r="F56" s="596"/>
      <c r="G56" s="596"/>
      <c r="H56" s="596"/>
      <c r="I56" s="596"/>
      <c r="J56" s="596"/>
      <c r="K56" s="596"/>
      <c r="L56" s="597"/>
      <c r="M56" s="597">
        <f>SUMIF($Z$52:$Z$54,"landbouw",M52:M54)</f>
        <v>0</v>
      </c>
      <c r="N56" s="597">
        <f>SUMIF($Z$52:$Z$54,"landbouw",N52:N54)</f>
        <v>0</v>
      </c>
      <c r="O56" s="597">
        <f>SUMIF($Z$52:$Z$54,"landbouw",O52:O54)</f>
        <v>0</v>
      </c>
      <c r="P56" s="597">
        <f>SUMIF($Z$52:$Z$54,"landbouw",P52:P54)</f>
        <v>0</v>
      </c>
      <c r="Q56" s="597">
        <f>SUMIF($Z$52:$Z$54,"landbouw",Q52:Q54)</f>
        <v>0</v>
      </c>
      <c r="R56" s="597">
        <f>SUMIF($Z$52:$Z$54,"landbouw",R52:R54)</f>
        <v>0</v>
      </c>
      <c r="S56" s="597">
        <f>SUMIF($Z$52:$Z$54,"landbouw",S52:S54)</f>
        <v>0</v>
      </c>
      <c r="T56" s="597">
        <f>SUMIF($Z$52:$Z$54,"landbouw",T52:T54)</f>
        <v>0</v>
      </c>
      <c r="U56" s="597">
        <f>SUMIF($Z$52:$Z$54,"landbouw",U52:U54)</f>
        <v>0</v>
      </c>
      <c r="V56" s="597">
        <f>SUMIF($Z$52:$Z$54,"landbouw",V52:V54)</f>
        <v>0</v>
      </c>
      <c r="W56" s="597">
        <f>SUMIF($Z$52:$Z$54,"landbouw",W52:W54)</f>
        <v>0</v>
      </c>
      <c r="X56" s="598"/>
      <c r="Y56" s="598"/>
      <c r="Z56" s="599"/>
    </row>
    <row r="57" spans="1:27" s="604" customFormat="1">
      <c r="A57" s="600"/>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row>
    <row r="58" spans="1:27" s="604" customFormat="1" ht="15.75" thickBot="1">
      <c r="A58" s="600"/>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row>
    <row r="59" spans="1:27">
      <c r="A59" s="605" t="s">
        <v>271</v>
      </c>
      <c r="B59" s="606"/>
      <c r="C59" s="606"/>
      <c r="D59" s="606"/>
      <c r="E59" s="606"/>
      <c r="F59" s="606"/>
      <c r="G59" s="606"/>
      <c r="H59" s="606"/>
      <c r="I59" s="607"/>
      <c r="J59" s="608"/>
      <c r="K59" s="608"/>
      <c r="L59" s="609"/>
      <c r="M59" s="609"/>
      <c r="N59" s="609"/>
      <c r="O59" s="609"/>
      <c r="P59" s="609"/>
    </row>
    <row r="60" spans="1:27">
      <c r="A60" s="611"/>
      <c r="B60" s="601"/>
      <c r="C60" s="601"/>
      <c r="D60" s="601"/>
      <c r="E60" s="601"/>
      <c r="F60" s="601"/>
      <c r="G60" s="601"/>
      <c r="H60" s="601"/>
      <c r="I60" s="612"/>
      <c r="J60" s="601"/>
      <c r="K60" s="601"/>
      <c r="L60" s="609"/>
      <c r="M60" s="609"/>
      <c r="N60" s="609"/>
      <c r="O60" s="609"/>
      <c r="P60" s="609"/>
    </row>
    <row r="61" spans="1:27">
      <c r="A61" s="613"/>
      <c r="B61" s="614" t="s">
        <v>272</v>
      </c>
      <c r="C61" s="614" t="s">
        <v>273</v>
      </c>
      <c r="D61" s="614"/>
      <c r="E61" s="614"/>
      <c r="F61" s="614"/>
      <c r="G61" s="614"/>
      <c r="H61" s="614"/>
      <c r="I61" s="615"/>
      <c r="J61" s="614"/>
      <c r="K61" s="614"/>
      <c r="L61" s="614"/>
      <c r="M61" s="614"/>
      <c r="N61" s="614"/>
      <c r="O61" s="614"/>
      <c r="P61" s="609"/>
    </row>
    <row r="62" spans="1:27">
      <c r="A62" s="611" t="s">
        <v>269</v>
      </c>
      <c r="B62" s="616">
        <f>IF(ISERROR(O46/(O46+N46)),0,O46/(O46+N46))</f>
        <v>0.58823529411764708</v>
      </c>
      <c r="C62" s="617">
        <f>IF(ISERROR(N46/(O46+N46)),0,N46/(N46+O46))</f>
        <v>0.41176470588235292</v>
      </c>
      <c r="D62" s="584"/>
      <c r="E62" s="584"/>
      <c r="F62" s="584"/>
      <c r="G62" s="584"/>
      <c r="H62" s="584"/>
      <c r="I62" s="618"/>
      <c r="J62" s="584"/>
      <c r="K62" s="584"/>
      <c r="L62" s="619"/>
      <c r="M62" s="619"/>
      <c r="N62" s="619"/>
      <c r="O62" s="619"/>
      <c r="P62" s="609"/>
    </row>
    <row r="63" spans="1:27">
      <c r="A63" s="611"/>
      <c r="B63" s="620"/>
      <c r="C63" s="620"/>
      <c r="D63" s="620"/>
      <c r="E63" s="620"/>
      <c r="F63" s="620"/>
      <c r="G63" s="620"/>
      <c r="H63" s="620"/>
      <c r="I63" s="621"/>
      <c r="J63" s="620"/>
      <c r="K63" s="620"/>
      <c r="L63" s="622"/>
      <c r="M63" s="622"/>
      <c r="N63" s="622"/>
      <c r="O63" s="622"/>
      <c r="P63" s="609"/>
    </row>
    <row r="64" spans="1:27" ht="30">
      <c r="A64" s="623"/>
      <c r="B64" s="624" t="s">
        <v>511</v>
      </c>
      <c r="C64" s="624" t="s">
        <v>96</v>
      </c>
      <c r="D64" s="624" t="s">
        <v>97</v>
      </c>
      <c r="E64" s="624" t="s">
        <v>98</v>
      </c>
      <c r="F64" s="624" t="s">
        <v>99</v>
      </c>
      <c r="G64" s="624" t="s">
        <v>100</v>
      </c>
      <c r="H64" s="624" t="s">
        <v>101</v>
      </c>
      <c r="I64" s="625" t="s">
        <v>102</v>
      </c>
      <c r="J64" s="614"/>
      <c r="K64" s="614"/>
      <c r="L64" s="622"/>
      <c r="M64" s="622"/>
      <c r="N64" s="622"/>
      <c r="O64" s="609"/>
      <c r="P64" s="609"/>
    </row>
    <row r="65" spans="1:16">
      <c r="A65" s="613" t="s">
        <v>274</v>
      </c>
      <c r="B65" s="626">
        <f t="shared" ref="B65:I65" si="2">$C$62*P46</f>
        <v>321517.05882352951</v>
      </c>
      <c r="C65" s="626">
        <f t="shared" si="2"/>
        <v>35066.647058823532</v>
      </c>
      <c r="D65" s="626">
        <f t="shared" si="2"/>
        <v>0</v>
      </c>
      <c r="E65" s="626">
        <f t="shared" si="2"/>
        <v>0</v>
      </c>
      <c r="F65" s="626">
        <f t="shared" si="2"/>
        <v>0</v>
      </c>
      <c r="G65" s="626">
        <f t="shared" si="2"/>
        <v>0</v>
      </c>
      <c r="H65" s="626">
        <f t="shared" si="2"/>
        <v>0</v>
      </c>
      <c r="I65" s="627">
        <f t="shared" si="2"/>
        <v>0</v>
      </c>
      <c r="J65" s="584"/>
      <c r="K65" s="584"/>
      <c r="L65" s="622"/>
      <c r="M65" s="622"/>
      <c r="N65" s="622"/>
      <c r="O65" s="609"/>
      <c r="P65" s="609"/>
    </row>
    <row r="66" spans="1:16" ht="15.75" thickBot="1">
      <c r="A66" s="628" t="s">
        <v>275</v>
      </c>
      <c r="B66" s="629">
        <f t="shared" ref="B66:I66" si="3">$B$62*P46</f>
        <v>459310.08403361356</v>
      </c>
      <c r="C66" s="629">
        <f t="shared" si="3"/>
        <v>50095.210084033628</v>
      </c>
      <c r="D66" s="629">
        <f t="shared" si="3"/>
        <v>0</v>
      </c>
      <c r="E66" s="629">
        <f t="shared" si="3"/>
        <v>0</v>
      </c>
      <c r="F66" s="629">
        <f t="shared" si="3"/>
        <v>0</v>
      </c>
      <c r="G66" s="629">
        <f t="shared" si="3"/>
        <v>0</v>
      </c>
      <c r="H66" s="629">
        <f t="shared" si="3"/>
        <v>0</v>
      </c>
      <c r="I66" s="630">
        <f t="shared" si="3"/>
        <v>0</v>
      </c>
      <c r="J66" s="584"/>
      <c r="K66" s="584"/>
      <c r="L66" s="622"/>
      <c r="M66" s="622"/>
      <c r="N66" s="622"/>
      <c r="O66" s="609"/>
      <c r="P66" s="609"/>
    </row>
    <row r="67" spans="1:16">
      <c r="J67" s="564"/>
      <c r="K67" s="564"/>
      <c r="L67" s="564"/>
      <c r="M67" s="564"/>
      <c r="N67" s="564"/>
    </row>
    <row r="68" spans="1:16">
      <c r="J68" s="564"/>
      <c r="K68" s="564"/>
      <c r="L68" s="564"/>
      <c r="M68" s="564"/>
      <c r="N68"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2021-11-11T12:13:43Z</dcterms:modified>
</cp:coreProperties>
</file>