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9\"/>
    </mc:Choice>
  </mc:AlternateContent>
  <xr:revisionPtr revIDLastSave="0" documentId="8_{7F7DF9E2-B910-48B4-BA41-51E4326240D6}"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25" i="5" l="1"/>
  <c r="AC15" i="5"/>
  <c r="A34" i="23" l="1"/>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AC25" i="5" s="1"/>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B51" i="22" s="1"/>
  <c r="A4" i="23"/>
  <c r="D10" i="22" s="1"/>
  <c r="A7" i="23"/>
  <c r="A8" i="23"/>
  <c r="A9" i="23"/>
  <c r="A10" i="23"/>
  <c r="A11" i="23"/>
  <c r="A12" i="23"/>
  <c r="A13" i="23"/>
  <c r="A14" i="23"/>
  <c r="A15" i="23"/>
  <c r="A16" i="23"/>
  <c r="A17" i="23"/>
  <c r="A18" i="23"/>
  <c r="A19" i="23"/>
  <c r="A20" i="23"/>
  <c r="A21" i="23"/>
  <c r="A22" i="23"/>
  <c r="A23" i="23"/>
  <c r="A24" i="23"/>
  <c r="A25" i="23"/>
  <c r="A26" i="23"/>
  <c r="A27" i="23"/>
  <c r="A28" i="23"/>
  <c r="A29" i="23"/>
  <c r="A30" i="23"/>
  <c r="D6" i="22" l="1"/>
  <c r="D8" i="22"/>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F6" i="17" s="1"/>
  <c r="R32" i="18"/>
  <c r="Q32" i="18"/>
  <c r="P32" i="18"/>
  <c r="D6" i="17" s="1"/>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3" i="13"/>
  <c r="B35" i="13"/>
  <c r="B34" i="13"/>
  <c r="B36" i="13"/>
  <c r="B32" i="13"/>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<sst xmlns="http://schemas.openxmlformats.org/spreadsheetml/2006/main" count="2417" uniqueCount="868">
  <si>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</si>
  <si>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</si>
  <si>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</si>
  <si>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</si>
  <si>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</si>
  <si>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</si>
  <si>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</si>
  <si>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</si>
  <si>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</si>
  <si>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</si>
  <si>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</si>
  <si>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</si>
  <si>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</si>
  <si>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</si>
  <si>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</si>
  <si>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</si>
  <si>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</si>
  <si>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</si>
  <si>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</si>
  <si>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</si>
  <si>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</si>
  <si>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</si>
  <si>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</si>
  <si>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</si>
  <si>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</si>
  <si>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</si>
  <si>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</si>
  <si>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</si>
  <si>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</si>
  <si>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</si>
  <si>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</si>
  <si>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</si>
  <si>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</si>
  <si>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</si>
  <si>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</si>
  <si>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</si>
  <si>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</si>
  <si>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</si>
  <si>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</si>
  <si>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</si>
  <si>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</si>
  <si>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</si>
  <si>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</si>
  <si>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</si>
  <si>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</si>
  <si>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</si>
  <si>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</si>
  <si>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</si>
  <si>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</si>
  <si>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</si>
  <si>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</si>
  <si>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</si>
  <si>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</si>
  <si>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</si>
  <si>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</si>
  <si>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</si>
  <si>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</si>
  <si>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</si>
  <si>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</si>
  <si>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</si>
  <si>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</si>
  <si>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</si>
  <si>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</si>
  <si>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</si>
  <si>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</si>
  <si>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</si>
  <si>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</si>
  <si>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</si>
  <si>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</si>
  <si>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</si>
  <si>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</si>
  <si>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</si>
  <si>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</si>
  <si>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</si>
  <si>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</si>
  <si>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</si>
  <si>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</si>
  <si>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</si>
  <si>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</si>
  <si>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</si>
  <si>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</si>
  <si>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</si>
  <si>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</si>
  <si>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</si>
  <si>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</si>
  <si>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</si>
  <si>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</si>
  <si>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</si>
  <si>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</si>
  <si>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</si>
  <si>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</si>
  <si>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</si>
  <si>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</si>
  <si>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</si>
  <si>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</si>
  <si>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</si>
  <si>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</si>
  <si>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</si>
  <si>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</si>
  <si>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</si>
  <si>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</si>
  <si>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</si>
  <si>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</si>
  <si>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</si>
  <si>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</si>
  <si>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</si>
  <si>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</si>
  <si>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</si>
  <si>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</si>
  <si>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</si>
  <si>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</si>
  <si>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</si>
  <si>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</si>
  <si>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</si>
  <si>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</si>
  <si>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</si>
  <si>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</si>
  <si>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</si>
  <si>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</si>
  <si>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</si>
  <si>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</si>
  <si>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</si>
  <si>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</si>
  <si>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</si>
  <si>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</si>
  <si>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</si>
  <si>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</si>
  <si>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</si>
  <si>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</si>
  <si>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</si>
  <si>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</si>
  <si>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</si>
  <si>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</si>
  <si>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</si>
  <si>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</si>
  <si>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</si>
  <si>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</si>
  <si>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</si>
  <si>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</si>
  <si>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</si>
  <si>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</si>
  <si>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</si>
  <si>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</si>
  <si>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</si>
  <si>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</si>
  <si>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</si>
  <si>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</si>
  <si>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</si>
  <si>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</si>
  <si>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</si>
  <si>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</si>
  <si>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</si>
  <si>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</si>
  <si>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</si>
  <si>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</si>
  <si>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</si>
  <si>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</si>
  <si>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</si>
  <si>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</si>
  <si>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</si>
  <si>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</si>
  <si>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</si>
  <si>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</si>
  <si>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</si>
  <si>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</si>
  <si>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</si>
  <si>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</si>
  <si>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</si>
  <si>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</si>
  <si>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</si>
  <si>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</si>
  <si>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</si>
  <si>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</si>
  <si>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</si>
  <si>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</si>
  <si>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</si>
  <si>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</si>
  <si>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</si>
  <si>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</si>
  <si>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</si>
  <si>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</si>
  <si>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</si>
  <si>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</si>
  <si>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</si>
  <si>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</si>
  <si>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</si>
  <si>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</si>
  <si>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</si>
  <si>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</si>
  <si>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</si>
  <si>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</si>
  <si>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</si>
  <si>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</si>
  <si>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</si>
  <si>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</si>
  <si>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</si>
  <si>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</si>
  <si>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</si>
  <si>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</si>
  <si>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</si>
  <si>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</si>
  <si>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</si>
  <si>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</si>
  <si>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</si>
  <si>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</si>
  <si>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</si>
  <si>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</si>
  <si>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</si>
  <si>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</si>
  <si>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</si>
  <si>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</si>
  <si>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</si>
  <si>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</si>
  <si>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</si>
  <si>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</si>
  <si>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</si>
  <si>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</si>
  <si>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</si>
  <si>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</si>
  <si>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</si>
  <si>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</si>
  <si>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</si>
  <si>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</si>
  <si>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</si>
  <si>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</si>
  <si>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</si>
  <si>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</si>
  <si>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</si>
  <si>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</si>
  <si>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</si>
  <si>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</si>
  <si>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</si>
  <si>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</si>
  <si>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</si>
  <si>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</si>
  <si>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</si>
  <si>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</si>
  <si>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</si>
  <si>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</si>
  <si>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</si>
  <si>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</si>
  <si>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</si>
  <si>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</si>
  <si>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</si>
  <si>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</si>
  <si>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</si>
  <si>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</si>
  <si>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</si>
  <si>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</si>
  <si>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</si>
  <si>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</si>
  <si>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</si>
  <si>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</si>
  <si>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</si>
  <si>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</si>
  <si>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</si>
  <si>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</si>
  <si>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</si>
  <si>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</si>
  <si>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</si>
  <si>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</si>
  <si>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</si>
  <si>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</si>
  <si>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</si>
  <si>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</si>
  <si>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</si>
  <si>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</si>
  <si>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</si>
  <si>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</si>
  <si>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</si>
  <si>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</si>
  <si>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</si>
  <si>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</si>
  <si>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</si>
  <si>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</si>
  <si>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</si>
  <si>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</si>
  <si>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</si>
  <si>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</si>
  <si>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</si>
  <si>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</si>
  <si>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</si>
  <si>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</si>
  <si>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</si>
  <si>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</si>
  <si>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</si>
  <si>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</si>
  <si>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</si>
  <si>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</si>
  <si>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</si>
  <si>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</si>
  <si>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</si>
  <si>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</si>
  <si>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</si>
  <si>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</si>
  <si>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</si>
  <si>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</si>
  <si>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</si>
  <si>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</si>
  <si>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</si>
  <si>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</si>
  <si>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</si>
  <si>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</si>
  <si>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</si>
  <si>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</si>
  <si>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</si>
  <si>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</si>
  <si>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</si>
  <si>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</si>
  <si>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</si>
  <si>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</si>
  <si>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</si>
  <si>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</si>
  <si>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</si>
  <si>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</si>
  <si>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</si>
  <si>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</si>
  <si>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</si>
  <si>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</si>
  <si>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</si>
  <si>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</si>
  <si>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</si>
  <si>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</si>
  <si>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</si>
  <si>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</si>
  <si>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</si>
  <si>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</si>
  <si>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</si>
  <si>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</si>
  <si>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</si>
  <si>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</si>
  <si>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</si>
  <si>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</si>
  <si>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</si>
  <si>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</si>
  <si>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</si>
  <si>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</si>
  <si>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</si>
  <si>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</si>
  <si>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</si>
  <si>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</si>
  <si>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</si>
  <si>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</si>
  <si>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</si>
  <si>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</si>
  <si>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</si>
  <si>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</si>
  <si>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</si>
  <si>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</si>
  <si>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</si>
  <si>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</si>
  <si>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</si>
  <si>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</si>
  <si>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</si>
  <si>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</si>
  <si>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</si>
  <si>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</si>
  <si>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</si>
  <si>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</si>
  <si>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</si>
  <si>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</si>
  <si>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</si>
  <si>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</si>
  <si>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</si>
  <si>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</si>
  <si>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</si>
  <si>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</si>
  <si>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</si>
  <si>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</si>
  <si>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</si>
  <si>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</si>
  <si>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</si>
  <si>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</si>
  <si>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</si>
  <si>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</si>
  <si>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</si>
  <si>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</si>
  <si>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</si>
  <si>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</si>
  <si>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</si>
  <si>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</si>
  <si>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</si>
  <si>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</si>
  <si>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</si>
  <si>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</si>
  <si>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</si>
  <si>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</si>
  <si>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</si>
  <si>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</si>
  <si>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</si>
  <si>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</si>
  <si>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</si>
  <si>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</si>
  <si>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</si>
  <si>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</si>
  <si>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</si>
  <si>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</si>
  <si>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</si>
  <si>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</si>
  <si>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</si>
  <si>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</si>
  <si>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</si>
  <si>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</si>
  <si>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</si>
  <si>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</si>
  <si>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</si>
  <si>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</si>
  <si>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</si>
  <si>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</si>
  <si>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</si>
  <si>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</si>
  <si>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</si>
  <si>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</si>
  <si>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</si>
  <si>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</si>
  <si>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</si>
  <si>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</si>
  <si>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</si>
  <si>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</si>
  <si>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</si>
  <si>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</si>
  <si>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</si>
  <si>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</si>
  <si>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</si>
  <si>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</si>
  <si>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</si>
  <si>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</si>
  <si>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</si>
  <si>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</si>
  <si>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</si>
  <si>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</si>
  <si>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</si>
  <si>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</si>
  <si>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</si>
  <si>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</si>
  <si>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</si>
  <si>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</si>
  <si>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</si>
  <si>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</si>
  <si>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</si>
  <si>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</si>
  <si>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</si>
  <si>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</si>
  <si>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</si>
  <si>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</si>
  <si>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</si>
  <si>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</si>
  <si>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</si>
  <si>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</si>
  <si>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</si>
  <si>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</si>
  <si>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</si>
  <si>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</si>
  <si>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</si>
  <si>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</si>
  <si>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</si>
  <si>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</si>
  <si>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</si>
  <si>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</si>
  <si>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</si>
  <si>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</si>
  <si>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</si>
  <si>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</si>
  <si>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</si>
  <si>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</si>
  <si>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</si>
  <si>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</si>
  <si>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</si>
  <si>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</si>
  <si>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</si>
  <si>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</si>
  <si>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</si>
  <si>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</si>
  <si>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</si>
  <si>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</si>
  <si>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</si>
  <si>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</si>
  <si>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</si>
  <si>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</si>
  <si>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</si>
  <si>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</si>
  <si>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</si>
  <si>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</si>
  <si>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</si>
  <si>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</si>
  <si>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</si>
  <si>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</si>
  <si>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</si>
  <si>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</si>
  <si>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</si>
  <si>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</si>
  <si>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</si>
  <si>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</si>
  <si>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</si>
  <si>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</si>
  <si>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</si>
  <si>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</si>
  <si>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</si>
  <si>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</si>
  <si>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</si>
  <si>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</si>
  <si>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</si>
  <si>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</si>
  <si>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</si>
  <si>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</si>
  <si>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</si>
  <si>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</si>
  <si>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</si>
  <si>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</si>
  <si>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</si>
  <si>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</si>
  <si>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</si>
  <si>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</si>
  <si>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</si>
  <si>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</si>
  <si>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</si>
  <si>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</si>
  <si>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</si>
  <si>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</si>
  <si>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</si>
  <si>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</si>
  <si>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</si>
  <si>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</si>
  <si>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</si>
  <si>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</si>
  <si>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</si>
  <si>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</si>
  <si>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</si>
  <si>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</si>
  <si>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</si>
  <si>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</si>
  <si>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</si>
  <si>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</si>
  <si>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</si>
  <si>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</si>
  <si>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</si>
  <si>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</si>
  <si>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</si>
  <si>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</si>
  <si>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</si>
  <si>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</si>
  <si>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</si>
  <si>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</si>
  <si>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</si>
  <si>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</si>
  <si>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</si>
  <si>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</si>
  <si>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</si>
  <si>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</si>
  <si>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</si>
  <si>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</si>
  <si>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</si>
  <si>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</si>
  <si>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</si>
  <si>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</si>
  <si>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</si>
  <si>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</si>
  <si>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</si>
  <si>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</si>
  <si>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</si>
  <si>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</si>
  <si>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</si>
  <si>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</si>
  <si>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</si>
  <si>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</si>
  <si>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</si>
  <si>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</si>
  <si>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</si>
  <si>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</si>
  <si>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</si>
  <si>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</si>
  <si>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</si>
  <si>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</si>
  <si>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</si>
  <si>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</si>
  <si>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</si>
  <si>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</si>
  <si>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</si>
  <si>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</si>
  <si>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</si>
  <si>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</si>
  <si>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</si>
  <si>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</si>
  <si>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</si>
  <si>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</si>
  <si>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</si>
  <si>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</si>
  <si>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</si>
  <si>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</si>
  <si>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</si>
  <si>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</si>
  <si>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</si>
  <si>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</si>
  <si>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</si>
  <si>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</si>
  <si>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</si>
  <si>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</si>
  <si>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</si>
  <si>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</si>
  <si>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</si>
  <si>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</si>
  <si>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</si>
  <si>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</si>
  <si>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</si>
  <si>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</si>
  <si>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</si>
  <si>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</si>
  <si>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</si>
  <si>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</si>
  <si>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</si>
  <si>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</si>
  <si>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</si>
  <si>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</si>
  <si>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</si>
  <si>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</si>
  <si>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</si>
  <si>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</si>
  <si>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</si>
  <si>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</si>
  <si>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</si>
  <si>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</si>
  <si>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</si>
  <si>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</si>
  <si>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</si>
  <si>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</si>
  <si>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</si>
  <si>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</si>
  <si>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</si>
  <si>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</si>
  <si>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</si>
  <si>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</si>
  <si>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</si>
  <si>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</si>
  <si>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</si>
  <si>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</si>
  <si>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</si>
  <si>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</si>
  <si>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</si>
  <si>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</si>
  <si>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</si>
  <si>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</si>
  <si>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</si>
  <si>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</si>
  <si>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</si>
  <si>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</si>
  <si>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</si>
  <si>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</si>
  <si>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</si>
  <si>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</si>
  <si>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</si>
  <si>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</si>
  <si>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</si>
  <si>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</si>
  <si>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</si>
  <si>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</si>
  <si>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</si>
  <si>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</si>
  <si>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</si>
  <si>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</si>
  <si>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</si>
  <si>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</si>
  <si>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</si>
  <si>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</si>
  <si>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</si>
  <si>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</si>
  <si>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</si>
  <si>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</si>
  <si>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</si>
  <si>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</si>
  <si>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</si>
  <si>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</si>
  <si>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</si>
  <si>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</si>
  <si>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</si>
  <si>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</si>
  <si>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</si>
  <si>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</si>
  <si>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</si>
  <si>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</si>
  <si>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</si>
  <si>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</si>
  <si>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</si>
  <si>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</si>
  <si>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</si>
  <si>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</si>
  <si>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</si>
  <si>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</si>
  <si>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</si>
  <si>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</si>
  <si>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</si>
  <si>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</si>
  <si>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</si>
  <si>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</si>
  <si>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</si>
  <si>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</si>
  <si>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</si>
  <si>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</si>
  <si>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</si>
  <si>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</si>
  <si>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</si>
  <si>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</si>
  <si>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</si>
  <si>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</si>
  <si>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</si>
  <si>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</si>
  <si>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</si>
  <si>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</si>
  <si>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</si>
  <si>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</si>
  <si>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</si>
  <si>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</si>
  <si>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</si>
  <si>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</si>
  <si>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</si>
  <si>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</si>
  <si>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</si>
  <si>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</si>
  <si>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</si>
  <si>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</si>
  <si>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</si>
  <si>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</si>
  <si>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</si>
  <si>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</si>
  <si>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</si>
  <si>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</si>
  <si>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</si>
  <si>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</si>
  <si>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</si>
  <si>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</si>
  <si>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</si>
  <si>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</si>
  <si>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</si>
  <si>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</si>
  <si>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</si>
  <si>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</si>
  <si>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</si>
  <si>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</si>
  <si>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</si>
  <si>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</si>
  <si>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</si>
  <si>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</si>
  <si>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</si>
  <si>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</si>
  <si>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</si>
  <si>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</si>
  <si>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</si>
  <si>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</si>
  <si>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</si>
  <si>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</si>
  <si>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</si>
  <si>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</si>
  <si>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</si>
  <si>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</si>
  <si>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</si>
  <si>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</si>
  <si>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</si>
  <si>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</si>
  <si>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</si>
  <si>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</si>
  <si>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</si>
  <si>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</si>
  <si>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</si>
  <si>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</si>
  <si>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</si>
  <si>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</si>
  <si>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</si>
  <si>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</si>
  <si>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</si>
  <si>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</si>
  <si>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</si>
  <si>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</si>
  <si>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</si>
  <si>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</si>
  <si>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</si>
  <si>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</si>
  <si>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</si>
  <si>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</si>
  <si>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</si>
  <si>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</si>
  <si>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</si>
  <si>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</si>
  <si>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</si>
  <si>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</si>
  <si>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</si>
  <si>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</si>
  <si>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</si>
  <si>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</si>
  <si>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</si>
  <si>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</si>
  <si>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</si>
  <si>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</si>
  <si>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</si>
  <si>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</si>
  <si>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</si>
  <si>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</si>
  <si>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</si>
  <si>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</si>
  <si>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</si>
  <si>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</si>
  <si>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</si>
  <si>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</si>
  <si>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</si>
  <si>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</si>
  <si>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</si>
  <si>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</si>
  <si>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</si>
  <si>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</si>
  <si>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</si>
  <si>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</si>
  <si>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</si>
  <si>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</si>
  <si>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</si>
  <si>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</si>
  <si>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</si>
  <si>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</si>
  <si>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</si>
  <si>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</si>
  <si>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</si>
  <si>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</si>
  <si>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</si>
  <si>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</si>
  <si>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</si>
  <si>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</si>
  <si>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</si>
  <si>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</si>
  <si>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</si>
  <si>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</si>
  <si>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</si>
  <si>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</si>
  <si>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</si>
  <si>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</si>
  <si>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</si>
  <si>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</si>
  <si>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</si>
  <si>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</si>
  <si>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</si>
  <si>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</si>
  <si>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</si>
  <si>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</si>
  <si>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</si>
  <si>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</si>
  <si>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</si>
  <si>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</si>
  <si>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</si>
  <si>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</si>
  <si>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</si>
  <si>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</si>
  <si>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</si>
  <si>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</si>
  <si>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</si>
  <si>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</si>
  <si>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</si>
  <si>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</si>
  <si>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</si>
  <si>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</si>
  <si>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</si>
  <si>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</si>
  <si>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</si>
  <si>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</si>
  <si>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</si>
  <si>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</si>
  <si>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</si>
  <si>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</si>
  <si>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</si>
  <si>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13016</t>
  </si>
  <si>
    <t>HULSHOUT</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</si>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</sst>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5"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6"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6"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6"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3" fontId="24" fillId="8" borderId="212">
      <alignment horizontal="right" vertical="center"/>
    </xf>
    <xf numFmtId="0" fontId="130" fillId="0" borderId="0"/>
    <xf numFmtId="0" fontId="130" fillId="0" borderId="0"/>
    <xf numFmtId="0" fontId="130"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0" fontId="105" fillId="0" borderId="0"/>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32"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6"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31"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5" fillId="0" borderId="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33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4"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4" fillId="0" borderId="0" xfId="0" applyNumberFormat="1" applyFont="1" applyFill="1" applyBorder="1" applyAlignment="1">
      <alignment vertical="top"/>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2" fontId="0" fillId="0" borderId="0" xfId="0" applyFill="1"/>
    <xf numFmtId="172" fontId="72" fillId="0" borderId="0" xfId="148" quotePrefix="1" applyFill="1" applyAlignment="1" applyProtection="1"/>
    <xf numFmtId="0" fontId="129" fillId="4" borderId="0" xfId="148" applyNumberFormat="1" applyFont="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2" fontId="56" fillId="0" borderId="0" xfId="52" applyNumberFormat="1" applyFont="1"/>
    <xf numFmtId="182" fontId="5" fillId="0" borderId="0" xfId="52" applyNumberFormat="1" applyFont="1"/>
    <xf numFmtId="167" fontId="24" fillId="3" borderId="0" xfId="173" applyFont="1" applyFill="1" applyBorder="1"/>
    <xf numFmtId="182"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3"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3" fontId="0" fillId="0" borderId="0" xfId="173" applyNumberFormat="1" applyFont="1"/>
    <xf numFmtId="183" fontId="24" fillId="0" borderId="0" xfId="173" applyNumberFormat="1" applyFont="1"/>
    <xf numFmtId="183"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3" fontId="0" fillId="0" borderId="213" xfId="173" applyNumberFormat="1" applyFont="1" applyBorder="1"/>
    <xf numFmtId="0" fontId="24" fillId="23" borderId="0" xfId="0" applyNumberFormat="1" applyFont="1" applyFill="1"/>
    <xf numFmtId="0" fontId="45" fillId="23" borderId="0" xfId="0" applyNumberFormat="1" applyFont="1" applyFill="1"/>
    <xf numFmtId="0" fontId="0" fillId="0" borderId="213"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99B8035B-FE58-421E-AEAF-B4EF8497E1DB}"/>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88031.341427091058</c:v>
                </c:pt>
                <c:pt idx="1">
                  <c:v>19065.029106151796</c:v>
                </c:pt>
                <c:pt idx="2">
                  <c:v>592.096</c:v>
                </c:pt>
                <c:pt idx="3">
                  <c:v>3112.8078383720949</c:v>
                </c:pt>
                <c:pt idx="4">
                  <c:v>45182.63520731328</c:v>
                </c:pt>
                <c:pt idx="5">
                  <c:v>24402.86677137424</c:v>
                </c:pt>
                <c:pt idx="6">
                  <c:v>368.52294927203423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88031.341427091058</c:v>
                </c:pt>
                <c:pt idx="1">
                  <c:v>19065.029106151796</c:v>
                </c:pt>
                <c:pt idx="2">
                  <c:v>592.096</c:v>
                </c:pt>
                <c:pt idx="3">
                  <c:v>3112.8078383720949</c:v>
                </c:pt>
                <c:pt idx="4">
                  <c:v>45182.63520731328</c:v>
                </c:pt>
                <c:pt idx="5">
                  <c:v>24402.86677137424</c:v>
                </c:pt>
                <c:pt idx="6">
                  <c:v>368.52294927203423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18034.775546814726</c:v>
                </c:pt>
                <c:pt idx="1">
                  <c:v>3788.047395391417</c:v>
                </c:pt>
                <c:pt idx="2">
                  <c:v>114.36348978598068</c:v>
                </c:pt>
                <c:pt idx="3">
                  <c:v>791.93599627213848</c:v>
                </c:pt>
                <c:pt idx="4">
                  <c:v>9146.7773801634576</c:v>
                </c:pt>
                <c:pt idx="5">
                  <c:v>6028.3132993760528</c:v>
                </c:pt>
                <c:pt idx="6">
                  <c:v>92.727250198774144</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18034.775546814726</c:v>
                </c:pt>
                <c:pt idx="1">
                  <c:v>3788.047395391417</c:v>
                </c:pt>
                <c:pt idx="2">
                  <c:v>114.36348978598068</c:v>
                </c:pt>
                <c:pt idx="3">
                  <c:v>791.93599627213848</c:v>
                </c:pt>
                <c:pt idx="4">
                  <c:v>9146.7773801634576</c:v>
                </c:pt>
                <c:pt idx="5">
                  <c:v>6028.3132993760528</c:v>
                </c:pt>
                <c:pt idx="6">
                  <c:v>92.727250198774144</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625</v>
      </c>
      <c r="B2" s="388"/>
      <c r="C2" s="389"/>
    </row>
    <row r="3" spans="1:7" s="11" customFormat="1" ht="15" customHeight="1">
      <c r="A3" s="93"/>
      <c r="B3" s="74"/>
      <c r="C3" s="94"/>
    </row>
    <row r="4" spans="1:7" s="11" customFormat="1" ht="15.75" customHeight="1" thickBot="1">
      <c r="A4" s="105" t="s">
        <v>786</v>
      </c>
      <c r="B4" s="106"/>
      <c r="C4" s="107"/>
    </row>
    <row r="5" spans="1:7" s="382" customFormat="1" ht="15.75" customHeight="1">
      <c r="A5" s="379" t="s">
        <v>0</v>
      </c>
      <c r="B5" s="380"/>
      <c r="C5" s="381"/>
    </row>
    <row r="6" spans="1:7" s="382" customFormat="1" ht="15" customHeight="1">
      <c r="A6" s="383" t="str">
        <f>txtNIS</f>
        <v>13016</v>
      </c>
      <c r="B6" s="384"/>
      <c r="C6" s="385"/>
    </row>
    <row r="7" spans="1:7" s="382" customFormat="1" ht="15.75" customHeight="1">
      <c r="A7" s="386" t="str">
        <f>txtMunicipality</f>
        <v>HULSHOUT</v>
      </c>
      <c r="B7" s="384"/>
      <c r="C7" s="385"/>
    </row>
    <row r="8" spans="1:7" ht="15.75" thickBot="1">
      <c r="A8" s="45"/>
      <c r="B8" s="108"/>
      <c r="C8" s="109"/>
    </row>
    <row r="9" spans="1:7" s="375" customFormat="1" ht="15.75" thickBot="1">
      <c r="A9" s="399" t="s">
        <v>344</v>
      </c>
      <c r="B9" s="402"/>
      <c r="C9" s="403"/>
    </row>
    <row r="10" spans="1:7" s="15" customFormat="1" ht="57.75" customHeight="1" thickBot="1">
      <c r="A10" s="1080" t="s">
        <v>863</v>
      </c>
      <c r="B10" s="1081"/>
      <c r="C10" s="1082"/>
    </row>
    <row r="11" spans="1:7" s="376" customFormat="1" ht="15.75" thickBot="1">
      <c r="A11" s="399" t="s">
        <v>346</v>
      </c>
      <c r="B11" s="402"/>
      <c r="C11" s="403"/>
      <c r="G11" s="377"/>
    </row>
    <row r="12" spans="1:7">
      <c r="A12" s="44"/>
      <c r="B12" s="43"/>
      <c r="C12" s="96"/>
    </row>
    <row r="13" spans="1:7" s="376" customFormat="1">
      <c r="A13" s="768" t="s">
        <v>592</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347</v>
      </c>
      <c r="B16" s="1083" t="s">
        <v>497</v>
      </c>
      <c r="C16" s="1084"/>
    </row>
    <row r="17" spans="1:3" s="15" customFormat="1" ht="15.75">
      <c r="A17" s="98"/>
      <c r="B17" s="70"/>
      <c r="C17" s="99"/>
    </row>
    <row r="18" spans="1:3">
      <c r="A18" s="95" t="s">
        <v>350</v>
      </c>
      <c r="B18" s="69" t="s">
        <v>362</v>
      </c>
      <c r="C18" s="100" t="s">
        <v>361</v>
      </c>
    </row>
    <row r="19" spans="1:3" s="332" customFormat="1">
      <c r="A19" s="366" t="s">
        <v>348</v>
      </c>
      <c r="B19" s="367" t="s">
        <v>787</v>
      </c>
      <c r="C19" s="368" t="s">
        <v>495</v>
      </c>
    </row>
    <row r="20" spans="1:3" s="332" customFormat="1">
      <c r="A20" s="369"/>
      <c r="B20" s="329"/>
      <c r="C20" s="370"/>
    </row>
    <row r="21" spans="1:3" s="332" customFormat="1">
      <c r="A21" s="371" t="s">
        <v>349</v>
      </c>
      <c r="B21" s="367" t="s">
        <v>492</v>
      </c>
      <c r="C21" s="368" t="s">
        <v>496</v>
      </c>
    </row>
    <row r="22" spans="1:3" s="332" customFormat="1">
      <c r="A22" s="372"/>
      <c r="B22" s="329"/>
      <c r="C22" s="370"/>
    </row>
    <row r="23" spans="1:3" s="332" customFormat="1" ht="30">
      <c r="A23" s="366" t="s">
        <v>415</v>
      </c>
      <c r="B23" s="437" t="s">
        <v>419</v>
      </c>
      <c r="C23" s="368" t="s">
        <v>493</v>
      </c>
    </row>
    <row r="24" spans="1:3" s="332" customFormat="1">
      <c r="A24" s="372"/>
      <c r="B24" s="329"/>
      <c r="C24" s="370"/>
    </row>
    <row r="25" spans="1:3" s="332" customFormat="1">
      <c r="A25" s="366" t="s">
        <v>417</v>
      </c>
      <c r="B25" s="367" t="s">
        <v>416</v>
      </c>
      <c r="C25" s="368" t="s">
        <v>494</v>
      </c>
    </row>
    <row r="26" spans="1:3" s="332" customFormat="1">
      <c r="A26" s="372"/>
      <c r="B26" s="329"/>
      <c r="C26" s="370"/>
    </row>
    <row r="27" spans="1:3" s="332" customFormat="1">
      <c r="A27" s="366" t="s">
        <v>390</v>
      </c>
      <c r="B27" s="367" t="s">
        <v>414</v>
      </c>
      <c r="C27" s="368"/>
    </row>
    <row r="28" spans="1:3" s="332" customFormat="1">
      <c r="A28" s="372"/>
      <c r="B28" s="329" t="s">
        <v>549</v>
      </c>
      <c r="C28" s="370"/>
    </row>
    <row r="29" spans="1:3" ht="15.75" thickBot="1">
      <c r="A29" s="44"/>
      <c r="B29" s="43"/>
      <c r="C29" s="96"/>
    </row>
    <row r="30" spans="1:3" s="375" customFormat="1" ht="15.75" thickBot="1">
      <c r="A30" s="399" t="s">
        <v>359</v>
      </c>
      <c r="B30" s="400"/>
      <c r="C30" s="401"/>
    </row>
    <row r="31" spans="1:3" s="15" customFormat="1" ht="15.75">
      <c r="A31" s="98"/>
      <c r="B31" s="71"/>
      <c r="C31" s="102"/>
    </row>
    <row r="32" spans="1:3" s="15" customFormat="1">
      <c r="A32" s="103" t="s">
        <v>360</v>
      </c>
      <c r="B32" s="73" t="s">
        <v>362</v>
      </c>
      <c r="C32" s="104"/>
    </row>
    <row r="33" spans="1:3" s="393" customFormat="1">
      <c r="A33" s="390" t="s">
        <v>351</v>
      </c>
      <c r="B33" s="391" t="s">
        <v>363</v>
      </c>
      <c r="C33" s="392"/>
    </row>
    <row r="34" spans="1:3" s="393" customFormat="1">
      <c r="A34" s="394" t="s">
        <v>352</v>
      </c>
      <c r="B34" s="395" t="s">
        <v>353</v>
      </c>
      <c r="C34" s="396"/>
    </row>
    <row r="35" spans="1:3" s="393" customFormat="1">
      <c r="A35" s="397" t="s">
        <v>354</v>
      </c>
      <c r="B35" s="395" t="s">
        <v>355</v>
      </c>
      <c r="C35" s="396"/>
    </row>
    <row r="36" spans="1:3" s="393" customFormat="1">
      <c r="A36" s="398" t="s">
        <v>356</v>
      </c>
      <c r="B36" s="395" t="s">
        <v>357</v>
      </c>
      <c r="C36" s="396"/>
    </row>
    <row r="37" spans="1:3" s="393" customFormat="1" ht="30">
      <c r="A37" s="425" t="s">
        <v>358</v>
      </c>
      <c r="B37" s="395" t="s">
        <v>447</v>
      </c>
      <c r="C37" s="396"/>
    </row>
    <row r="38" spans="1:3" ht="15.75" thickBot="1">
      <c r="A38" s="426"/>
      <c r="B38" s="427"/>
      <c r="C38" s="428"/>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368</v>
      </c>
      <c r="B2" s="787"/>
      <c r="C2" s="403"/>
    </row>
    <row r="3" spans="1:3" s="15" customFormat="1" ht="15.75">
      <c r="A3" s="98"/>
      <c r="B3" s="70"/>
      <c r="C3" s="99"/>
    </row>
    <row r="4" spans="1:3" s="326" customFormat="1">
      <c r="A4" s="383" t="s">
        <v>350</v>
      </c>
      <c r="B4" s="405" t="s">
        <v>362</v>
      </c>
      <c r="C4" s="406" t="s">
        <v>361</v>
      </c>
    </row>
    <row r="5" spans="1:3" s="326" customFormat="1">
      <c r="A5" s="407"/>
      <c r="B5" s="332"/>
      <c r="C5" s="359"/>
    </row>
    <row r="6" spans="1:3" s="326" customFormat="1">
      <c r="A6" s="909" t="s">
        <v>630</v>
      </c>
      <c r="B6" s="408" t="s">
        <v>788</v>
      </c>
      <c r="C6" s="409" t="s">
        <v>345</v>
      </c>
    </row>
    <row r="7" spans="1:3" s="326" customFormat="1">
      <c r="A7" s="909" t="s">
        <v>789</v>
      </c>
      <c r="B7" s="410" t="s">
        <v>578</v>
      </c>
      <c r="C7" s="411" t="s">
        <v>577</v>
      </c>
    </row>
    <row r="8" spans="1:3" s="326" customFormat="1">
      <c r="A8" s="1053" t="s">
        <v>790</v>
      </c>
      <c r="B8" s="410" t="s">
        <v>793</v>
      </c>
      <c r="C8" s="411" t="s">
        <v>345</v>
      </c>
    </row>
    <row r="9" spans="1:3" s="326" customFormat="1">
      <c r="A9" s="1053" t="s">
        <v>791</v>
      </c>
      <c r="B9" s="410" t="s">
        <v>794</v>
      </c>
      <c r="C9" s="411" t="s">
        <v>345</v>
      </c>
    </row>
    <row r="10" spans="1:3" s="326" customFormat="1">
      <c r="A10" s="1053" t="s">
        <v>792</v>
      </c>
      <c r="B10" s="410" t="s">
        <v>795</v>
      </c>
      <c r="C10" s="411" t="s">
        <v>345</v>
      </c>
    </row>
    <row r="11" spans="1:3" s="326" customFormat="1">
      <c r="A11" s="440"/>
      <c r="B11" s="410"/>
      <c r="C11" s="411"/>
    </row>
    <row r="12" spans="1:3" ht="21">
      <c r="A12" s="126" t="s">
        <v>448</v>
      </c>
      <c r="B12" s="125"/>
      <c r="C12" s="122"/>
    </row>
  </sheetData>
  <hyperlinks>
    <hyperlink ref="A7" location="'Inventaris 2019'!A1" display="Inventaris 2019'!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19'!A1" display="Lokale energieproductie 2019"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155" t="s">
        <v>210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42"/>
      <c r="B4" s="442"/>
      <c r="C4" s="63"/>
      <c r="D4" s="63"/>
      <c r="E4" s="63"/>
      <c r="F4" s="63"/>
      <c r="G4" s="63"/>
      <c r="H4" s="63"/>
      <c r="I4" s="63"/>
      <c r="J4" s="63"/>
      <c r="K4" s="63"/>
      <c r="L4" s="63"/>
      <c r="M4" s="63"/>
      <c r="N4" s="63"/>
      <c r="O4" s="63"/>
      <c r="P4" s="63"/>
      <c r="Q4" s="63"/>
      <c r="R4" s="63"/>
    </row>
    <row r="5" spans="1:19" ht="16.5" thickBot="1">
      <c r="A5" s="1157" t="s">
        <v>211</v>
      </c>
      <c r="B5" s="793"/>
      <c r="C5" s="1160" t="s">
        <v>330</v>
      </c>
      <c r="D5" s="1161"/>
      <c r="E5" s="1161"/>
      <c r="F5" s="1161"/>
      <c r="G5" s="1161"/>
      <c r="H5" s="1161"/>
      <c r="I5" s="1161"/>
      <c r="J5" s="1161"/>
      <c r="K5" s="1161"/>
      <c r="L5" s="1161"/>
      <c r="M5" s="1161"/>
      <c r="N5" s="1161"/>
      <c r="O5" s="1161"/>
      <c r="P5" s="1161"/>
      <c r="Q5" s="1161"/>
      <c r="R5" s="1162"/>
    </row>
    <row r="6" spans="1:19" ht="16.5" thickTop="1">
      <c r="A6" s="1158"/>
      <c r="B6" s="794"/>
      <c r="C6" s="1163" t="s">
        <v>20</v>
      </c>
      <c r="D6" s="1165" t="s">
        <v>189</v>
      </c>
      <c r="E6" s="1167" t="s">
        <v>190</v>
      </c>
      <c r="F6" s="1168"/>
      <c r="G6" s="1168"/>
      <c r="H6" s="1168"/>
      <c r="I6" s="1168"/>
      <c r="J6" s="1168"/>
      <c r="K6" s="1168"/>
      <c r="L6" s="1169"/>
      <c r="M6" s="1167" t="s">
        <v>191</v>
      </c>
      <c r="N6" s="1168"/>
      <c r="O6" s="1168"/>
      <c r="P6" s="1168"/>
      <c r="Q6" s="1168"/>
      <c r="R6" s="1170" t="s">
        <v>109</v>
      </c>
    </row>
    <row r="7" spans="1:19" ht="45.75" thickBot="1">
      <c r="A7" s="1159"/>
      <c r="B7" s="795"/>
      <c r="C7" s="1164"/>
      <c r="D7" s="1166"/>
      <c r="E7" s="438" t="s">
        <v>192</v>
      </c>
      <c r="F7" s="438" t="s">
        <v>193</v>
      </c>
      <c r="G7" s="64" t="s">
        <v>194</v>
      </c>
      <c r="H7" s="438" t="s">
        <v>195</v>
      </c>
      <c r="I7" s="438" t="s">
        <v>113</v>
      </c>
      <c r="J7" s="438" t="s">
        <v>196</v>
      </c>
      <c r="K7" s="439" t="s">
        <v>197</v>
      </c>
      <c r="L7" s="439" t="s">
        <v>198</v>
      </c>
      <c r="M7" s="64" t="s">
        <v>199</v>
      </c>
      <c r="N7" s="65" t="s">
        <v>200</v>
      </c>
      <c r="O7" s="65" t="s">
        <v>201</v>
      </c>
      <c r="P7" s="65" t="s">
        <v>202</v>
      </c>
      <c r="Q7" s="66" t="s">
        <v>203</v>
      </c>
      <c r="R7" s="1171"/>
    </row>
    <row r="8" spans="1:19" ht="18.75" customHeight="1" thickTop="1">
      <c r="A8" s="801" t="s">
        <v>331</v>
      </c>
      <c r="B8" s="806"/>
      <c r="C8" s="1172"/>
      <c r="D8" s="1172"/>
      <c r="E8" s="1172"/>
      <c r="F8" s="1172"/>
      <c r="G8" s="1172"/>
      <c r="H8" s="1172"/>
      <c r="I8" s="1172"/>
      <c r="J8" s="1172"/>
      <c r="K8" s="1172"/>
      <c r="L8" s="1172"/>
      <c r="M8" s="1172"/>
      <c r="N8" s="1172"/>
      <c r="O8" s="1172"/>
      <c r="P8" s="1172"/>
      <c r="Q8" s="1172"/>
      <c r="R8" s="302"/>
    </row>
    <row r="9" spans="1:19" s="443" customFormat="1">
      <c r="A9" s="802" t="s">
        <v>212</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3" customFormat="1">
      <c r="A10" s="803" t="s">
        <v>213</v>
      </c>
      <c r="B10" s="808"/>
      <c r="C10" s="681">
        <f ca="1">tertiair!B16+'openbare verlichting'!B8</f>
        <v>9613.3980707838273</v>
      </c>
      <c r="D10" s="681">
        <f ca="1">tertiair!C16</f>
        <v>0</v>
      </c>
      <c r="E10" s="681">
        <f ca="1">tertiair!D16</f>
        <v>7748.0697884463752</v>
      </c>
      <c r="F10" s="681">
        <f>tertiair!E16</f>
        <v>47.868991220948729</v>
      </c>
      <c r="G10" s="681">
        <f ca="1">tertiair!F16</f>
        <v>1758.8025324818166</v>
      </c>
      <c r="H10" s="681">
        <f>tertiair!G16</f>
        <v>0</v>
      </c>
      <c r="I10" s="681">
        <f>tertiair!H16</f>
        <v>0</v>
      </c>
      <c r="J10" s="681">
        <f>tertiair!I16</f>
        <v>0</v>
      </c>
      <c r="K10" s="681">
        <f>tertiair!J16</f>
        <v>1.135697467260212E-2</v>
      </c>
      <c r="L10" s="681">
        <f>tertiair!K16</f>
        <v>0</v>
      </c>
      <c r="M10" s="681">
        <f ca="1">tertiair!L16</f>
        <v>0</v>
      </c>
      <c r="N10" s="681">
        <f>tertiair!M16</f>
        <v>0</v>
      </c>
      <c r="O10" s="681">
        <f ca="1">tertiair!N16</f>
        <v>436.43522793766027</v>
      </c>
      <c r="P10" s="681">
        <f>tertiair!O16</f>
        <v>0</v>
      </c>
      <c r="Q10" s="682">
        <f>tertiair!P16</f>
        <v>52.539138306495019</v>
      </c>
      <c r="R10" s="684">
        <f ca="1">SUM(C10:Q10)</f>
        <v>19657.125106151794</v>
      </c>
      <c r="S10" s="67"/>
    </row>
    <row r="11" spans="1:19" s="443" customFormat="1">
      <c r="A11" s="802" t="s">
        <v>214</v>
      </c>
      <c r="B11" s="807"/>
      <c r="C11" s="681">
        <f>huishoudens!B8</f>
        <v>18077.249255937691</v>
      </c>
      <c r="D11" s="681">
        <f>huishoudens!C8</f>
        <v>0</v>
      </c>
      <c r="E11" s="681">
        <f>huishoudens!D8</f>
        <v>33108.701060256572</v>
      </c>
      <c r="F11" s="681">
        <f>huishoudens!E8</f>
        <v>1283.4737301407622</v>
      </c>
      <c r="G11" s="681">
        <f>huishoudens!F8</f>
        <v>28116.552387677471</v>
      </c>
      <c r="H11" s="681">
        <f>huishoudens!G8</f>
        <v>0</v>
      </c>
      <c r="I11" s="681">
        <f>huishoudens!H8</f>
        <v>0</v>
      </c>
      <c r="J11" s="681">
        <f>huishoudens!I8</f>
        <v>0</v>
      </c>
      <c r="K11" s="681">
        <f>huishoudens!J8</f>
        <v>160.23930727037751</v>
      </c>
      <c r="L11" s="681">
        <f>huishoudens!K8</f>
        <v>0</v>
      </c>
      <c r="M11" s="681">
        <f>huishoudens!L8</f>
        <v>0</v>
      </c>
      <c r="N11" s="681">
        <f>huishoudens!M8</f>
        <v>0</v>
      </c>
      <c r="O11" s="681">
        <f>huishoudens!N8</f>
        <v>6133.3358197304351</v>
      </c>
      <c r="P11" s="681">
        <f>huishoudens!O8</f>
        <v>214.26748769379944</v>
      </c>
      <c r="Q11" s="682">
        <f>huishoudens!P8</f>
        <v>937.52237838396695</v>
      </c>
      <c r="R11" s="684">
        <f>SUM(C11:Q11)</f>
        <v>88031.341427091058</v>
      </c>
      <c r="S11" s="67"/>
    </row>
    <row r="12" spans="1:19" s="443" customFormat="1">
      <c r="A12" s="802" t="s">
        <v>480</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3" customFormat="1">
      <c r="A13" s="802" t="s">
        <v>614</v>
      </c>
      <c r="B13" s="811" t="s">
        <v>612</v>
      </c>
      <c r="C13" s="681">
        <f>industrie!B18</f>
        <v>7733.8012446506191</v>
      </c>
      <c r="D13" s="681">
        <f>industrie!C18</f>
        <v>0</v>
      </c>
      <c r="E13" s="681">
        <f>industrie!D18</f>
        <v>34825.730354242245</v>
      </c>
      <c r="F13" s="681">
        <f>industrie!E18</f>
        <v>151.89058347330047</v>
      </c>
      <c r="G13" s="681">
        <f>industrie!F18</f>
        <v>2169.3459812357523</v>
      </c>
      <c r="H13" s="681">
        <f>industrie!G18</f>
        <v>0</v>
      </c>
      <c r="I13" s="681">
        <f>industrie!H18</f>
        <v>0</v>
      </c>
      <c r="J13" s="681">
        <f>industrie!I18</f>
        <v>0</v>
      </c>
      <c r="K13" s="681">
        <f>industrie!J18</f>
        <v>12.7109425062204</v>
      </c>
      <c r="L13" s="681">
        <f>industrie!K18</f>
        <v>0</v>
      </c>
      <c r="M13" s="681">
        <f>industrie!L18</f>
        <v>0</v>
      </c>
      <c r="N13" s="681">
        <f>industrie!M18</f>
        <v>0</v>
      </c>
      <c r="O13" s="681">
        <f>industrie!N18</f>
        <v>289.15610120514003</v>
      </c>
      <c r="P13" s="681">
        <f>industrie!O18</f>
        <v>0</v>
      </c>
      <c r="Q13" s="682">
        <f>industrie!P18</f>
        <v>0</v>
      </c>
      <c r="R13" s="684">
        <f>SUM(C13:Q13)</f>
        <v>45182.63520731328</v>
      </c>
      <c r="S13" s="67"/>
    </row>
    <row r="14" spans="1:19" s="443" customFormat="1">
      <c r="A14" s="802"/>
      <c r="B14" s="811" t="s">
        <v>613</v>
      </c>
      <c r="C14" s="681"/>
      <c r="D14" s="681"/>
      <c r="E14" s="681"/>
      <c r="F14" s="681"/>
      <c r="G14" s="681"/>
      <c r="H14" s="681"/>
      <c r="I14" s="681"/>
      <c r="J14" s="681"/>
      <c r="K14" s="681"/>
      <c r="L14" s="681"/>
      <c r="M14" s="681"/>
      <c r="N14" s="681"/>
      <c r="O14" s="681"/>
      <c r="P14" s="681"/>
      <c r="Q14" s="681"/>
      <c r="R14" s="684"/>
      <c r="S14" s="67"/>
    </row>
    <row r="15" spans="1:19" s="443" customFormat="1" ht="15" thickBot="1">
      <c r="A15" s="936" t="s">
        <v>689</v>
      </c>
      <c r="B15" s="937"/>
      <c r="C15" s="938"/>
      <c r="D15" s="938"/>
      <c r="E15" s="938"/>
      <c r="F15" s="938"/>
      <c r="G15" s="938"/>
      <c r="H15" s="938"/>
      <c r="I15" s="938"/>
      <c r="J15" s="938"/>
      <c r="K15" s="938"/>
      <c r="L15" s="938"/>
      <c r="M15" s="938"/>
      <c r="N15" s="938"/>
      <c r="O15" s="938"/>
      <c r="P15" s="938"/>
      <c r="Q15" s="939"/>
      <c r="R15" s="683"/>
      <c r="S15" s="67"/>
    </row>
    <row r="16" spans="1:19" s="443" customFormat="1" ht="15.75" thickBot="1">
      <c r="A16" s="685" t="s">
        <v>215</v>
      </c>
      <c r="B16" s="809"/>
      <c r="C16" s="717">
        <f ca="1">SUM(C9:C15)</f>
        <v>35424.448571372137</v>
      </c>
      <c r="D16" s="717">
        <f t="shared" ref="D16:R16" ca="1" si="0">SUM(D9:D15)</f>
        <v>0</v>
      </c>
      <c r="E16" s="717">
        <f t="shared" ca="1" si="0"/>
        <v>75682.50120294519</v>
      </c>
      <c r="F16" s="717">
        <f t="shared" si="0"/>
        <v>1483.2333048350115</v>
      </c>
      <c r="G16" s="717">
        <f t="shared" ca="1" si="0"/>
        <v>32044.700901395037</v>
      </c>
      <c r="H16" s="717">
        <f t="shared" si="0"/>
        <v>0</v>
      </c>
      <c r="I16" s="717">
        <f t="shared" si="0"/>
        <v>0</v>
      </c>
      <c r="J16" s="717">
        <f t="shared" si="0"/>
        <v>0</v>
      </c>
      <c r="K16" s="717">
        <f t="shared" si="0"/>
        <v>172.96160675127049</v>
      </c>
      <c r="L16" s="717">
        <f t="shared" si="0"/>
        <v>0</v>
      </c>
      <c r="M16" s="717">
        <f t="shared" ca="1" si="0"/>
        <v>0</v>
      </c>
      <c r="N16" s="717">
        <f t="shared" si="0"/>
        <v>0</v>
      </c>
      <c r="O16" s="717">
        <f t="shared" ca="1" si="0"/>
        <v>6858.9271488732347</v>
      </c>
      <c r="P16" s="717">
        <f t="shared" si="0"/>
        <v>214.26748769379944</v>
      </c>
      <c r="Q16" s="717">
        <f t="shared" si="0"/>
        <v>990.06151669046199</v>
      </c>
      <c r="R16" s="717">
        <f t="shared" ca="1" si="0"/>
        <v>152871.10174055613</v>
      </c>
      <c r="S16" s="67"/>
    </row>
    <row r="17" spans="1:19" s="443" customFormat="1" ht="15.75">
      <c r="A17" s="804" t="s">
        <v>216</v>
      </c>
      <c r="B17" s="721"/>
      <c r="C17" s="1112"/>
      <c r="D17" s="1112"/>
      <c r="E17" s="1112"/>
      <c r="F17" s="1112"/>
      <c r="G17" s="1112"/>
      <c r="H17" s="1112"/>
      <c r="I17" s="1112"/>
      <c r="J17" s="1112"/>
      <c r="K17" s="1112"/>
      <c r="L17" s="1112"/>
      <c r="M17" s="1112"/>
      <c r="N17" s="1112"/>
      <c r="O17" s="1112"/>
      <c r="P17" s="1112"/>
      <c r="Q17" s="1112"/>
      <c r="R17" s="686"/>
      <c r="S17" s="67"/>
    </row>
    <row r="18" spans="1:19" s="443" customFormat="1">
      <c r="A18" s="802" t="s">
        <v>217</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3" customFormat="1">
      <c r="A19" s="802" t="s">
        <v>218</v>
      </c>
      <c r="B19" s="807"/>
      <c r="C19" s="681">
        <f>transport!B54</f>
        <v>5.484172387938834</v>
      </c>
      <c r="D19" s="681">
        <f>transport!C54</f>
        <v>0</v>
      </c>
      <c r="E19" s="681">
        <f>transport!D54</f>
        <v>0</v>
      </c>
      <c r="F19" s="681">
        <f>transport!E54</f>
        <v>0</v>
      </c>
      <c r="G19" s="681">
        <f>transport!F54</f>
        <v>0</v>
      </c>
      <c r="H19" s="681">
        <f>transport!G54</f>
        <v>343.32577129928904</v>
      </c>
      <c r="I19" s="681">
        <f>transport!H54</f>
        <v>0</v>
      </c>
      <c r="J19" s="681">
        <f>transport!I54</f>
        <v>0</v>
      </c>
      <c r="K19" s="681">
        <f>transport!J54</f>
        <v>0</v>
      </c>
      <c r="L19" s="681">
        <f>transport!K54</f>
        <v>0</v>
      </c>
      <c r="M19" s="681">
        <f>transport!L54</f>
        <v>0</v>
      </c>
      <c r="N19" s="681">
        <f>transport!M54</f>
        <v>19.713005584806382</v>
      </c>
      <c r="O19" s="681">
        <f>transport!N54</f>
        <v>0</v>
      </c>
      <c r="P19" s="681">
        <f>transport!O54</f>
        <v>0</v>
      </c>
      <c r="Q19" s="682">
        <f>transport!P54</f>
        <v>0</v>
      </c>
      <c r="R19" s="684">
        <f>SUM(C19:Q19)</f>
        <v>368.52294927203423</v>
      </c>
      <c r="S19" s="67"/>
    </row>
    <row r="20" spans="1:19" s="443" customFormat="1">
      <c r="A20" s="802" t="s">
        <v>296</v>
      </c>
      <c r="B20" s="807"/>
      <c r="C20" s="681">
        <f>transport!B14</f>
        <v>65.435512844388754</v>
      </c>
      <c r="D20" s="681">
        <f>transport!C14</f>
        <v>0</v>
      </c>
      <c r="E20" s="681">
        <f>transport!D14</f>
        <v>116.98196106387303</v>
      </c>
      <c r="F20" s="681">
        <f>transport!E14</f>
        <v>45.877239329381993</v>
      </c>
      <c r="G20" s="681">
        <f>transport!F14</f>
        <v>0</v>
      </c>
      <c r="H20" s="681">
        <f>transport!G14</f>
        <v>17065.550960912442</v>
      </c>
      <c r="I20" s="681">
        <f>transport!H14</f>
        <v>5723.4048905843283</v>
      </c>
      <c r="J20" s="681">
        <f>transport!I14</f>
        <v>0</v>
      </c>
      <c r="K20" s="681">
        <f>transport!J14</f>
        <v>0</v>
      </c>
      <c r="L20" s="681">
        <f>transport!K14</f>
        <v>0</v>
      </c>
      <c r="M20" s="681">
        <f>transport!L14</f>
        <v>0</v>
      </c>
      <c r="N20" s="681">
        <f>transport!M14</f>
        <v>1385.6162066398258</v>
      </c>
      <c r="O20" s="681">
        <f>transport!N14</f>
        <v>0</v>
      </c>
      <c r="P20" s="681">
        <f>transport!O14</f>
        <v>0</v>
      </c>
      <c r="Q20" s="682">
        <f>transport!P14</f>
        <v>0</v>
      </c>
      <c r="R20" s="684">
        <f>SUM(C20:Q20)</f>
        <v>24402.86677137424</v>
      </c>
      <c r="S20" s="67"/>
    </row>
    <row r="21" spans="1:19" s="443" customFormat="1" ht="15" thickBot="1">
      <c r="A21" s="824" t="s">
        <v>692</v>
      </c>
      <c r="B21" s="937"/>
      <c r="C21" s="938"/>
      <c r="D21" s="938"/>
      <c r="E21" s="938"/>
      <c r="F21" s="938"/>
      <c r="G21" s="938"/>
      <c r="H21" s="938"/>
      <c r="I21" s="938"/>
      <c r="J21" s="938"/>
      <c r="K21" s="938"/>
      <c r="L21" s="938"/>
      <c r="M21" s="938"/>
      <c r="N21" s="938"/>
      <c r="O21" s="938"/>
      <c r="P21" s="938"/>
      <c r="Q21" s="939"/>
      <c r="R21" s="683"/>
      <c r="S21" s="67"/>
    </row>
    <row r="22" spans="1:19" s="443" customFormat="1" ht="15.75" thickBot="1">
      <c r="A22" s="689" t="s">
        <v>219</v>
      </c>
      <c r="B22" s="810"/>
      <c r="C22" s="805">
        <f>SUM(C18:C21)</f>
        <v>70.919685232327595</v>
      </c>
      <c r="D22" s="805">
        <f t="shared" ref="D22:R22" si="1">SUM(D18:D21)</f>
        <v>0</v>
      </c>
      <c r="E22" s="805">
        <f t="shared" si="1"/>
        <v>116.98196106387303</v>
      </c>
      <c r="F22" s="805">
        <f t="shared" si="1"/>
        <v>45.877239329381993</v>
      </c>
      <c r="G22" s="805">
        <f t="shared" si="1"/>
        <v>0</v>
      </c>
      <c r="H22" s="805">
        <f t="shared" si="1"/>
        <v>17408.876732211731</v>
      </c>
      <c r="I22" s="805">
        <f t="shared" si="1"/>
        <v>5723.4048905843283</v>
      </c>
      <c r="J22" s="805">
        <f t="shared" si="1"/>
        <v>0</v>
      </c>
      <c r="K22" s="805">
        <f t="shared" si="1"/>
        <v>0</v>
      </c>
      <c r="L22" s="805">
        <f t="shared" si="1"/>
        <v>0</v>
      </c>
      <c r="M22" s="805">
        <f t="shared" si="1"/>
        <v>0</v>
      </c>
      <c r="N22" s="805">
        <f t="shared" si="1"/>
        <v>1405.3292122246321</v>
      </c>
      <c r="O22" s="805">
        <f t="shared" si="1"/>
        <v>0</v>
      </c>
      <c r="P22" s="805">
        <f t="shared" si="1"/>
        <v>0</v>
      </c>
      <c r="Q22" s="805">
        <f t="shared" si="1"/>
        <v>0</v>
      </c>
      <c r="R22" s="805">
        <f t="shared" si="1"/>
        <v>24771.389720646275</v>
      </c>
      <c r="S22" s="67"/>
    </row>
    <row r="23" spans="1:19" s="443" customFormat="1" ht="15.75">
      <c r="A23" s="804" t="s">
        <v>226</v>
      </c>
      <c r="B23" s="721"/>
      <c r="C23" s="1112"/>
      <c r="D23" s="1112"/>
      <c r="E23" s="1112"/>
      <c r="F23" s="1112"/>
      <c r="G23" s="1112"/>
      <c r="H23" s="1112"/>
      <c r="I23" s="1112"/>
      <c r="J23" s="1112"/>
      <c r="K23" s="1112"/>
      <c r="L23" s="1112"/>
      <c r="M23" s="1112"/>
      <c r="N23" s="1112"/>
      <c r="O23" s="1112"/>
      <c r="P23" s="1112"/>
      <c r="Q23" s="1112"/>
      <c r="R23" s="686"/>
      <c r="S23" s="67"/>
    </row>
    <row r="24" spans="1:19" s="443" customFormat="1">
      <c r="A24" s="802" t="s">
        <v>609</v>
      </c>
      <c r="B24" s="807"/>
      <c r="C24" s="681">
        <f>+landbouw!B8</f>
        <v>690.51402423048694</v>
      </c>
      <c r="D24" s="681">
        <f>+landbouw!C8</f>
        <v>0</v>
      </c>
      <c r="E24" s="681">
        <f>+landbouw!D8</f>
        <v>41.129584509035766</v>
      </c>
      <c r="F24" s="681">
        <f>+landbouw!E8</f>
        <v>19.777490217630145</v>
      </c>
      <c r="G24" s="681">
        <f>+landbouw!F8</f>
        <v>2185.8107068451973</v>
      </c>
      <c r="H24" s="681">
        <f>+landbouw!G8</f>
        <v>0</v>
      </c>
      <c r="I24" s="681">
        <f>+landbouw!H8</f>
        <v>0</v>
      </c>
      <c r="J24" s="681">
        <f>+landbouw!I8</f>
        <v>0</v>
      </c>
      <c r="K24" s="681">
        <f>+landbouw!J8</f>
        <v>175.5760325697446</v>
      </c>
      <c r="L24" s="681">
        <f>+landbouw!K8</f>
        <v>0</v>
      </c>
      <c r="M24" s="681">
        <f>+landbouw!L8</f>
        <v>0</v>
      </c>
      <c r="N24" s="681">
        <f>+landbouw!M8</f>
        <v>0</v>
      </c>
      <c r="O24" s="681">
        <f>+landbouw!N8</f>
        <v>0</v>
      </c>
      <c r="P24" s="681">
        <f>+landbouw!O8</f>
        <v>0</v>
      </c>
      <c r="Q24" s="682">
        <f>+landbouw!P8</f>
        <v>0</v>
      </c>
      <c r="R24" s="684">
        <f>SUM(C24:Q24)</f>
        <v>3112.8078383720949</v>
      </c>
      <c r="S24" s="67"/>
    </row>
    <row r="25" spans="1:19" s="443" customFormat="1" ht="15" thickBot="1">
      <c r="A25" s="824" t="s">
        <v>690</v>
      </c>
      <c r="B25" s="937"/>
      <c r="C25" s="938">
        <f>IF(Onbekend_ele_kWh="---",0,Onbekend_ele_kWh)/1000+IF(REST_rest_ele_kWh="---",0,REST_rest_ele_kWh)/1000</f>
        <v>434.20465112470202</v>
      </c>
      <c r="D25" s="938"/>
      <c r="E25" s="938">
        <f>IF(onbekend_gas_kWh="---",0,onbekend_gas_kWh)/1000+IF(REST_rest_gas_kWh="---",0,REST_rest_gas_kWh)/1000</f>
        <v>783.94272987471197</v>
      </c>
      <c r="F25" s="938"/>
      <c r="G25" s="938"/>
      <c r="H25" s="938"/>
      <c r="I25" s="938"/>
      <c r="J25" s="938"/>
      <c r="K25" s="938"/>
      <c r="L25" s="938"/>
      <c r="M25" s="938"/>
      <c r="N25" s="938"/>
      <c r="O25" s="938"/>
      <c r="P25" s="938"/>
      <c r="Q25" s="939"/>
      <c r="R25" s="684">
        <f>SUM(C25:Q25)</f>
        <v>1218.1473809994141</v>
      </c>
      <c r="S25" s="67"/>
    </row>
    <row r="26" spans="1:19" s="443" customFormat="1" ht="15.75" thickBot="1">
      <c r="A26" s="689" t="s">
        <v>691</v>
      </c>
      <c r="B26" s="810"/>
      <c r="C26" s="805">
        <f>SUM(C24:C25)</f>
        <v>1124.7186753551889</v>
      </c>
      <c r="D26" s="805">
        <f t="shared" ref="D26:R26" si="2">SUM(D24:D25)</f>
        <v>0</v>
      </c>
      <c r="E26" s="805">
        <f t="shared" si="2"/>
        <v>825.07231438374777</v>
      </c>
      <c r="F26" s="805">
        <f t="shared" si="2"/>
        <v>19.777490217630145</v>
      </c>
      <c r="G26" s="805">
        <f t="shared" si="2"/>
        <v>2185.8107068451973</v>
      </c>
      <c r="H26" s="805">
        <f t="shared" si="2"/>
        <v>0</v>
      </c>
      <c r="I26" s="805">
        <f t="shared" si="2"/>
        <v>0</v>
      </c>
      <c r="J26" s="805">
        <f t="shared" si="2"/>
        <v>0</v>
      </c>
      <c r="K26" s="805">
        <f t="shared" si="2"/>
        <v>175.5760325697446</v>
      </c>
      <c r="L26" s="805">
        <f t="shared" si="2"/>
        <v>0</v>
      </c>
      <c r="M26" s="805">
        <f t="shared" si="2"/>
        <v>0</v>
      </c>
      <c r="N26" s="805">
        <f t="shared" si="2"/>
        <v>0</v>
      </c>
      <c r="O26" s="805">
        <f t="shared" si="2"/>
        <v>0</v>
      </c>
      <c r="P26" s="805">
        <f t="shared" si="2"/>
        <v>0</v>
      </c>
      <c r="Q26" s="805">
        <f t="shared" si="2"/>
        <v>0</v>
      </c>
      <c r="R26" s="805">
        <f t="shared" si="2"/>
        <v>4330.955219371509</v>
      </c>
      <c r="S26" s="67"/>
    </row>
    <row r="27" spans="1:19" s="443" customFormat="1" ht="17.25" thickTop="1" thickBot="1">
      <c r="A27" s="690" t="s">
        <v>109</v>
      </c>
      <c r="B27" s="797"/>
      <c r="C27" s="691">
        <f ca="1">C22+C16+C26</f>
        <v>36620.086931959653</v>
      </c>
      <c r="D27" s="691">
        <f t="shared" ref="D27:R27" ca="1" si="3">D22+D16+D26</f>
        <v>0</v>
      </c>
      <c r="E27" s="691">
        <f t="shared" ca="1" si="3"/>
        <v>76624.555478392809</v>
      </c>
      <c r="F27" s="691">
        <f t="shared" si="3"/>
        <v>1548.8880343820238</v>
      </c>
      <c r="G27" s="691">
        <f t="shared" ca="1" si="3"/>
        <v>34230.511608240238</v>
      </c>
      <c r="H27" s="691">
        <f t="shared" si="3"/>
        <v>17408.876732211731</v>
      </c>
      <c r="I27" s="691">
        <f t="shared" si="3"/>
        <v>5723.4048905843283</v>
      </c>
      <c r="J27" s="691">
        <f t="shared" si="3"/>
        <v>0</v>
      </c>
      <c r="K27" s="691">
        <f t="shared" si="3"/>
        <v>348.53763932101509</v>
      </c>
      <c r="L27" s="691">
        <f t="shared" si="3"/>
        <v>0</v>
      </c>
      <c r="M27" s="691">
        <f t="shared" ca="1" si="3"/>
        <v>0</v>
      </c>
      <c r="N27" s="691">
        <f t="shared" si="3"/>
        <v>1405.3292122246321</v>
      </c>
      <c r="O27" s="691">
        <f t="shared" ca="1" si="3"/>
        <v>6858.9271488732347</v>
      </c>
      <c r="P27" s="691">
        <f t="shared" si="3"/>
        <v>214.26748769379944</v>
      </c>
      <c r="Q27" s="691">
        <f t="shared" si="3"/>
        <v>990.06151669046199</v>
      </c>
      <c r="R27" s="691">
        <f t="shared" ca="1" si="3"/>
        <v>181973.44668057392</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332</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333</v>
      </c>
      <c r="B30" s="698"/>
      <c r="C30" s="699" t="s">
        <v>204</v>
      </c>
      <c r="D30" s="700"/>
      <c r="E30" s="700"/>
      <c r="F30" s="700"/>
      <c r="G30" s="700"/>
      <c r="H30" s="701"/>
      <c r="I30" s="702"/>
      <c r="J30" s="702"/>
      <c r="K30" s="702"/>
      <c r="L30" s="702"/>
      <c r="M30" s="702"/>
      <c r="N30" s="702"/>
      <c r="O30" s="702"/>
      <c r="P30" s="702"/>
      <c r="Q30" s="702"/>
      <c r="R30" s="702"/>
    </row>
    <row r="31" spans="1:19" ht="15" thickTop="1">
      <c r="A31" s="1173"/>
      <c r="B31" s="1173"/>
      <c r="C31" s="1173"/>
      <c r="D31" s="703"/>
      <c r="E31" s="702"/>
      <c r="F31" s="702"/>
      <c r="G31" s="702"/>
      <c r="H31" s="702"/>
      <c r="I31" s="702"/>
      <c r="J31" s="702"/>
      <c r="K31" s="702"/>
      <c r="L31" s="702"/>
      <c r="M31" s="702"/>
      <c r="N31" s="702"/>
      <c r="O31" s="702"/>
      <c r="P31" s="702"/>
      <c r="Q31" s="702"/>
      <c r="R31" s="702"/>
    </row>
    <row r="32" spans="1:19" ht="15.75">
      <c r="A32" s="704" t="s">
        <v>220</v>
      </c>
      <c r="B32" s="704"/>
      <c r="C32" s="703"/>
      <c r="D32" s="703"/>
      <c r="E32" s="702"/>
      <c r="F32" s="702"/>
      <c r="G32" s="702"/>
      <c r="H32" s="702"/>
      <c r="I32" s="702"/>
      <c r="J32" s="702"/>
      <c r="K32" s="702"/>
      <c r="L32" s="702"/>
      <c r="M32" s="702"/>
      <c r="N32" s="702"/>
      <c r="O32" s="702"/>
      <c r="P32" s="702"/>
      <c r="Q32" s="702"/>
      <c r="R32" s="702"/>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41"/>
      <c r="B35" s="812"/>
      <c r="C35" s="1143" t="s">
        <v>334</v>
      </c>
      <c r="D35" s="1144"/>
      <c r="E35" s="1144"/>
      <c r="F35" s="1144"/>
      <c r="G35" s="1144"/>
      <c r="H35" s="1144"/>
      <c r="I35" s="1144"/>
      <c r="J35" s="1144"/>
      <c r="K35" s="1144"/>
      <c r="L35" s="1144"/>
      <c r="M35" s="1144"/>
      <c r="N35" s="1144"/>
      <c r="O35" s="1144"/>
      <c r="P35" s="1144"/>
      <c r="Q35" s="1144"/>
      <c r="R35" s="1145"/>
    </row>
    <row r="36" spans="1:18" ht="16.5" thickTop="1">
      <c r="A36" s="1142"/>
      <c r="B36" s="813"/>
      <c r="C36" s="1146" t="s">
        <v>20</v>
      </c>
      <c r="D36" s="1120" t="s">
        <v>221</v>
      </c>
      <c r="E36" s="1148" t="s">
        <v>190</v>
      </c>
      <c r="F36" s="1149"/>
      <c r="G36" s="1149"/>
      <c r="H36" s="1149"/>
      <c r="I36" s="1149"/>
      <c r="J36" s="1149"/>
      <c r="K36" s="1149"/>
      <c r="L36" s="1150"/>
      <c r="M36" s="1148" t="s">
        <v>191</v>
      </c>
      <c r="N36" s="1149"/>
      <c r="O36" s="1149"/>
      <c r="P36" s="1149"/>
      <c r="Q36" s="1149"/>
      <c r="R36" s="1130" t="s">
        <v>109</v>
      </c>
    </row>
    <row r="37" spans="1:18" ht="45.75" thickBot="1">
      <c r="A37" s="1142"/>
      <c r="B37" s="813"/>
      <c r="C37" s="1147"/>
      <c r="D37" s="1091"/>
      <c r="E37" s="707" t="s">
        <v>192</v>
      </c>
      <c r="F37" s="707" t="s">
        <v>193</v>
      </c>
      <c r="G37" s="707" t="s">
        <v>194</v>
      </c>
      <c r="H37" s="707" t="s">
        <v>195</v>
      </c>
      <c r="I37" s="707" t="s">
        <v>113</v>
      </c>
      <c r="J37" s="707" t="s">
        <v>196</v>
      </c>
      <c r="K37" s="708" t="s">
        <v>222</v>
      </c>
      <c r="L37" s="708" t="s">
        <v>198</v>
      </c>
      <c r="M37" s="64" t="s">
        <v>199</v>
      </c>
      <c r="N37" s="65" t="s">
        <v>200</v>
      </c>
      <c r="O37" s="707" t="s">
        <v>223</v>
      </c>
      <c r="P37" s="707" t="s">
        <v>224</v>
      </c>
      <c r="Q37" s="708" t="s">
        <v>203</v>
      </c>
      <c r="R37" s="1132"/>
    </row>
    <row r="38" spans="1:18" ht="17.25" thickTop="1" thickBot="1">
      <c r="A38" s="825" t="s">
        <v>331</v>
      </c>
      <c r="B38" s="826"/>
      <c r="C38" s="709" t="s">
        <v>225</v>
      </c>
      <c r="D38" s="710"/>
      <c r="E38" s="711"/>
      <c r="F38" s="711"/>
      <c r="G38" s="711"/>
      <c r="H38" s="711"/>
      <c r="I38" s="711"/>
      <c r="J38" s="711"/>
      <c r="K38" s="711"/>
      <c r="L38" s="711"/>
      <c r="M38" s="712"/>
      <c r="N38" s="712"/>
      <c r="O38" s="711"/>
      <c r="P38" s="712"/>
      <c r="Q38" s="713"/>
      <c r="R38" s="714"/>
    </row>
    <row r="39" spans="1:18" ht="15" thickTop="1">
      <c r="A39" s="798" t="s">
        <v>212</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2">
        <f t="shared" ref="R39:R44" ca="1" si="4">SUM(C39:Q39)</f>
        <v>0</v>
      </c>
    </row>
    <row r="40" spans="1:18">
      <c r="A40" s="803" t="s">
        <v>213</v>
      </c>
      <c r="B40" s="823"/>
      <c r="C40" s="681">
        <f ca="1">tertiair!B20+'openbare verlichting'!B12</f>
        <v>1856.830230362395</v>
      </c>
      <c r="D40" s="681">
        <f ca="1">tertiair!C20</f>
        <v>0</v>
      </c>
      <c r="E40" s="681">
        <f ca="1">tertiair!D20</f>
        <v>1565.1100972661679</v>
      </c>
      <c r="F40" s="681">
        <f>tertiair!E20</f>
        <v>10.866261007155362</v>
      </c>
      <c r="G40" s="681">
        <f ca="1">tertiair!F20</f>
        <v>469.60027617264507</v>
      </c>
      <c r="H40" s="681">
        <f>tertiair!G20</f>
        <v>0</v>
      </c>
      <c r="I40" s="681">
        <f>tertiair!H20</f>
        <v>0</v>
      </c>
      <c r="J40" s="681">
        <f>tertiair!I20</f>
        <v>0</v>
      </c>
      <c r="K40" s="681">
        <f>tertiair!J20</f>
        <v>4.0203690341011501E-3</v>
      </c>
      <c r="L40" s="681">
        <f>tertiair!K20</f>
        <v>0</v>
      </c>
      <c r="M40" s="681">
        <f ca="1">tertiair!L20</f>
        <v>0</v>
      </c>
      <c r="N40" s="681">
        <f>tertiair!M20</f>
        <v>0</v>
      </c>
      <c r="O40" s="681">
        <f ca="1">tertiair!N20</f>
        <v>0</v>
      </c>
      <c r="P40" s="681">
        <f>tertiair!O20</f>
        <v>0</v>
      </c>
      <c r="Q40" s="764">
        <f>tertiair!P20</f>
        <v>0</v>
      </c>
      <c r="R40" s="843">
        <f t="shared" ca="1" si="4"/>
        <v>3902.4108851773976</v>
      </c>
    </row>
    <row r="41" spans="1:18">
      <c r="A41" s="815" t="s">
        <v>214</v>
      </c>
      <c r="B41" s="822"/>
      <c r="C41" s="681">
        <f ca="1">huishoudens!B12</f>
        <v>3491.6251936173476</v>
      </c>
      <c r="D41" s="681">
        <f ca="1">huishoudens!C12</f>
        <v>0</v>
      </c>
      <c r="E41" s="681">
        <f>huishoudens!D12</f>
        <v>6687.957614171828</v>
      </c>
      <c r="F41" s="681">
        <f>huishoudens!E12</f>
        <v>291.34853674195301</v>
      </c>
      <c r="G41" s="681">
        <f>huishoudens!F12</f>
        <v>7507.1194875098854</v>
      </c>
      <c r="H41" s="681">
        <f>huishoudens!G12</f>
        <v>0</v>
      </c>
      <c r="I41" s="681">
        <f>huishoudens!H12</f>
        <v>0</v>
      </c>
      <c r="J41" s="681">
        <f>huishoudens!I12</f>
        <v>0</v>
      </c>
      <c r="K41" s="681">
        <f>huishoudens!J12</f>
        <v>56.724714773713636</v>
      </c>
      <c r="L41" s="681">
        <f>huishoudens!K12</f>
        <v>0</v>
      </c>
      <c r="M41" s="681">
        <f>huishoudens!L12</f>
        <v>0</v>
      </c>
      <c r="N41" s="681">
        <f>huishoudens!M12</f>
        <v>0</v>
      </c>
      <c r="O41" s="681">
        <f>huishoudens!N12</f>
        <v>0</v>
      </c>
      <c r="P41" s="681">
        <f>huishoudens!O12</f>
        <v>0</v>
      </c>
      <c r="Q41" s="764">
        <f>huishoudens!P12</f>
        <v>0</v>
      </c>
      <c r="R41" s="843">
        <f t="shared" ca="1" si="4"/>
        <v>18034.775546814726</v>
      </c>
    </row>
    <row r="42" spans="1:18">
      <c r="A42" s="815" t="s">
        <v>480</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615</v>
      </c>
      <c r="B43" s="830" t="s">
        <v>612</v>
      </c>
      <c r="C43" s="681">
        <f ca="1">industrie!B22</f>
        <v>1493.7856355209387</v>
      </c>
      <c r="D43" s="681">
        <f ca="1">industrie!C22</f>
        <v>0</v>
      </c>
      <c r="E43" s="681">
        <f>industrie!D22</f>
        <v>7034.7975315569338</v>
      </c>
      <c r="F43" s="681">
        <f>industrie!E22</f>
        <v>34.479162448439205</v>
      </c>
      <c r="G43" s="681">
        <f>industrie!F22</f>
        <v>579.21537698994587</v>
      </c>
      <c r="H43" s="681">
        <f>industrie!G22</f>
        <v>0</v>
      </c>
      <c r="I43" s="681">
        <f>industrie!H22</f>
        <v>0</v>
      </c>
      <c r="J43" s="681">
        <f>industrie!I22</f>
        <v>0</v>
      </c>
      <c r="K43" s="681">
        <f>industrie!J22</f>
        <v>4.4996736472020213</v>
      </c>
      <c r="L43" s="681">
        <f>industrie!K22</f>
        <v>0</v>
      </c>
      <c r="M43" s="681">
        <f>industrie!L22</f>
        <v>0</v>
      </c>
      <c r="N43" s="681">
        <f>industrie!M22</f>
        <v>0</v>
      </c>
      <c r="O43" s="681">
        <f>industrie!N22</f>
        <v>0</v>
      </c>
      <c r="P43" s="681">
        <f>industrie!O22</f>
        <v>0</v>
      </c>
      <c r="Q43" s="764">
        <f>industrie!P22</f>
        <v>0</v>
      </c>
      <c r="R43" s="842">
        <f t="shared" ca="1" si="4"/>
        <v>9146.7773801634576</v>
      </c>
    </row>
    <row r="44" spans="1:18">
      <c r="A44" s="815"/>
      <c r="B44" s="822" t="s">
        <v>613</v>
      </c>
      <c r="C44" s="681"/>
      <c r="D44" s="681"/>
      <c r="E44" s="681"/>
      <c r="F44" s="681"/>
      <c r="G44" s="681"/>
      <c r="H44" s="681"/>
      <c r="I44" s="681"/>
      <c r="J44" s="681"/>
      <c r="K44" s="681"/>
      <c r="L44" s="681"/>
      <c r="M44" s="681"/>
      <c r="N44" s="681"/>
      <c r="O44" s="681"/>
      <c r="P44" s="681"/>
      <c r="Q44" s="764"/>
      <c r="R44" s="843">
        <f t="shared" si="4"/>
        <v>0</v>
      </c>
    </row>
    <row r="45" spans="1:18" ht="15" thickBot="1">
      <c r="A45" s="936" t="s">
        <v>689</v>
      </c>
      <c r="B45" s="940"/>
      <c r="C45" s="938"/>
      <c r="D45" s="938"/>
      <c r="E45" s="938"/>
      <c r="F45" s="938"/>
      <c r="G45" s="938"/>
      <c r="H45" s="938"/>
      <c r="I45" s="938"/>
      <c r="J45" s="938"/>
      <c r="K45" s="938"/>
      <c r="L45" s="938"/>
      <c r="M45" s="938"/>
      <c r="N45" s="938"/>
      <c r="O45" s="938"/>
      <c r="P45" s="938"/>
      <c r="Q45" s="939"/>
      <c r="R45" s="941"/>
    </row>
    <row r="46" spans="1:18" ht="15.75" thickBot="1">
      <c r="A46" s="816" t="s">
        <v>215</v>
      </c>
      <c r="B46" s="829"/>
      <c r="C46" s="717">
        <f ca="1">SUM(C39:C45)</f>
        <v>6842.2410595006813</v>
      </c>
      <c r="D46" s="717">
        <f t="shared" ref="D46:Q46" ca="1" si="5">SUM(D39:D45)</f>
        <v>0</v>
      </c>
      <c r="E46" s="717">
        <f t="shared" ca="1" si="5"/>
        <v>15287.865242994929</v>
      </c>
      <c r="F46" s="717">
        <f t="shared" si="5"/>
        <v>336.69396019754754</v>
      </c>
      <c r="G46" s="717">
        <f t="shared" ca="1" si="5"/>
        <v>8555.9351406724763</v>
      </c>
      <c r="H46" s="717">
        <f t="shared" si="5"/>
        <v>0</v>
      </c>
      <c r="I46" s="717">
        <f t="shared" si="5"/>
        <v>0</v>
      </c>
      <c r="J46" s="717">
        <f t="shared" si="5"/>
        <v>0</v>
      </c>
      <c r="K46" s="717">
        <f t="shared" si="5"/>
        <v>61.228408789949761</v>
      </c>
      <c r="L46" s="717">
        <f t="shared" si="5"/>
        <v>0</v>
      </c>
      <c r="M46" s="717">
        <f t="shared" ca="1" si="5"/>
        <v>0</v>
      </c>
      <c r="N46" s="717">
        <f t="shared" si="5"/>
        <v>0</v>
      </c>
      <c r="O46" s="717">
        <f t="shared" ca="1" si="5"/>
        <v>0</v>
      </c>
      <c r="P46" s="717">
        <f t="shared" si="5"/>
        <v>0</v>
      </c>
      <c r="Q46" s="717">
        <f t="shared" si="5"/>
        <v>0</v>
      </c>
      <c r="R46" s="717">
        <f ca="1">SUM(R39:R45)</f>
        <v>31083.96381215558</v>
      </c>
    </row>
    <row r="47" spans="1:18" ht="15.75">
      <c r="A47" s="817" t="s">
        <v>216</v>
      </c>
      <c r="B47" s="827"/>
      <c r="C47" s="709"/>
      <c r="D47" s="710"/>
      <c r="E47" s="710"/>
      <c r="F47" s="710"/>
      <c r="G47" s="710"/>
      <c r="H47" s="710"/>
      <c r="I47" s="710"/>
      <c r="J47" s="710"/>
      <c r="K47" s="710"/>
      <c r="L47" s="710"/>
      <c r="M47" s="720"/>
      <c r="N47" s="720"/>
      <c r="O47" s="710"/>
      <c r="P47" s="720"/>
      <c r="Q47" s="720"/>
      <c r="R47" s="714"/>
    </row>
    <row r="48" spans="1:18">
      <c r="A48" s="815" t="s">
        <v>217</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218</v>
      </c>
      <c r="B49" s="822"/>
      <c r="C49" s="681">
        <f ca="1">transport!B58</f>
        <v>1.0592692618639548</v>
      </c>
      <c r="D49" s="681">
        <f ca="1">transport!C58</f>
        <v>0</v>
      </c>
      <c r="E49" s="681">
        <f>transport!D58</f>
        <v>0</v>
      </c>
      <c r="F49" s="681">
        <f>transport!E58</f>
        <v>0</v>
      </c>
      <c r="G49" s="681">
        <f>transport!F58</f>
        <v>0</v>
      </c>
      <c r="H49" s="681">
        <f>transport!G58</f>
        <v>91.667980936910183</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92.727250198774144</v>
      </c>
    </row>
    <row r="50" spans="1:18">
      <c r="A50" s="818" t="s">
        <v>296</v>
      </c>
      <c r="B50" s="828"/>
      <c r="C50" s="687">
        <f ca="1">transport!B18</f>
        <v>12.638885594261168</v>
      </c>
      <c r="D50" s="687">
        <f>transport!C18</f>
        <v>0</v>
      </c>
      <c r="E50" s="687">
        <f>transport!D18</f>
        <v>23.630356134902353</v>
      </c>
      <c r="F50" s="687">
        <f>transport!E18</f>
        <v>10.414133327769713</v>
      </c>
      <c r="G50" s="687">
        <f>transport!F18</f>
        <v>0</v>
      </c>
      <c r="H50" s="687">
        <f>transport!G18</f>
        <v>4556.502106563622</v>
      </c>
      <c r="I50" s="687">
        <f>transport!H18</f>
        <v>1425.1278177554977</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6028.3132993760528</v>
      </c>
    </row>
    <row r="51" spans="1:18" ht="15" thickBot="1">
      <c r="A51" s="815" t="s">
        <v>692</v>
      </c>
      <c r="B51" s="822"/>
      <c r="C51" s="681"/>
      <c r="D51" s="681"/>
      <c r="E51" s="681"/>
      <c r="F51" s="681"/>
      <c r="G51" s="681"/>
      <c r="H51" s="681"/>
      <c r="I51" s="681"/>
      <c r="J51" s="681"/>
      <c r="K51" s="681"/>
      <c r="L51" s="681"/>
      <c r="M51" s="681"/>
      <c r="N51" s="681"/>
      <c r="O51" s="681"/>
      <c r="P51" s="681"/>
      <c r="Q51" s="682"/>
      <c r="R51" s="715"/>
    </row>
    <row r="52" spans="1:18" ht="15.75" thickBot="1">
      <c r="A52" s="816" t="s">
        <v>219</v>
      </c>
      <c r="B52" s="829"/>
      <c r="C52" s="717">
        <f ca="1">SUM(C48:C51)</f>
        <v>13.698154856125123</v>
      </c>
      <c r="D52" s="717">
        <f t="shared" ref="D52:Q52" ca="1" si="6">SUM(D48:D51)</f>
        <v>0</v>
      </c>
      <c r="E52" s="717">
        <f t="shared" si="6"/>
        <v>23.630356134902353</v>
      </c>
      <c r="F52" s="717">
        <f t="shared" si="6"/>
        <v>10.414133327769713</v>
      </c>
      <c r="G52" s="717">
        <f t="shared" si="6"/>
        <v>0</v>
      </c>
      <c r="H52" s="717">
        <f t="shared" si="6"/>
        <v>4648.1700875005317</v>
      </c>
      <c r="I52" s="717">
        <f t="shared" si="6"/>
        <v>1425.1278177554977</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6121.0405495748273</v>
      </c>
    </row>
    <row r="53" spans="1:18" ht="15.75">
      <c r="A53" s="817" t="s">
        <v>226</v>
      </c>
      <c r="B53" s="796"/>
      <c r="C53" s="709"/>
      <c r="D53" s="710"/>
      <c r="E53" s="710"/>
      <c r="F53" s="710"/>
      <c r="G53" s="710"/>
      <c r="H53" s="710"/>
      <c r="I53" s="710"/>
      <c r="J53" s="710"/>
      <c r="K53" s="710"/>
      <c r="L53" s="710"/>
      <c r="M53" s="720"/>
      <c r="N53" s="720"/>
      <c r="O53" s="710"/>
      <c r="P53" s="720"/>
      <c r="Q53" s="720"/>
      <c r="R53" s="714"/>
    </row>
    <row r="54" spans="1:18">
      <c r="A54" s="818" t="s">
        <v>609</v>
      </c>
      <c r="B54" s="828"/>
      <c r="C54" s="687">
        <f ca="1">+landbouw!B12</f>
        <v>133.3729556645539</v>
      </c>
      <c r="D54" s="687">
        <f ca="1">+landbouw!C12</f>
        <v>0</v>
      </c>
      <c r="E54" s="687">
        <f>+landbouw!D12</f>
        <v>8.3081760708252244</v>
      </c>
      <c r="F54" s="687">
        <f>+landbouw!E12</f>
        <v>4.4894902794020428</v>
      </c>
      <c r="G54" s="687">
        <f>+landbouw!F12</f>
        <v>583.6114587276677</v>
      </c>
      <c r="H54" s="687">
        <f>+landbouw!G12</f>
        <v>0</v>
      </c>
      <c r="I54" s="687">
        <f>+landbouw!H12</f>
        <v>0</v>
      </c>
      <c r="J54" s="687">
        <f>+landbouw!I12</f>
        <v>0</v>
      </c>
      <c r="K54" s="687">
        <f>+landbouw!J12</f>
        <v>62.153915529689584</v>
      </c>
      <c r="L54" s="687">
        <f>+landbouw!K12</f>
        <v>0</v>
      </c>
      <c r="M54" s="687">
        <f>+landbouw!L12</f>
        <v>0</v>
      </c>
      <c r="N54" s="687">
        <f>+landbouw!M12</f>
        <v>0</v>
      </c>
      <c r="O54" s="687">
        <f>+landbouw!N12</f>
        <v>0</v>
      </c>
      <c r="P54" s="687">
        <f>+landbouw!O12</f>
        <v>0</v>
      </c>
      <c r="Q54" s="688">
        <f>+landbouw!P12</f>
        <v>0</v>
      </c>
      <c r="R54" s="716">
        <f ca="1">SUM(C54:Q54)</f>
        <v>791.93599627213848</v>
      </c>
    </row>
    <row r="55" spans="1:18" ht="15" thickBot="1">
      <c r="A55" s="818" t="s">
        <v>690</v>
      </c>
      <c r="B55" s="828"/>
      <c r="C55" s="687">
        <f ca="1">C25*'EF ele_warmte'!B12</f>
        <v>83.86673644801715</v>
      </c>
      <c r="D55" s="687"/>
      <c r="E55" s="687">
        <f>E25*EF_CO2_aardgas</f>
        <v>158.35643143469184</v>
      </c>
      <c r="F55" s="687"/>
      <c r="G55" s="687"/>
      <c r="H55" s="687"/>
      <c r="I55" s="687"/>
      <c r="J55" s="687"/>
      <c r="K55" s="687"/>
      <c r="L55" s="687"/>
      <c r="M55" s="687"/>
      <c r="N55" s="687"/>
      <c r="O55" s="687"/>
      <c r="P55" s="687"/>
      <c r="Q55" s="688"/>
      <c r="R55" s="716">
        <f ca="1">SUM(C55:Q55)</f>
        <v>242.22316788270899</v>
      </c>
    </row>
    <row r="56" spans="1:18" ht="15.75" thickBot="1">
      <c r="A56" s="816" t="s">
        <v>691</v>
      </c>
      <c r="B56" s="829"/>
      <c r="C56" s="717">
        <f ca="1">SUM(C54:C55)</f>
        <v>217.23969211257105</v>
      </c>
      <c r="D56" s="717">
        <f t="shared" ref="D56:Q56" ca="1" si="7">SUM(D54:D55)</f>
        <v>0</v>
      </c>
      <c r="E56" s="717">
        <f t="shared" si="7"/>
        <v>166.66460750551707</v>
      </c>
      <c r="F56" s="717">
        <f t="shared" si="7"/>
        <v>4.4894902794020428</v>
      </c>
      <c r="G56" s="717">
        <f t="shared" si="7"/>
        <v>583.6114587276677</v>
      </c>
      <c r="H56" s="717">
        <f t="shared" si="7"/>
        <v>0</v>
      </c>
      <c r="I56" s="717">
        <f t="shared" si="7"/>
        <v>0</v>
      </c>
      <c r="J56" s="717">
        <f t="shared" si="7"/>
        <v>0</v>
      </c>
      <c r="K56" s="717">
        <f t="shared" si="7"/>
        <v>62.153915529689584</v>
      </c>
      <c r="L56" s="717">
        <f t="shared" si="7"/>
        <v>0</v>
      </c>
      <c r="M56" s="717">
        <f t="shared" si="7"/>
        <v>0</v>
      </c>
      <c r="N56" s="717">
        <f t="shared" si="7"/>
        <v>0</v>
      </c>
      <c r="O56" s="717">
        <f t="shared" si="7"/>
        <v>0</v>
      </c>
      <c r="P56" s="717">
        <f t="shared" si="7"/>
        <v>0</v>
      </c>
      <c r="Q56" s="718">
        <f t="shared" si="7"/>
        <v>0</v>
      </c>
      <c r="R56" s="719">
        <f ca="1">SUM(R54:R55)</f>
        <v>1034.1591641548475</v>
      </c>
    </row>
    <row r="57" spans="1:18" ht="15.75">
      <c r="A57" s="796" t="s">
        <v>610</v>
      </c>
      <c r="B57" s="796"/>
      <c r="C57" s="722"/>
      <c r="D57" s="710"/>
      <c r="E57" s="710"/>
      <c r="F57" s="710"/>
      <c r="G57" s="710"/>
      <c r="H57" s="710"/>
      <c r="I57" s="710"/>
      <c r="J57" s="710"/>
      <c r="K57" s="710"/>
      <c r="L57" s="710"/>
      <c r="M57" s="720"/>
      <c r="N57" s="720"/>
      <c r="O57" s="710"/>
      <c r="P57" s="720"/>
      <c r="Q57" s="720"/>
      <c r="R57" s="714"/>
    </row>
    <row r="58" spans="1:18" ht="15">
      <c r="A58" s="819" t="s">
        <v>227</v>
      </c>
      <c r="B58" s="833"/>
      <c r="C58" s="1151"/>
      <c r="D58" s="1152"/>
      <c r="E58" s="1152"/>
      <c r="F58" s="1152"/>
      <c r="G58" s="1152"/>
      <c r="H58" s="1152"/>
      <c r="I58" s="1152"/>
      <c r="J58" s="1152"/>
      <c r="K58" s="1152"/>
      <c r="L58" s="1152"/>
      <c r="M58" s="1152"/>
      <c r="N58" s="1152"/>
      <c r="O58" s="1152"/>
      <c r="P58" s="1152"/>
      <c r="Q58" s="1152"/>
      <c r="R58" s="723"/>
    </row>
    <row r="59" spans="1:18" ht="15">
      <c r="A59" s="820" t="s">
        <v>228</v>
      </c>
      <c r="B59" s="807"/>
      <c r="C59" s="1153"/>
      <c r="D59" s="1154"/>
      <c r="E59" s="1154"/>
      <c r="F59" s="1154"/>
      <c r="G59" s="1154"/>
      <c r="H59" s="1154"/>
      <c r="I59" s="1154"/>
      <c r="J59" s="1154"/>
      <c r="K59" s="1154"/>
      <c r="L59" s="1154"/>
      <c r="M59" s="1154"/>
      <c r="N59" s="1154"/>
      <c r="O59" s="1154"/>
      <c r="P59" s="1154"/>
      <c r="Q59" s="1154"/>
      <c r="R59" s="724"/>
    </row>
    <row r="60" spans="1:18" ht="15" thickBot="1">
      <c r="A60" s="831" t="s">
        <v>229</v>
      </c>
      <c r="B60" s="832"/>
      <c r="C60" s="1153"/>
      <c r="D60" s="1154"/>
      <c r="E60" s="1154"/>
      <c r="F60" s="1154"/>
      <c r="G60" s="1154"/>
      <c r="H60" s="1154"/>
      <c r="I60" s="1154"/>
      <c r="J60" s="1154"/>
      <c r="K60" s="1154"/>
      <c r="L60" s="1154"/>
      <c r="M60" s="1154"/>
      <c r="N60" s="1154"/>
      <c r="O60" s="1154"/>
      <c r="P60" s="1154"/>
      <c r="Q60" s="1154"/>
      <c r="R60" s="716"/>
    </row>
    <row r="61" spans="1:18" ht="16.5" thickBot="1">
      <c r="A61" s="834" t="s">
        <v>109</v>
      </c>
      <c r="B61" s="835"/>
      <c r="C61" s="725">
        <f ca="1">C46+C52+C56</f>
        <v>7073.1789064693776</v>
      </c>
      <c r="D61" s="725">
        <f t="shared" ref="D61:Q61" ca="1" si="8">D46+D52+D56</f>
        <v>0</v>
      </c>
      <c r="E61" s="725">
        <f t="shared" ca="1" si="8"/>
        <v>15478.16020663535</v>
      </c>
      <c r="F61" s="725">
        <f t="shared" si="8"/>
        <v>351.59758380471931</v>
      </c>
      <c r="G61" s="725">
        <f t="shared" ca="1" si="8"/>
        <v>9139.5465994001443</v>
      </c>
      <c r="H61" s="725">
        <f t="shared" si="8"/>
        <v>4648.1700875005317</v>
      </c>
      <c r="I61" s="725">
        <f t="shared" si="8"/>
        <v>1425.1278177554977</v>
      </c>
      <c r="J61" s="725">
        <f t="shared" si="8"/>
        <v>0</v>
      </c>
      <c r="K61" s="725">
        <f t="shared" si="8"/>
        <v>123.38232431963934</v>
      </c>
      <c r="L61" s="725">
        <f t="shared" si="8"/>
        <v>0</v>
      </c>
      <c r="M61" s="725">
        <f t="shared" ca="1" si="8"/>
        <v>0</v>
      </c>
      <c r="N61" s="725">
        <f t="shared" si="8"/>
        <v>0</v>
      </c>
      <c r="O61" s="725">
        <f t="shared" ca="1" si="8"/>
        <v>0</v>
      </c>
      <c r="P61" s="725">
        <f t="shared" si="8"/>
        <v>0</v>
      </c>
      <c r="Q61" s="725">
        <f t="shared" si="8"/>
        <v>0</v>
      </c>
      <c r="R61" s="725">
        <f ca="1">R46+R52+R56</f>
        <v>38239.163525885248</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335</v>
      </c>
      <c r="B63" s="814"/>
      <c r="C63" s="771">
        <f t="shared" ref="C63:Q63" ca="1" si="9">IF(ISERROR(C61/C27),0,C61/C27)</f>
        <v>0.1931502489224394</v>
      </c>
      <c r="D63" s="771">
        <f t="shared" ca="1" si="9"/>
        <v>0</v>
      </c>
      <c r="E63" s="963">
        <f t="shared" ca="1" si="9"/>
        <v>0.20200000000000004</v>
      </c>
      <c r="F63" s="771">
        <f t="shared" si="9"/>
        <v>0.22699999999999995</v>
      </c>
      <c r="G63" s="771">
        <f t="shared" ca="1" si="9"/>
        <v>0.26700000000000002</v>
      </c>
      <c r="H63" s="771">
        <f t="shared" si="9"/>
        <v>0.26699999999999996</v>
      </c>
      <c r="I63" s="771">
        <f t="shared" si="9"/>
        <v>0.249</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336</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337</v>
      </c>
      <c r="B66" s="731"/>
      <c r="C66" s="702"/>
      <c r="D66" s="732"/>
      <c r="E66" s="702"/>
      <c r="F66" s="702"/>
      <c r="G66" s="702"/>
      <c r="H66" s="702"/>
      <c r="I66" s="702"/>
      <c r="J66" s="702"/>
      <c r="K66" s="702"/>
      <c r="L66" s="702"/>
      <c r="M66" s="702"/>
      <c r="N66" s="702"/>
      <c r="O66" s="702"/>
      <c r="P66" s="733"/>
      <c r="Q66" s="733"/>
      <c r="R66" s="733"/>
    </row>
    <row r="67" spans="1:18">
      <c r="A67" s="1129"/>
      <c r="B67" s="1129"/>
      <c r="C67" s="1129"/>
      <c r="D67" s="1129"/>
      <c r="E67" s="1129"/>
      <c r="F67" s="1129"/>
      <c r="G67" s="1129"/>
      <c r="H67" s="1129"/>
      <c r="I67" s="1129"/>
      <c r="J67" s="1129"/>
      <c r="K67" s="1129"/>
      <c r="L67" s="1129"/>
      <c r="M67" s="1129"/>
      <c r="N67" s="1129"/>
      <c r="O67" s="1129"/>
      <c r="P67" s="1129"/>
      <c r="Q67" s="1129"/>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30" t="s">
        <v>230</v>
      </c>
      <c r="B69" s="1116" t="s">
        <v>338</v>
      </c>
      <c r="C69" s="1117"/>
      <c r="D69" s="1096" t="s">
        <v>339</v>
      </c>
      <c r="E69" s="1097"/>
      <c r="F69" s="1097"/>
      <c r="G69" s="1097"/>
      <c r="H69" s="1097"/>
      <c r="I69" s="1097"/>
      <c r="J69" s="1097"/>
      <c r="K69" s="1097"/>
      <c r="L69" s="1097"/>
      <c r="M69" s="1097"/>
      <c r="N69" s="1097"/>
      <c r="O69" s="1098"/>
      <c r="P69" s="951" t="s">
        <v>618</v>
      </c>
      <c r="Q69" s="1088" t="s">
        <v>617</v>
      </c>
      <c r="R69" s="1089"/>
    </row>
    <row r="70" spans="1:18" ht="61.5" thickTop="1" thickBot="1">
      <c r="A70" s="1131"/>
      <c r="B70" s="1118"/>
      <c r="C70" s="1119"/>
      <c r="D70" s="1113" t="s">
        <v>190</v>
      </c>
      <c r="E70" s="1114"/>
      <c r="F70" s="1114"/>
      <c r="G70" s="1114"/>
      <c r="H70" s="1115"/>
      <c r="I70" s="925" t="s">
        <v>235</v>
      </c>
      <c r="J70" s="925" t="s">
        <v>223</v>
      </c>
      <c r="K70" s="925" t="s">
        <v>202</v>
      </c>
      <c r="L70" s="925" t="s">
        <v>203</v>
      </c>
      <c r="M70" s="735" t="s">
        <v>234</v>
      </c>
      <c r="N70" s="925" t="s">
        <v>236</v>
      </c>
      <c r="O70" s="927" t="s">
        <v>120</v>
      </c>
      <c r="P70" s="952"/>
      <c r="Q70" s="849"/>
      <c r="R70" s="850"/>
    </row>
    <row r="71" spans="1:18" ht="95.25" customHeight="1" thickTop="1" thickBot="1">
      <c r="A71" s="1132"/>
      <c r="B71" s="930" t="s">
        <v>616</v>
      </c>
      <c r="C71" s="930" t="s">
        <v>694</v>
      </c>
      <c r="D71" s="943" t="s">
        <v>192</v>
      </c>
      <c r="E71" s="944" t="s">
        <v>193</v>
      </c>
      <c r="F71" s="925" t="s">
        <v>194</v>
      </c>
      <c r="G71" s="924" t="s">
        <v>196</v>
      </c>
      <c r="H71" s="945" t="s">
        <v>197</v>
      </c>
      <c r="I71" s="926"/>
      <c r="J71" s="926"/>
      <c r="K71" s="926"/>
      <c r="L71" s="926"/>
      <c r="M71" s="737"/>
      <c r="N71" s="926"/>
      <c r="O71" s="931"/>
      <c r="P71" s="953"/>
      <c r="Q71" s="932" t="s">
        <v>619</v>
      </c>
      <c r="R71" s="931" t="s">
        <v>620</v>
      </c>
    </row>
    <row r="72" spans="1:18" ht="15.75" thickTop="1">
      <c r="A72" s="738" t="s">
        <v>238</v>
      </c>
      <c r="B72" s="836">
        <f>'lokale energieproductie'!B4</f>
        <v>0</v>
      </c>
      <c r="C72" s="1092"/>
      <c r="D72" s="1092"/>
      <c r="E72" s="1105"/>
      <c r="F72" s="1105"/>
      <c r="G72" s="1106"/>
      <c r="H72" s="1109"/>
      <c r="I72" s="1095"/>
      <c r="J72" s="928"/>
      <c r="K72" s="1099"/>
      <c r="L72" s="1099"/>
      <c r="M72" s="1099"/>
      <c r="N72" s="1099"/>
      <c r="O72" s="1102"/>
      <c r="P72" s="844">
        <v>0</v>
      </c>
      <c r="Q72" s="954"/>
      <c r="R72" s="844">
        <v>0</v>
      </c>
    </row>
    <row r="73" spans="1:18" ht="15">
      <c r="A73" s="739" t="s">
        <v>239</v>
      </c>
      <c r="B73" s="738">
        <f>'lokale energieproductie'!B5</f>
        <v>0</v>
      </c>
      <c r="C73" s="1093"/>
      <c r="D73" s="1093"/>
      <c r="E73" s="1100"/>
      <c r="F73" s="1100"/>
      <c r="G73" s="1107"/>
      <c r="H73" s="1110"/>
      <c r="I73" s="1093"/>
      <c r="J73" s="929"/>
      <c r="K73" s="1100"/>
      <c r="L73" s="1100"/>
      <c r="M73" s="1100"/>
      <c r="N73" s="1100"/>
      <c r="O73" s="1103"/>
      <c r="P73" s="845">
        <v>0</v>
      </c>
      <c r="Q73" s="851"/>
      <c r="R73" s="845">
        <v>0</v>
      </c>
    </row>
    <row r="74" spans="1:18" ht="15">
      <c r="A74" s="739" t="s">
        <v>240</v>
      </c>
      <c r="B74" s="738">
        <f>'lokale energieproductie'!B6</f>
        <v>4614.7525135461801</v>
      </c>
      <c r="C74" s="1093"/>
      <c r="D74" s="1093"/>
      <c r="E74" s="1100"/>
      <c r="F74" s="1100"/>
      <c r="G74" s="1107"/>
      <c r="H74" s="1110"/>
      <c r="I74" s="1093"/>
      <c r="J74" s="929"/>
      <c r="K74" s="1100"/>
      <c r="L74" s="1100"/>
      <c r="M74" s="1100"/>
      <c r="N74" s="1100"/>
      <c r="O74" s="1103"/>
      <c r="P74" s="845">
        <v>0</v>
      </c>
      <c r="Q74" s="851"/>
      <c r="R74" s="845">
        <v>0</v>
      </c>
    </row>
    <row r="75" spans="1:18" ht="15.75" thickBot="1">
      <c r="A75" s="739" t="s">
        <v>693</v>
      </c>
      <c r="B75" s="738">
        <f>'lokale energieproductie'!B7</f>
        <v>0</v>
      </c>
      <c r="C75" s="1094"/>
      <c r="D75" s="1094"/>
      <c r="E75" s="1101"/>
      <c r="F75" s="1101"/>
      <c r="G75" s="1108"/>
      <c r="H75" s="1111"/>
      <c r="I75" s="1094"/>
      <c r="J75" s="948"/>
      <c r="K75" s="1101"/>
      <c r="L75" s="1101"/>
      <c r="M75" s="1101"/>
      <c r="N75" s="1101"/>
      <c r="O75" s="1104"/>
      <c r="P75" s="845">
        <v>0</v>
      </c>
      <c r="Q75" s="955"/>
      <c r="R75" s="845">
        <v>0</v>
      </c>
    </row>
    <row r="76" spans="1:18" ht="15">
      <c r="A76" s="740" t="s">
        <v>241</v>
      </c>
      <c r="B76" s="738">
        <f>'lokale energieproductie'!B8*IFERROR(SUM(I76:O76)/SUM(D76:O76),0)</f>
        <v>0</v>
      </c>
      <c r="C76" s="738">
        <f>'lokale energieproductie'!B8*IFERROR(SUM(D76:H76)/SUM(D76:O76),0)</f>
        <v>0</v>
      </c>
      <c r="D76" s="946">
        <f>'lokale energieproductie'!C8</f>
        <v>0</v>
      </c>
      <c r="E76" s="947">
        <f>'lokale energieproductie'!D8</f>
        <v>0</v>
      </c>
      <c r="F76" s="947">
        <f>'lokale energieproductie'!E8</f>
        <v>0</v>
      </c>
      <c r="G76" s="947">
        <f>'lokale energieproductie'!F8</f>
        <v>0</v>
      </c>
      <c r="H76" s="947">
        <f>'lokale energieproductie'!G8</f>
        <v>0</v>
      </c>
      <c r="I76" s="947">
        <f>'lokale energieproductie'!I8</f>
        <v>0</v>
      </c>
      <c r="J76" s="947">
        <f>'lokale energieproductie'!J8</f>
        <v>0</v>
      </c>
      <c r="K76" s="947">
        <f>'lokale energieproductie'!M8</f>
        <v>0</v>
      </c>
      <c r="L76" s="947">
        <f>'lokale energieproductie'!N8</f>
        <v>0</v>
      </c>
      <c r="M76" s="947">
        <f>'lokale energieproductie'!H8</f>
        <v>0</v>
      </c>
      <c r="N76" s="947">
        <f>'lokale energieproductie'!K8</f>
        <v>0</v>
      </c>
      <c r="O76" s="957">
        <f>'lokale energieproductie'!L8</f>
        <v>0</v>
      </c>
      <c r="P76" s="956"/>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736</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47">
        <f>'lokale energieproductie'!I9</f>
        <v>0</v>
      </c>
      <c r="J77" s="947">
        <f>'lokale energieproductie'!J9</f>
        <v>0</v>
      </c>
      <c r="K77" s="947">
        <f>'lokale energieproductie'!M9</f>
        <v>0</v>
      </c>
      <c r="L77" s="947">
        <f>'lokale energieproductie'!N9</f>
        <v>0</v>
      </c>
      <c r="M77" s="947">
        <f>'lokale energieproductie'!H9</f>
        <v>0</v>
      </c>
      <c r="N77" s="947">
        <f>'lokale energieproductie'!K9</f>
        <v>0</v>
      </c>
      <c r="O77" s="957">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109</v>
      </c>
      <c r="B78" s="743">
        <f>SUM(B72:B77)</f>
        <v>4614.7525135461801</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341</v>
      </c>
      <c r="B81" s="750"/>
      <c r="C81" s="751"/>
      <c r="D81" s="732"/>
      <c r="E81" s="702"/>
      <c r="F81" s="702"/>
      <c r="G81" s="702"/>
      <c r="H81" s="702"/>
      <c r="I81" s="702"/>
      <c r="J81" s="702"/>
      <c r="K81" s="702"/>
      <c r="L81" s="702"/>
      <c r="M81" s="702"/>
      <c r="N81" s="702"/>
      <c r="O81" s="702"/>
      <c r="P81" s="702"/>
      <c r="Q81" s="702"/>
      <c r="R81" s="702"/>
    </row>
    <row r="82" spans="1:19">
      <c r="A82" s="1129"/>
      <c r="B82" s="1129"/>
      <c r="C82" s="1129"/>
      <c r="D82" s="1129"/>
      <c r="E82" s="1129"/>
      <c r="F82" s="1129"/>
      <c r="G82" s="1129"/>
      <c r="H82" s="1129"/>
      <c r="I82" s="1129"/>
      <c r="J82" s="1129"/>
      <c r="K82" s="1129"/>
      <c r="L82" s="1129"/>
      <c r="M82" s="1129"/>
      <c r="N82" s="1129"/>
      <c r="O82" s="1129"/>
      <c r="P82" s="1129"/>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30" t="s">
        <v>242</v>
      </c>
      <c r="B84" s="1116" t="s">
        <v>342</v>
      </c>
      <c r="C84" s="1138"/>
      <c r="D84" s="1126" t="s">
        <v>343</v>
      </c>
      <c r="E84" s="1127"/>
      <c r="F84" s="1127"/>
      <c r="G84" s="1127"/>
      <c r="H84" s="1127"/>
      <c r="I84" s="1127"/>
      <c r="J84" s="1127"/>
      <c r="K84" s="1127"/>
      <c r="L84" s="1127"/>
      <c r="M84" s="1127"/>
      <c r="N84" s="1127"/>
      <c r="O84" s="1128"/>
      <c r="P84" s="951" t="s">
        <v>618</v>
      </c>
      <c r="Q84" s="1116" t="s">
        <v>617</v>
      </c>
      <c r="R84" s="1117"/>
    </row>
    <row r="85" spans="1:19" ht="16.5" customHeight="1" thickTop="1" thickBot="1">
      <c r="A85" s="1131"/>
      <c r="B85" s="1139"/>
      <c r="C85" s="1140"/>
      <c r="D85" s="1133" t="s">
        <v>190</v>
      </c>
      <c r="E85" s="1134"/>
      <c r="F85" s="1134"/>
      <c r="G85" s="1134"/>
      <c r="H85" s="1135"/>
      <c r="I85" s="1124" t="s">
        <v>235</v>
      </c>
      <c r="J85" s="1120" t="s">
        <v>223</v>
      </c>
      <c r="K85" s="1090" t="s">
        <v>202</v>
      </c>
      <c r="L85" s="1090" t="s">
        <v>203</v>
      </c>
      <c r="M85" s="1136" t="s">
        <v>234</v>
      </c>
      <c r="N85" s="1090" t="s">
        <v>246</v>
      </c>
      <c r="O85" s="1122" t="s">
        <v>120</v>
      </c>
      <c r="P85" s="952"/>
      <c r="Q85" s="849"/>
      <c r="R85" s="850"/>
    </row>
    <row r="86" spans="1:19" ht="110.25" customHeight="1" thickTop="1" thickBot="1">
      <c r="A86" s="1132"/>
      <c r="B86" s="837" t="s">
        <v>616</v>
      </c>
      <c r="C86" s="837" t="s">
        <v>694</v>
      </c>
      <c r="D86" s="752" t="s">
        <v>192</v>
      </c>
      <c r="E86" s="736" t="s">
        <v>193</v>
      </c>
      <c r="F86" s="753" t="s">
        <v>194</v>
      </c>
      <c r="G86" s="736" t="s">
        <v>196</v>
      </c>
      <c r="H86" s="754" t="s">
        <v>197</v>
      </c>
      <c r="I86" s="1125"/>
      <c r="J86" s="1121"/>
      <c r="K86" s="1091"/>
      <c r="L86" s="1091"/>
      <c r="M86" s="1137"/>
      <c r="N86" s="1091"/>
      <c r="O86" s="1123"/>
      <c r="P86" s="953"/>
      <c r="Q86" s="790" t="s">
        <v>619</v>
      </c>
      <c r="R86" s="788" t="s">
        <v>620</v>
      </c>
    </row>
    <row r="87" spans="1:19" ht="15.75" thickTop="1">
      <c r="A87" s="755" t="s">
        <v>241</v>
      </c>
      <c r="B87" s="756">
        <f>'lokale energieproductie'!B17*IFERROR(SUM(I87:O87)/SUM(D87:O87),0)</f>
        <v>0</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85"/>
      <c r="Q87" s="852">
        <f>D87*EF_CO2_aardgas+E87*EF_VLgas_CO2+'SEAP template'!F87*EF_stookolie_CO2+EF_bruinkool_CO2*'SEAP template'!G87+'SEAP template'!H87*EF_steenkool_CO2+'EF brandstof'!M4*'SEAP template'!M87+'SEAP template'!O87*EF_anderfossiel_CO2</f>
        <v>0</v>
      </c>
      <c r="R87" s="839">
        <v>0</v>
      </c>
    </row>
    <row r="88" spans="1:19" ht="15">
      <c r="A88" s="757" t="s">
        <v>247</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86"/>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340</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87"/>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109</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74" t="s">
        <v>526</v>
      </c>
      <c r="B1" s="1175" t="s">
        <v>523</v>
      </c>
      <c r="C1" s="1175"/>
      <c r="D1" s="1175"/>
      <c r="E1" s="1175"/>
      <c r="F1" s="1175"/>
      <c r="G1" s="1175"/>
      <c r="H1" s="1175"/>
      <c r="I1" s="1175"/>
      <c r="J1" s="1175"/>
      <c r="K1" s="1175"/>
      <c r="L1" s="1175"/>
      <c r="M1" s="1175"/>
      <c r="N1" s="1175"/>
      <c r="O1" s="1175"/>
      <c r="P1" s="1176"/>
      <c r="Q1" s="444"/>
    </row>
    <row r="2" spans="1:17">
      <c r="A2" s="1174"/>
      <c r="B2" s="1177" t="s">
        <v>20</v>
      </c>
      <c r="C2" s="1179" t="s">
        <v>189</v>
      </c>
      <c r="D2" s="1181" t="s">
        <v>190</v>
      </c>
      <c r="E2" s="1182"/>
      <c r="F2" s="1182"/>
      <c r="G2" s="1182"/>
      <c r="H2" s="1182"/>
      <c r="I2" s="1182"/>
      <c r="J2" s="1182"/>
      <c r="K2" s="1178"/>
      <c r="L2" s="1181" t="s">
        <v>191</v>
      </c>
      <c r="M2" s="1182"/>
      <c r="N2" s="1182"/>
      <c r="O2" s="1182"/>
      <c r="P2" s="1178"/>
      <c r="Q2" s="444"/>
    </row>
    <row r="3" spans="1:17" ht="45">
      <c r="A3" s="1174"/>
      <c r="B3" s="1178"/>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c r="Q3" s="444" t="s">
        <v>109</v>
      </c>
    </row>
    <row r="4" spans="1:17">
      <c r="A4" s="446" t="s">
        <v>148</v>
      </c>
      <c r="B4" s="447">
        <f>huishoudens!B8</f>
        <v>18077.249255937691</v>
      </c>
      <c r="C4" s="447">
        <f>huishoudens!C8</f>
        <v>0</v>
      </c>
      <c r="D4" s="447">
        <f>huishoudens!D8</f>
        <v>33108.701060256572</v>
      </c>
      <c r="E4" s="447">
        <f>huishoudens!E8</f>
        <v>1283.4737301407622</v>
      </c>
      <c r="F4" s="447">
        <f>huishoudens!F8</f>
        <v>28116.552387677471</v>
      </c>
      <c r="G4" s="447">
        <f>huishoudens!G8</f>
        <v>0</v>
      </c>
      <c r="H4" s="447">
        <f>huishoudens!H8</f>
        <v>0</v>
      </c>
      <c r="I4" s="447">
        <f>huishoudens!I8</f>
        <v>0</v>
      </c>
      <c r="J4" s="447">
        <f>huishoudens!J8</f>
        <v>160.23930727037751</v>
      </c>
      <c r="K4" s="447">
        <f>huishoudens!K8</f>
        <v>0</v>
      </c>
      <c r="L4" s="447">
        <f>huishoudens!L8</f>
        <v>0</v>
      </c>
      <c r="M4" s="447">
        <f>huishoudens!M8</f>
        <v>0</v>
      </c>
      <c r="N4" s="447">
        <f>huishoudens!N8</f>
        <v>6133.3358197304351</v>
      </c>
      <c r="O4" s="447">
        <f>huishoudens!O8</f>
        <v>214.26748769379944</v>
      </c>
      <c r="P4" s="448">
        <f>huishoudens!P8</f>
        <v>937.52237838396695</v>
      </c>
      <c r="Q4" s="449">
        <f>SUM(B4:P4)</f>
        <v>88031.341427091058</v>
      </c>
    </row>
    <row r="5" spans="1:17">
      <c r="A5" s="446" t="s">
        <v>149</v>
      </c>
      <c r="B5" s="447">
        <f ca="1">tertiair!B16</f>
        <v>9021.3020707838277</v>
      </c>
      <c r="C5" s="447">
        <f ca="1">tertiair!C16</f>
        <v>0</v>
      </c>
      <c r="D5" s="447">
        <f ca="1">tertiair!D16</f>
        <v>7748.0697884463752</v>
      </c>
      <c r="E5" s="447">
        <f>tertiair!E16</f>
        <v>47.868991220948729</v>
      </c>
      <c r="F5" s="447">
        <f ca="1">tertiair!F16</f>
        <v>1758.8025324818166</v>
      </c>
      <c r="G5" s="447">
        <f>tertiair!G16</f>
        <v>0</v>
      </c>
      <c r="H5" s="447">
        <f>tertiair!H16</f>
        <v>0</v>
      </c>
      <c r="I5" s="447">
        <f>tertiair!I16</f>
        <v>0</v>
      </c>
      <c r="J5" s="447">
        <f>tertiair!J16</f>
        <v>1.135697467260212E-2</v>
      </c>
      <c r="K5" s="447">
        <f>tertiair!K16</f>
        <v>0</v>
      </c>
      <c r="L5" s="447">
        <f ca="1">tertiair!L16</f>
        <v>0</v>
      </c>
      <c r="M5" s="447">
        <f>tertiair!M16</f>
        <v>0</v>
      </c>
      <c r="N5" s="447">
        <f ca="1">tertiair!N16</f>
        <v>436.43522793766027</v>
      </c>
      <c r="O5" s="447">
        <f>tertiair!O16</f>
        <v>0</v>
      </c>
      <c r="P5" s="448">
        <f>tertiair!P16</f>
        <v>52.539138306495019</v>
      </c>
      <c r="Q5" s="446">
        <f t="shared" ref="Q5:Q14" ca="1" si="0">SUM(B5:P5)</f>
        <v>19065.029106151796</v>
      </c>
    </row>
    <row r="6" spans="1:17">
      <c r="A6" s="446" t="s">
        <v>187</v>
      </c>
      <c r="B6" s="447">
        <f>'openbare verlichting'!B8</f>
        <v>592.096</v>
      </c>
      <c r="C6" s="447"/>
      <c r="D6" s="447"/>
      <c r="E6" s="447"/>
      <c r="F6" s="447"/>
      <c r="G6" s="447"/>
      <c r="H6" s="447"/>
      <c r="I6" s="447"/>
      <c r="J6" s="447"/>
      <c r="K6" s="447"/>
      <c r="L6" s="447"/>
      <c r="M6" s="447"/>
      <c r="N6" s="447"/>
      <c r="O6" s="447"/>
      <c r="P6" s="448"/>
      <c r="Q6" s="446">
        <f t="shared" si="0"/>
        <v>592.096</v>
      </c>
    </row>
    <row r="7" spans="1:17">
      <c r="A7" s="446" t="s">
        <v>105</v>
      </c>
      <c r="B7" s="447">
        <f>landbouw!B8</f>
        <v>690.51402423048694</v>
      </c>
      <c r="C7" s="447">
        <f>landbouw!C8</f>
        <v>0</v>
      </c>
      <c r="D7" s="447">
        <f>landbouw!D8</f>
        <v>41.129584509035766</v>
      </c>
      <c r="E7" s="447">
        <f>landbouw!E8</f>
        <v>19.777490217630145</v>
      </c>
      <c r="F7" s="447">
        <f>landbouw!F8</f>
        <v>2185.8107068451973</v>
      </c>
      <c r="G7" s="447">
        <f>landbouw!G8</f>
        <v>0</v>
      </c>
      <c r="H7" s="447">
        <f>landbouw!H8</f>
        <v>0</v>
      </c>
      <c r="I7" s="447">
        <f>landbouw!I8</f>
        <v>0</v>
      </c>
      <c r="J7" s="447">
        <f>landbouw!J8</f>
        <v>175.5760325697446</v>
      </c>
      <c r="K7" s="447">
        <f>landbouw!K8</f>
        <v>0</v>
      </c>
      <c r="L7" s="447">
        <f>landbouw!L8</f>
        <v>0</v>
      </c>
      <c r="M7" s="447">
        <f>landbouw!M8</f>
        <v>0</v>
      </c>
      <c r="N7" s="447">
        <f>landbouw!N8</f>
        <v>0</v>
      </c>
      <c r="O7" s="447">
        <f>landbouw!O8</f>
        <v>0</v>
      </c>
      <c r="P7" s="448">
        <f>landbouw!P8</f>
        <v>0</v>
      </c>
      <c r="Q7" s="446">
        <f t="shared" si="0"/>
        <v>3112.8078383720949</v>
      </c>
    </row>
    <row r="8" spans="1:17">
      <c r="A8" s="446" t="s">
        <v>611</v>
      </c>
      <c r="B8" s="447">
        <f>industrie!B18</f>
        <v>7733.8012446506191</v>
      </c>
      <c r="C8" s="447">
        <f>industrie!C18</f>
        <v>0</v>
      </c>
      <c r="D8" s="447">
        <f>industrie!D18</f>
        <v>34825.730354242245</v>
      </c>
      <c r="E8" s="447">
        <f>industrie!E18</f>
        <v>151.89058347330047</v>
      </c>
      <c r="F8" s="447">
        <f>industrie!F18</f>
        <v>2169.3459812357523</v>
      </c>
      <c r="G8" s="447">
        <f>industrie!G18</f>
        <v>0</v>
      </c>
      <c r="H8" s="447">
        <f>industrie!H18</f>
        <v>0</v>
      </c>
      <c r="I8" s="447">
        <f>industrie!I18</f>
        <v>0</v>
      </c>
      <c r="J8" s="447">
        <f>industrie!J18</f>
        <v>12.7109425062204</v>
      </c>
      <c r="K8" s="447">
        <f>industrie!K18</f>
        <v>0</v>
      </c>
      <c r="L8" s="447">
        <f>industrie!L18</f>
        <v>0</v>
      </c>
      <c r="M8" s="447">
        <f>industrie!M18</f>
        <v>0</v>
      </c>
      <c r="N8" s="447">
        <f>industrie!N18</f>
        <v>289.15610120514003</v>
      </c>
      <c r="O8" s="447">
        <f>industrie!O18</f>
        <v>0</v>
      </c>
      <c r="P8" s="448">
        <f>industrie!P18</f>
        <v>0</v>
      </c>
      <c r="Q8" s="446">
        <f t="shared" si="0"/>
        <v>45182.63520731328</v>
      </c>
    </row>
    <row r="9" spans="1:17" s="452" customFormat="1">
      <c r="A9" s="450" t="s">
        <v>537</v>
      </c>
      <c r="B9" s="451">
        <f>transport!B14</f>
        <v>65.435512844388754</v>
      </c>
      <c r="C9" s="451">
        <f>transport!C14</f>
        <v>0</v>
      </c>
      <c r="D9" s="451">
        <f>transport!D14</f>
        <v>116.98196106387303</v>
      </c>
      <c r="E9" s="451">
        <f>transport!E14</f>
        <v>45.877239329381993</v>
      </c>
      <c r="F9" s="451">
        <f>transport!F14</f>
        <v>0</v>
      </c>
      <c r="G9" s="451">
        <f>transport!G14</f>
        <v>17065.550960912442</v>
      </c>
      <c r="H9" s="451">
        <f>transport!H14</f>
        <v>5723.4048905843283</v>
      </c>
      <c r="I9" s="451">
        <f>transport!I14</f>
        <v>0</v>
      </c>
      <c r="J9" s="451">
        <f>transport!J14</f>
        <v>0</v>
      </c>
      <c r="K9" s="451">
        <f>transport!K14</f>
        <v>0</v>
      </c>
      <c r="L9" s="451">
        <f>transport!L14</f>
        <v>0</v>
      </c>
      <c r="M9" s="451">
        <f>transport!M14</f>
        <v>1385.6162066398258</v>
      </c>
      <c r="N9" s="451">
        <f>transport!N14</f>
        <v>0</v>
      </c>
      <c r="O9" s="451">
        <f>transport!O14</f>
        <v>0</v>
      </c>
      <c r="P9" s="451">
        <f>transport!P14</f>
        <v>0</v>
      </c>
      <c r="Q9" s="450">
        <f>SUM(B9:P9)</f>
        <v>24402.86677137424</v>
      </c>
    </row>
    <row r="10" spans="1:17">
      <c r="A10" s="446" t="s">
        <v>527</v>
      </c>
      <c r="B10" s="447">
        <f>transport!B54</f>
        <v>5.484172387938834</v>
      </c>
      <c r="C10" s="447">
        <f>transport!C54</f>
        <v>0</v>
      </c>
      <c r="D10" s="447">
        <f>transport!D54</f>
        <v>0</v>
      </c>
      <c r="E10" s="447">
        <f>transport!E54</f>
        <v>0</v>
      </c>
      <c r="F10" s="447">
        <f>transport!F54</f>
        <v>0</v>
      </c>
      <c r="G10" s="447">
        <f>transport!G54</f>
        <v>343.32577129928904</v>
      </c>
      <c r="H10" s="447">
        <f>transport!H54</f>
        <v>0</v>
      </c>
      <c r="I10" s="447">
        <f>transport!I54</f>
        <v>0</v>
      </c>
      <c r="J10" s="447">
        <f>transport!J54</f>
        <v>0</v>
      </c>
      <c r="K10" s="447">
        <f>transport!K54</f>
        <v>0</v>
      </c>
      <c r="L10" s="447">
        <f>transport!L54</f>
        <v>0</v>
      </c>
      <c r="M10" s="447">
        <f>transport!M54</f>
        <v>19.713005584806382</v>
      </c>
      <c r="N10" s="447">
        <f>transport!N54</f>
        <v>0</v>
      </c>
      <c r="O10" s="447">
        <f>transport!O54</f>
        <v>0</v>
      </c>
      <c r="P10" s="448">
        <f>transport!P54</f>
        <v>0</v>
      </c>
      <c r="Q10" s="446">
        <f t="shared" si="0"/>
        <v>368.52294927203423</v>
      </c>
    </row>
    <row r="11" spans="1:17">
      <c r="A11" s="446" t="s">
        <v>528</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529</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530</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728</v>
      </c>
      <c r="B14" s="454">
        <f>'SEAP template'!C25</f>
        <v>434.20465112470202</v>
      </c>
      <c r="C14" s="454"/>
      <c r="D14" s="454">
        <f>'SEAP template'!E25</f>
        <v>783.94272987471197</v>
      </c>
      <c r="E14" s="454"/>
      <c r="F14" s="454"/>
      <c r="G14" s="454"/>
      <c r="H14" s="454"/>
      <c r="I14" s="454"/>
      <c r="J14" s="454"/>
      <c r="K14" s="454"/>
      <c r="L14" s="454"/>
      <c r="M14" s="454"/>
      <c r="N14" s="454"/>
      <c r="O14" s="454"/>
      <c r="P14" s="455"/>
      <c r="Q14" s="446">
        <f t="shared" si="0"/>
        <v>1218.1473809994141</v>
      </c>
    </row>
    <row r="15" spans="1:17" s="458" customFormat="1">
      <c r="A15" s="456" t="s">
        <v>531</v>
      </c>
      <c r="B15" s="457">
        <f ca="1">SUM(B4:B14)</f>
        <v>36620.086931959653</v>
      </c>
      <c r="C15" s="457">
        <f t="shared" ref="C15:Q15" ca="1" si="1">SUM(C4:C14)</f>
        <v>0</v>
      </c>
      <c r="D15" s="457">
        <f t="shared" ca="1" si="1"/>
        <v>76624.555478392809</v>
      </c>
      <c r="E15" s="457">
        <f t="shared" si="1"/>
        <v>1548.8880343820238</v>
      </c>
      <c r="F15" s="457">
        <f t="shared" ca="1" si="1"/>
        <v>34230.511608240238</v>
      </c>
      <c r="G15" s="457">
        <f t="shared" si="1"/>
        <v>17408.876732211731</v>
      </c>
      <c r="H15" s="457">
        <f t="shared" si="1"/>
        <v>5723.4048905843283</v>
      </c>
      <c r="I15" s="457">
        <f t="shared" si="1"/>
        <v>0</v>
      </c>
      <c r="J15" s="457">
        <f t="shared" si="1"/>
        <v>348.53763932101509</v>
      </c>
      <c r="K15" s="457">
        <f t="shared" si="1"/>
        <v>0</v>
      </c>
      <c r="L15" s="457">
        <f t="shared" ca="1" si="1"/>
        <v>0</v>
      </c>
      <c r="M15" s="457">
        <f t="shared" si="1"/>
        <v>1405.3292122246321</v>
      </c>
      <c r="N15" s="457">
        <f t="shared" ca="1" si="1"/>
        <v>6858.9271488732347</v>
      </c>
      <c r="O15" s="457">
        <f t="shared" si="1"/>
        <v>214.26748769379944</v>
      </c>
      <c r="P15" s="457">
        <f t="shared" si="1"/>
        <v>990.06151669046199</v>
      </c>
      <c r="Q15" s="457">
        <f t="shared" ca="1" si="1"/>
        <v>181973.44668057392</v>
      </c>
    </row>
    <row r="17" spans="1:17">
      <c r="A17" s="459" t="s">
        <v>532</v>
      </c>
      <c r="B17" s="776">
        <f ca="1">huishoudens!B10</f>
        <v>0.1931502489224394</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74" t="s">
        <v>534</v>
      </c>
      <c r="B19" s="1175" t="s">
        <v>533</v>
      </c>
      <c r="C19" s="1175"/>
      <c r="D19" s="1175"/>
      <c r="E19" s="1175"/>
      <c r="F19" s="1175"/>
      <c r="G19" s="1175"/>
      <c r="H19" s="1175"/>
      <c r="I19" s="1175"/>
      <c r="J19" s="1175"/>
      <c r="K19" s="1175"/>
      <c r="L19" s="1175"/>
      <c r="M19" s="1175"/>
      <c r="N19" s="1175"/>
      <c r="O19" s="1175"/>
      <c r="P19" s="1176"/>
      <c r="Q19" s="444"/>
    </row>
    <row r="20" spans="1:17" ht="15" customHeight="1">
      <c r="A20" s="1174"/>
      <c r="B20" s="1177" t="s">
        <v>20</v>
      </c>
      <c r="C20" s="1179" t="s">
        <v>189</v>
      </c>
      <c r="D20" s="1181" t="s">
        <v>190</v>
      </c>
      <c r="E20" s="1182"/>
      <c r="F20" s="1182"/>
      <c r="G20" s="1182"/>
      <c r="H20" s="1182"/>
      <c r="I20" s="1182"/>
      <c r="J20" s="1182"/>
      <c r="K20" s="1178"/>
      <c r="L20" s="1181" t="s">
        <v>191</v>
      </c>
      <c r="M20" s="1182"/>
      <c r="N20" s="1182"/>
      <c r="O20" s="1182"/>
      <c r="P20" s="1178"/>
      <c r="Q20" s="444"/>
    </row>
    <row r="21" spans="1:17" ht="45">
      <c r="A21" s="1174"/>
      <c r="B21" s="1178"/>
      <c r="C21" s="1180"/>
      <c r="D21" s="444" t="s">
        <v>192</v>
      </c>
      <c r="E21" s="444" t="s">
        <v>193</v>
      </c>
      <c r="F21" s="444" t="s">
        <v>194</v>
      </c>
      <c r="G21" s="444" t="s">
        <v>195</v>
      </c>
      <c r="H21" s="444" t="s">
        <v>113</v>
      </c>
      <c r="I21" s="444" t="s">
        <v>196</v>
      </c>
      <c r="J21" s="444" t="s">
        <v>197</v>
      </c>
      <c r="K21" s="444" t="s">
        <v>198</v>
      </c>
      <c r="L21" s="444" t="s">
        <v>199</v>
      </c>
      <c r="M21" s="444" t="s">
        <v>200</v>
      </c>
      <c r="N21" s="444" t="s">
        <v>201</v>
      </c>
      <c r="O21" s="444" t="s">
        <v>202</v>
      </c>
      <c r="P21" s="444" t="s">
        <v>203</v>
      </c>
      <c r="Q21" s="444" t="s">
        <v>109</v>
      </c>
    </row>
    <row r="22" spans="1:17">
      <c r="A22" s="446" t="s">
        <v>148</v>
      </c>
      <c r="B22" s="447">
        <f t="shared" ref="B22:B32" ca="1" si="2">B4*$B$17</f>
        <v>3491.6251936173476</v>
      </c>
      <c r="C22" s="447">
        <f t="shared" ref="C22:C32" ca="1" si="3">C4*$C$17</f>
        <v>0</v>
      </c>
      <c r="D22" s="447">
        <f t="shared" ref="D22:D32" si="4">D4*$D$17</f>
        <v>6687.957614171828</v>
      </c>
      <c r="E22" s="447">
        <f t="shared" ref="E22:E32" si="5">E4*$E$17</f>
        <v>291.34853674195301</v>
      </c>
      <c r="F22" s="447">
        <f t="shared" ref="F22:F32" si="6">F4*$F$17</f>
        <v>7507.1194875098854</v>
      </c>
      <c r="G22" s="447">
        <f t="shared" ref="G22:G32" si="7">G4*$G$17</f>
        <v>0</v>
      </c>
      <c r="H22" s="447">
        <f t="shared" ref="H22:H32" si="8">H4*$H$17</f>
        <v>0</v>
      </c>
      <c r="I22" s="447">
        <f t="shared" ref="I22:I32" si="9">I4*$I$17</f>
        <v>0</v>
      </c>
      <c r="J22" s="447">
        <f t="shared" ref="J22:J32" si="10">J4*$J$17</f>
        <v>56.724714773713636</v>
      </c>
      <c r="K22" s="447">
        <f t="shared" ref="K22:K32" si="11">K4*$K$17</f>
        <v>0</v>
      </c>
      <c r="L22" s="447">
        <f t="shared" ref="L22:L32" si="12">L4*$L$17</f>
        <v>0</v>
      </c>
      <c r="M22" s="447">
        <f t="shared" ref="M22:M32" si="13">M4*$M$17</f>
        <v>0</v>
      </c>
      <c r="N22" s="447">
        <f t="shared" ref="N22:N32" si="14">N4*$N$17</f>
        <v>0</v>
      </c>
      <c r="O22" s="447">
        <f t="shared" ref="O22:O32" si="15">O4*$O$17</f>
        <v>0</v>
      </c>
      <c r="P22" s="460">
        <f t="shared" ref="P22:P32" si="16">P4*$P$17</f>
        <v>0</v>
      </c>
      <c r="Q22" s="449">
        <f ca="1">SUM(B22:P22)</f>
        <v>18034.775546814726</v>
      </c>
    </row>
    <row r="23" spans="1:17">
      <c r="A23" s="446" t="s">
        <v>149</v>
      </c>
      <c r="B23" s="447">
        <f t="shared" ca="1" si="2"/>
        <v>1742.4667405764144</v>
      </c>
      <c r="C23" s="447">
        <f t="shared" ca="1" si="3"/>
        <v>0</v>
      </c>
      <c r="D23" s="447">
        <f t="shared" ca="1" si="4"/>
        <v>1565.1100972661679</v>
      </c>
      <c r="E23" s="447">
        <f t="shared" si="5"/>
        <v>10.866261007155362</v>
      </c>
      <c r="F23" s="447">
        <f t="shared" ca="1" si="6"/>
        <v>469.60027617264507</v>
      </c>
      <c r="G23" s="447">
        <f t="shared" si="7"/>
        <v>0</v>
      </c>
      <c r="H23" s="447">
        <f t="shared" si="8"/>
        <v>0</v>
      </c>
      <c r="I23" s="447">
        <f t="shared" si="9"/>
        <v>0</v>
      </c>
      <c r="J23" s="447">
        <f t="shared" si="10"/>
        <v>4.0203690341011501E-3</v>
      </c>
      <c r="K23" s="447">
        <f t="shared" si="11"/>
        <v>0</v>
      </c>
      <c r="L23" s="447">
        <f t="shared" ca="1" si="12"/>
        <v>0</v>
      </c>
      <c r="M23" s="447">
        <f t="shared" si="13"/>
        <v>0</v>
      </c>
      <c r="N23" s="447">
        <f t="shared" ca="1" si="14"/>
        <v>0</v>
      </c>
      <c r="O23" s="447">
        <f t="shared" si="15"/>
        <v>0</v>
      </c>
      <c r="P23" s="448">
        <f t="shared" si="16"/>
        <v>0</v>
      </c>
      <c r="Q23" s="446">
        <f t="shared" ref="Q23:Q31" ca="1" si="17">SUM(B23:P23)</f>
        <v>3788.047395391417</v>
      </c>
    </row>
    <row r="24" spans="1:17">
      <c r="A24" s="446" t="s">
        <v>187</v>
      </c>
      <c r="B24" s="447">
        <f t="shared" ca="1" si="2"/>
        <v>114.36348978598068</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114.36348978598068</v>
      </c>
    </row>
    <row r="25" spans="1:17">
      <c r="A25" s="446" t="s">
        <v>105</v>
      </c>
      <c r="B25" s="447">
        <f t="shared" ca="1" si="2"/>
        <v>133.3729556645539</v>
      </c>
      <c r="C25" s="447">
        <f t="shared" ca="1" si="3"/>
        <v>0</v>
      </c>
      <c r="D25" s="447">
        <f t="shared" si="4"/>
        <v>8.3081760708252244</v>
      </c>
      <c r="E25" s="447">
        <f t="shared" si="5"/>
        <v>4.4894902794020428</v>
      </c>
      <c r="F25" s="447">
        <f t="shared" si="6"/>
        <v>583.6114587276677</v>
      </c>
      <c r="G25" s="447">
        <f t="shared" si="7"/>
        <v>0</v>
      </c>
      <c r="H25" s="447">
        <f t="shared" si="8"/>
        <v>0</v>
      </c>
      <c r="I25" s="447">
        <f t="shared" si="9"/>
        <v>0</v>
      </c>
      <c r="J25" s="447">
        <f t="shared" si="10"/>
        <v>62.153915529689584</v>
      </c>
      <c r="K25" s="447">
        <f t="shared" si="11"/>
        <v>0</v>
      </c>
      <c r="L25" s="447">
        <f t="shared" si="12"/>
        <v>0</v>
      </c>
      <c r="M25" s="447">
        <f t="shared" si="13"/>
        <v>0</v>
      </c>
      <c r="N25" s="447">
        <f t="shared" si="14"/>
        <v>0</v>
      </c>
      <c r="O25" s="447">
        <f t="shared" si="15"/>
        <v>0</v>
      </c>
      <c r="P25" s="448">
        <f t="shared" si="16"/>
        <v>0</v>
      </c>
      <c r="Q25" s="446">
        <f t="shared" ca="1" si="17"/>
        <v>791.93599627213848</v>
      </c>
    </row>
    <row r="26" spans="1:17">
      <c r="A26" s="446" t="s">
        <v>611</v>
      </c>
      <c r="B26" s="447">
        <f t="shared" ca="1" si="2"/>
        <v>1493.7856355209387</v>
      </c>
      <c r="C26" s="447">
        <f t="shared" ca="1" si="3"/>
        <v>0</v>
      </c>
      <c r="D26" s="447">
        <f t="shared" si="4"/>
        <v>7034.7975315569338</v>
      </c>
      <c r="E26" s="447">
        <f t="shared" si="5"/>
        <v>34.479162448439205</v>
      </c>
      <c r="F26" s="447">
        <f t="shared" si="6"/>
        <v>579.21537698994587</v>
      </c>
      <c r="G26" s="447">
        <f t="shared" si="7"/>
        <v>0</v>
      </c>
      <c r="H26" s="447">
        <f t="shared" si="8"/>
        <v>0</v>
      </c>
      <c r="I26" s="447">
        <f t="shared" si="9"/>
        <v>0</v>
      </c>
      <c r="J26" s="447">
        <f t="shared" si="10"/>
        <v>4.4996736472020213</v>
      </c>
      <c r="K26" s="447">
        <f t="shared" si="11"/>
        <v>0</v>
      </c>
      <c r="L26" s="447">
        <f t="shared" si="12"/>
        <v>0</v>
      </c>
      <c r="M26" s="447">
        <f t="shared" si="13"/>
        <v>0</v>
      </c>
      <c r="N26" s="447">
        <f t="shared" si="14"/>
        <v>0</v>
      </c>
      <c r="O26" s="447">
        <f t="shared" si="15"/>
        <v>0</v>
      </c>
      <c r="P26" s="448">
        <f t="shared" si="16"/>
        <v>0</v>
      </c>
      <c r="Q26" s="446">
        <f t="shared" ca="1" si="17"/>
        <v>9146.7773801634576</v>
      </c>
    </row>
    <row r="27" spans="1:17" s="452" customFormat="1">
      <c r="A27" s="450" t="s">
        <v>537</v>
      </c>
      <c r="B27" s="770">
        <f t="shared" ca="1" si="2"/>
        <v>12.638885594261168</v>
      </c>
      <c r="C27" s="451">
        <f t="shared" ca="1" si="3"/>
        <v>0</v>
      </c>
      <c r="D27" s="451">
        <f t="shared" si="4"/>
        <v>23.630356134902353</v>
      </c>
      <c r="E27" s="451">
        <f t="shared" si="5"/>
        <v>10.414133327769713</v>
      </c>
      <c r="F27" s="451">
        <f t="shared" si="6"/>
        <v>0</v>
      </c>
      <c r="G27" s="451">
        <f t="shared" si="7"/>
        <v>4556.502106563622</v>
      </c>
      <c r="H27" s="451">
        <f t="shared" si="8"/>
        <v>1425.1278177554977</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6028.3132993760528</v>
      </c>
    </row>
    <row r="28" spans="1:17" ht="16.5" customHeight="1">
      <c r="A28" s="446" t="s">
        <v>527</v>
      </c>
      <c r="B28" s="447">
        <f t="shared" ca="1" si="2"/>
        <v>1.0592692618639548</v>
      </c>
      <c r="C28" s="447">
        <f t="shared" ca="1" si="3"/>
        <v>0</v>
      </c>
      <c r="D28" s="447">
        <f t="shared" si="4"/>
        <v>0</v>
      </c>
      <c r="E28" s="447">
        <f t="shared" si="5"/>
        <v>0</v>
      </c>
      <c r="F28" s="447">
        <f t="shared" si="6"/>
        <v>0</v>
      </c>
      <c r="G28" s="447">
        <f t="shared" si="7"/>
        <v>91.667980936910183</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92.727250198774144</v>
      </c>
    </row>
    <row r="29" spans="1:17">
      <c r="A29" s="446" t="s">
        <v>528</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529</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530</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728</v>
      </c>
      <c r="B32" s="447">
        <f t="shared" ca="1" si="2"/>
        <v>83.86673644801715</v>
      </c>
      <c r="C32" s="447">
        <f t="shared" ca="1" si="3"/>
        <v>0</v>
      </c>
      <c r="D32" s="447">
        <f t="shared" si="4"/>
        <v>158.35643143469184</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242.22316788270899</v>
      </c>
    </row>
    <row r="33" spans="1:17" s="458" customFormat="1">
      <c r="A33" s="456" t="s">
        <v>531</v>
      </c>
      <c r="B33" s="457">
        <f ca="1">SUM(B22:B32)</f>
        <v>7073.1789064693785</v>
      </c>
      <c r="C33" s="457">
        <f t="shared" ref="C33:Q33" ca="1" si="19">SUM(C22:C32)</f>
        <v>0</v>
      </c>
      <c r="D33" s="457">
        <f t="shared" ca="1" si="19"/>
        <v>15478.16020663535</v>
      </c>
      <c r="E33" s="457">
        <f t="shared" si="19"/>
        <v>351.59758380471931</v>
      </c>
      <c r="F33" s="457">
        <f t="shared" ca="1" si="19"/>
        <v>9139.5465994001424</v>
      </c>
      <c r="G33" s="457">
        <f t="shared" si="19"/>
        <v>4648.1700875005317</v>
      </c>
      <c r="H33" s="457">
        <f t="shared" si="19"/>
        <v>1425.1278177554977</v>
      </c>
      <c r="I33" s="457">
        <f t="shared" si="19"/>
        <v>0</v>
      </c>
      <c r="J33" s="457">
        <f t="shared" si="19"/>
        <v>123.38232431963934</v>
      </c>
      <c r="K33" s="457">
        <f t="shared" si="19"/>
        <v>0</v>
      </c>
      <c r="L33" s="457">
        <f t="shared" ca="1" si="19"/>
        <v>0</v>
      </c>
      <c r="M33" s="457">
        <f t="shared" si="19"/>
        <v>0</v>
      </c>
      <c r="N33" s="457">
        <f t="shared" ca="1" si="19"/>
        <v>0</v>
      </c>
      <c r="O33" s="457">
        <f t="shared" si="19"/>
        <v>0</v>
      </c>
      <c r="P33" s="457">
        <f t="shared" si="19"/>
        <v>0</v>
      </c>
      <c r="Q33" s="457">
        <f t="shared" ca="1" si="19"/>
        <v>38239.163525885255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65" customFormat="1" ht="21">
      <c r="A1" s="1183" t="s">
        <v>526</v>
      </c>
      <c r="B1" s="1184" t="s">
        <v>697</v>
      </c>
      <c r="C1" s="1184"/>
      <c r="D1" s="1184"/>
      <c r="E1" s="1184"/>
      <c r="F1" s="1184"/>
      <c r="G1" s="1184"/>
      <c r="H1" s="1184"/>
      <c r="I1" s="1184"/>
      <c r="J1" s="1184"/>
      <c r="K1" s="1184"/>
      <c r="L1" s="1184"/>
      <c r="M1" s="1184"/>
      <c r="N1" s="1184"/>
      <c r="O1" s="1184"/>
      <c r="P1" s="1185"/>
      <c r="Q1" s="964"/>
    </row>
    <row r="2" spans="1:17" s="965" customFormat="1" ht="21">
      <c r="A2" s="1183"/>
      <c r="B2" s="1186" t="s">
        <v>20</v>
      </c>
      <c r="C2" s="1188" t="s">
        <v>189</v>
      </c>
      <c r="D2" s="1190" t="s">
        <v>190</v>
      </c>
      <c r="E2" s="1191"/>
      <c r="F2" s="1191"/>
      <c r="G2" s="1191"/>
      <c r="H2" s="1191"/>
      <c r="I2" s="1191"/>
      <c r="J2" s="1191"/>
      <c r="K2" s="1187"/>
      <c r="L2" s="1190" t="s">
        <v>191</v>
      </c>
      <c r="M2" s="1191"/>
      <c r="N2" s="1191"/>
      <c r="O2" s="1191"/>
      <c r="P2" s="1187"/>
      <c r="Q2" s="964"/>
    </row>
    <row r="3" spans="1:17" s="965" customFormat="1" ht="42">
      <c r="A3" s="1183"/>
      <c r="B3" s="1187"/>
      <c r="C3" s="1189"/>
      <c r="D3" s="966" t="s">
        <v>192</v>
      </c>
      <c r="E3" s="966" t="s">
        <v>193</v>
      </c>
      <c r="F3" s="966" t="s">
        <v>194</v>
      </c>
      <c r="G3" s="966" t="s">
        <v>195</v>
      </c>
      <c r="H3" s="966" t="s">
        <v>113</v>
      </c>
      <c r="I3" s="966" t="s">
        <v>196</v>
      </c>
      <c r="J3" s="966" t="s">
        <v>197</v>
      </c>
      <c r="K3" s="966" t="s">
        <v>198</v>
      </c>
      <c r="L3" s="966" t="s">
        <v>199</v>
      </c>
      <c r="M3" s="966" t="s">
        <v>200</v>
      </c>
      <c r="N3" s="966" t="s">
        <v>201</v>
      </c>
      <c r="O3" s="966" t="s">
        <v>202</v>
      </c>
      <c r="P3" s="966" t="s">
        <v>203</v>
      </c>
      <c r="Q3" s="964" t="s">
        <v>109</v>
      </c>
    </row>
    <row r="4" spans="1:17" ht="195">
      <c r="A4" s="967" t="s">
        <v>148</v>
      </c>
      <c r="B4" s="968" t="s">
        <v>698</v>
      </c>
      <c r="C4" s="969" t="s">
        <v>699</v>
      </c>
      <c r="D4" s="970" t="s">
        <v>700</v>
      </c>
      <c r="E4" s="971" t="s">
        <v>701</v>
      </c>
      <c r="F4" s="971" t="s">
        <v>702</v>
      </c>
      <c r="G4" s="972" t="s">
        <v>703</v>
      </c>
      <c r="H4" s="972" t="s">
        <v>703</v>
      </c>
      <c r="I4" s="972" t="s">
        <v>703</v>
      </c>
      <c r="J4" s="971" t="s">
        <v>704</v>
      </c>
      <c r="K4" s="972" t="s">
        <v>703</v>
      </c>
      <c r="L4" s="972" t="s">
        <v>703</v>
      </c>
      <c r="M4" s="972" t="s">
        <v>703</v>
      </c>
      <c r="N4" s="971" t="s">
        <v>705</v>
      </c>
      <c r="O4" s="973" t="s">
        <v>706</v>
      </c>
      <c r="P4" s="974" t="s">
        <v>707</v>
      </c>
      <c r="Q4" s="975"/>
    </row>
    <row r="5" spans="1:17" ht="150">
      <c r="A5" s="976" t="s">
        <v>149</v>
      </c>
      <c r="B5" s="977" t="s">
        <v>708</v>
      </c>
      <c r="C5" s="978" t="s">
        <v>709</v>
      </c>
      <c r="D5" s="978" t="s">
        <v>710</v>
      </c>
      <c r="E5" s="979" t="s">
        <v>711</v>
      </c>
      <c r="F5" s="979" t="s">
        <v>712</v>
      </c>
      <c r="G5" s="980" t="s">
        <v>703</v>
      </c>
      <c r="H5" s="980" t="s">
        <v>703</v>
      </c>
      <c r="I5" s="980" t="s">
        <v>703</v>
      </c>
      <c r="J5" s="979" t="s">
        <v>713</v>
      </c>
      <c r="K5" s="977" t="s">
        <v>714</v>
      </c>
      <c r="L5" s="980" t="s">
        <v>703</v>
      </c>
      <c r="M5" s="980" t="s">
        <v>703</v>
      </c>
      <c r="N5" s="979" t="s">
        <v>715</v>
      </c>
      <c r="O5" s="981" t="s">
        <v>706</v>
      </c>
      <c r="P5" s="982" t="s">
        <v>707</v>
      </c>
      <c r="Q5" s="983"/>
    </row>
    <row r="6" spans="1:17" ht="30">
      <c r="A6" s="976" t="s">
        <v>187</v>
      </c>
      <c r="B6" s="984" t="s">
        <v>716</v>
      </c>
      <c r="C6" s="985" t="s">
        <v>717</v>
      </c>
      <c r="D6" s="980" t="s">
        <v>717</v>
      </c>
      <c r="E6" s="980" t="s">
        <v>717</v>
      </c>
      <c r="F6" s="980" t="s">
        <v>717</v>
      </c>
      <c r="G6" s="980" t="s">
        <v>717</v>
      </c>
      <c r="H6" s="980" t="s">
        <v>717</v>
      </c>
      <c r="I6" s="980" t="s">
        <v>717</v>
      </c>
      <c r="J6" s="980" t="s">
        <v>717</v>
      </c>
      <c r="K6" s="980" t="s">
        <v>717</v>
      </c>
      <c r="L6" s="980" t="s">
        <v>717</v>
      </c>
      <c r="M6" s="980" t="s">
        <v>717</v>
      </c>
      <c r="N6" s="980" t="s">
        <v>717</v>
      </c>
      <c r="O6" s="986" t="s">
        <v>717</v>
      </c>
      <c r="P6" s="987" t="s">
        <v>717</v>
      </c>
      <c r="Q6" s="988"/>
    </row>
    <row r="7" spans="1:17" ht="150">
      <c r="A7" s="976" t="s">
        <v>105</v>
      </c>
      <c r="B7" s="984" t="s">
        <v>716</v>
      </c>
      <c r="C7" s="978" t="s">
        <v>709</v>
      </c>
      <c r="D7" s="978" t="s">
        <v>710</v>
      </c>
      <c r="E7" s="979" t="s">
        <v>711</v>
      </c>
      <c r="F7" s="979" t="s">
        <v>712</v>
      </c>
      <c r="G7" s="980" t="s">
        <v>703</v>
      </c>
      <c r="H7" s="980" t="s">
        <v>703</v>
      </c>
      <c r="I7" s="980" t="s">
        <v>703</v>
      </c>
      <c r="J7" s="979" t="s">
        <v>713</v>
      </c>
      <c r="K7" s="980" t="s">
        <v>703</v>
      </c>
      <c r="L7" s="980" t="s">
        <v>703</v>
      </c>
      <c r="M7" s="980" t="s">
        <v>703</v>
      </c>
      <c r="N7" s="989" t="s">
        <v>703</v>
      </c>
      <c r="O7" s="985" t="s">
        <v>703</v>
      </c>
      <c r="P7" s="990" t="s">
        <v>703</v>
      </c>
      <c r="Q7" s="983"/>
    </row>
    <row r="8" spans="1:17" ht="270">
      <c r="A8" s="976" t="s">
        <v>611</v>
      </c>
      <c r="B8" s="977" t="s">
        <v>718</v>
      </c>
      <c r="C8" s="978" t="s">
        <v>709</v>
      </c>
      <c r="D8" s="978" t="s">
        <v>710</v>
      </c>
      <c r="E8" s="979" t="s">
        <v>711</v>
      </c>
      <c r="F8" s="979" t="s">
        <v>712</v>
      </c>
      <c r="G8" s="980" t="s">
        <v>703</v>
      </c>
      <c r="H8" s="980" t="s">
        <v>703</v>
      </c>
      <c r="I8" s="980" t="s">
        <v>703</v>
      </c>
      <c r="J8" s="979" t="s">
        <v>713</v>
      </c>
      <c r="K8" s="977" t="s">
        <v>714</v>
      </c>
      <c r="L8" s="980" t="s">
        <v>703</v>
      </c>
      <c r="M8" s="980" t="s">
        <v>703</v>
      </c>
      <c r="N8" s="979" t="s">
        <v>715</v>
      </c>
      <c r="O8" s="981" t="s">
        <v>706</v>
      </c>
      <c r="P8" s="982" t="s">
        <v>707</v>
      </c>
      <c r="Q8" s="983"/>
    </row>
    <row r="9" spans="1:17" s="452" customFormat="1" ht="390">
      <c r="A9" s="991" t="s">
        <v>537</v>
      </c>
      <c r="B9" s="979" t="s">
        <v>719</v>
      </c>
      <c r="C9" s="986" t="s">
        <v>717</v>
      </c>
      <c r="D9" s="979" t="s">
        <v>720</v>
      </c>
      <c r="E9" s="979" t="s">
        <v>721</v>
      </c>
      <c r="F9" s="980" t="s">
        <v>717</v>
      </c>
      <c r="G9" s="979" t="s">
        <v>722</v>
      </c>
      <c r="H9" s="979" t="s">
        <v>723</v>
      </c>
      <c r="I9" s="980" t="s">
        <v>717</v>
      </c>
      <c r="J9" s="980" t="s">
        <v>717</v>
      </c>
      <c r="K9" s="980" t="s">
        <v>717</v>
      </c>
      <c r="L9" s="980" t="s">
        <v>717</v>
      </c>
      <c r="M9" s="979" t="s">
        <v>719</v>
      </c>
      <c r="N9" s="980" t="s">
        <v>717</v>
      </c>
      <c r="O9" s="980" t="s">
        <v>717</v>
      </c>
      <c r="P9" s="992" t="s">
        <v>717</v>
      </c>
      <c r="Q9" s="993"/>
    </row>
    <row r="10" spans="1:17" ht="360">
      <c r="A10" s="976" t="s">
        <v>527</v>
      </c>
      <c r="B10" s="977" t="s">
        <v>724</v>
      </c>
      <c r="C10" s="986" t="s">
        <v>717</v>
      </c>
      <c r="D10" s="986" t="s">
        <v>717</v>
      </c>
      <c r="E10" s="986" t="s">
        <v>717</v>
      </c>
      <c r="F10" s="980" t="s">
        <v>717</v>
      </c>
      <c r="G10" s="977" t="s">
        <v>725</v>
      </c>
      <c r="H10" s="980" t="s">
        <v>717</v>
      </c>
      <c r="I10" s="980" t="s">
        <v>717</v>
      </c>
      <c r="J10" s="980" t="s">
        <v>717</v>
      </c>
      <c r="K10" s="980" t="s">
        <v>717</v>
      </c>
      <c r="L10" s="980" t="s">
        <v>717</v>
      </c>
      <c r="M10" s="977" t="s">
        <v>726</v>
      </c>
      <c r="N10" s="980" t="s">
        <v>717</v>
      </c>
      <c r="O10" s="980" t="s">
        <v>717</v>
      </c>
      <c r="P10" s="992" t="s">
        <v>717</v>
      </c>
      <c r="Q10" s="983"/>
    </row>
    <row r="11" spans="1:17" ht="21">
      <c r="A11" s="976" t="s">
        <v>528</v>
      </c>
      <c r="B11" s="994" t="s">
        <v>727</v>
      </c>
      <c r="C11" s="994" t="s">
        <v>727</v>
      </c>
      <c r="D11" s="994" t="s">
        <v>727</v>
      </c>
      <c r="E11" s="994" t="s">
        <v>727</v>
      </c>
      <c r="F11" s="994" t="s">
        <v>727</v>
      </c>
      <c r="G11" s="994" t="s">
        <v>727</v>
      </c>
      <c r="H11" s="994" t="s">
        <v>727</v>
      </c>
      <c r="I11" s="994" t="s">
        <v>727</v>
      </c>
      <c r="J11" s="994" t="s">
        <v>727</v>
      </c>
      <c r="K11" s="994" t="s">
        <v>727</v>
      </c>
      <c r="L11" s="994" t="s">
        <v>727</v>
      </c>
      <c r="M11" s="994" t="s">
        <v>727</v>
      </c>
      <c r="N11" s="994" t="s">
        <v>727</v>
      </c>
      <c r="O11" s="994" t="s">
        <v>727</v>
      </c>
      <c r="P11" s="995" t="s">
        <v>727</v>
      </c>
      <c r="Q11" s="996"/>
    </row>
    <row r="12" spans="1:17" ht="21">
      <c r="A12" s="976" t="s">
        <v>529</v>
      </c>
      <c r="B12" s="994" t="s">
        <v>727</v>
      </c>
      <c r="C12" s="994" t="s">
        <v>717</v>
      </c>
      <c r="D12" s="994" t="s">
        <v>717</v>
      </c>
      <c r="E12" s="994" t="s">
        <v>717</v>
      </c>
      <c r="F12" s="994" t="s">
        <v>717</v>
      </c>
      <c r="G12" s="994" t="s">
        <v>717</v>
      </c>
      <c r="H12" s="994" t="s">
        <v>717</v>
      </c>
      <c r="I12" s="994" t="s">
        <v>717</v>
      </c>
      <c r="J12" s="994" t="s">
        <v>717</v>
      </c>
      <c r="K12" s="994" t="s">
        <v>717</v>
      </c>
      <c r="L12" s="994" t="s">
        <v>717</v>
      </c>
      <c r="M12" s="994" t="s">
        <v>717</v>
      </c>
      <c r="N12" s="994" t="s">
        <v>717</v>
      </c>
      <c r="O12" s="994" t="s">
        <v>717</v>
      </c>
      <c r="P12" s="997" t="s">
        <v>717</v>
      </c>
      <c r="Q12" s="448"/>
    </row>
    <row r="13" spans="1:17" ht="21">
      <c r="A13" s="976" t="s">
        <v>530</v>
      </c>
      <c r="B13" s="994" t="s">
        <v>727</v>
      </c>
      <c r="C13" s="994" t="s">
        <v>717</v>
      </c>
      <c r="D13" s="994" t="s">
        <v>727</v>
      </c>
      <c r="E13" s="994" t="s">
        <v>727</v>
      </c>
      <c r="F13" s="994" t="s">
        <v>717</v>
      </c>
      <c r="G13" s="994" t="s">
        <v>727</v>
      </c>
      <c r="H13" s="994" t="s">
        <v>727</v>
      </c>
      <c r="I13" s="994" t="s">
        <v>717</v>
      </c>
      <c r="J13" s="994" t="s">
        <v>717</v>
      </c>
      <c r="K13" s="994" t="s">
        <v>717</v>
      </c>
      <c r="L13" s="994" t="s">
        <v>717</v>
      </c>
      <c r="M13" s="994" t="s">
        <v>727</v>
      </c>
      <c r="N13" s="994" t="s">
        <v>717</v>
      </c>
      <c r="O13" s="994" t="s">
        <v>717</v>
      </c>
      <c r="P13" s="997" t="s">
        <v>717</v>
      </c>
      <c r="Q13" s="448"/>
    </row>
    <row r="14" spans="1:17" ht="30">
      <c r="A14" s="998" t="s">
        <v>728</v>
      </c>
      <c r="B14" s="984" t="s">
        <v>716</v>
      </c>
      <c r="C14" s="994" t="s">
        <v>717</v>
      </c>
      <c r="D14" s="984" t="s">
        <v>716</v>
      </c>
      <c r="E14" s="994" t="s">
        <v>717</v>
      </c>
      <c r="F14" s="994" t="s">
        <v>717</v>
      </c>
      <c r="G14" s="994" t="s">
        <v>717</v>
      </c>
      <c r="H14" s="994" t="s">
        <v>717</v>
      </c>
      <c r="I14" s="994" t="s">
        <v>717</v>
      </c>
      <c r="J14" s="994" t="s">
        <v>717</v>
      </c>
      <c r="K14" s="994" t="s">
        <v>717</v>
      </c>
      <c r="L14" s="994" t="s">
        <v>717</v>
      </c>
      <c r="M14" s="994" t="s">
        <v>717</v>
      </c>
      <c r="N14" s="994" t="s">
        <v>717</v>
      </c>
      <c r="O14" s="994" t="s">
        <v>717</v>
      </c>
      <c r="P14" s="995" t="s">
        <v>717</v>
      </c>
      <c r="Q14" s="999"/>
    </row>
    <row r="15" spans="1:17" s="458" customFormat="1" ht="21">
      <c r="A15" s="1000" t="s">
        <v>531</v>
      </c>
      <c r="B15" s="457"/>
      <c r="C15" s="457"/>
      <c r="D15" s="457"/>
      <c r="E15" s="457"/>
      <c r="F15" s="457"/>
      <c r="G15" s="457"/>
      <c r="H15" s="457"/>
      <c r="I15" s="457"/>
      <c r="J15" s="457"/>
      <c r="K15" s="457"/>
      <c r="L15" s="457"/>
      <c r="M15" s="1001"/>
      <c r="N15" s="457"/>
      <c r="O15" s="457"/>
      <c r="P15" s="1002"/>
      <c r="Q15" s="1003"/>
    </row>
    <row r="16" spans="1:17">
      <c r="M16" s="1004"/>
    </row>
    <row r="17" spans="1:4">
      <c r="B17" s="1005">
        <v>1</v>
      </c>
      <c r="C17" s="1006">
        <v>2</v>
      </c>
      <c r="D17" s="1007">
        <v>3</v>
      </c>
    </row>
    <row r="18" spans="1:4" ht="252">
      <c r="A18" s="1008" t="s">
        <v>729</v>
      </c>
      <c r="B18" s="1009" t="s">
        <v>730</v>
      </c>
      <c r="C18" s="1010" t="s">
        <v>731</v>
      </c>
      <c r="D18" s="1011" t="s">
        <v>732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3" t="s">
        <v>230</v>
      </c>
      <c r="B1" s="1192" t="s">
        <v>338</v>
      </c>
      <c r="C1" s="1192"/>
      <c r="D1" s="1194" t="s">
        <v>339</v>
      </c>
      <c r="E1" s="1194"/>
      <c r="F1" s="1194"/>
      <c r="G1" s="1194"/>
      <c r="H1" s="1194"/>
      <c r="I1" s="1194"/>
      <c r="J1" s="1194"/>
      <c r="K1" s="1194"/>
      <c r="L1" s="1194"/>
      <c r="M1" s="1194"/>
      <c r="N1" s="1194"/>
      <c r="O1" s="1194"/>
      <c r="P1" s="1192" t="s">
        <v>734</v>
      </c>
    </row>
    <row r="2" spans="1:16" ht="60">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c r="A4" s="1018" t="s">
        <v>238</v>
      </c>
      <c r="B4" s="1014">
        <f>'SEAP template'!B72</f>
        <v>0</v>
      </c>
      <c r="C4" s="1014"/>
      <c r="D4" s="1014"/>
      <c r="E4" s="1014"/>
      <c r="F4" s="1014"/>
      <c r="G4" s="1014"/>
      <c r="H4" s="1014"/>
      <c r="I4" s="1014"/>
      <c r="J4" s="1014"/>
      <c r="K4" s="1014"/>
      <c r="L4" s="1014"/>
      <c r="M4" s="1014"/>
      <c r="N4" s="1014"/>
      <c r="O4" s="1014"/>
      <c r="P4" s="1015">
        <f>'SEAP template'!Q72</f>
        <v>0</v>
      </c>
    </row>
    <row r="5" spans="1:16">
      <c r="A5" s="1019" t="s">
        <v>239</v>
      </c>
      <c r="B5" s="1014">
        <f>'SEAP template'!B73</f>
        <v>0</v>
      </c>
      <c r="C5" s="1014"/>
      <c r="D5" s="1014"/>
      <c r="E5" s="1014"/>
      <c r="F5" s="1014"/>
      <c r="G5" s="1014"/>
      <c r="H5" s="1014"/>
      <c r="I5" s="1014"/>
      <c r="J5" s="1014"/>
      <c r="K5" s="1014"/>
      <c r="L5" s="1014"/>
      <c r="M5" s="1014"/>
      <c r="N5" s="1014"/>
      <c r="O5" s="1014"/>
      <c r="P5" s="1015">
        <f>'SEAP template'!Q73</f>
        <v>0</v>
      </c>
    </row>
    <row r="6" spans="1:16">
      <c r="A6" s="1019" t="s">
        <v>240</v>
      </c>
      <c r="B6" s="1014">
        <f>'SEAP template'!B74</f>
        <v>4614.7525135461801</v>
      </c>
      <c r="C6" s="1014"/>
      <c r="D6" s="1014"/>
      <c r="E6" s="1014"/>
      <c r="F6" s="1014"/>
      <c r="G6" s="1014"/>
      <c r="H6" s="1014"/>
      <c r="I6" s="1014"/>
      <c r="J6" s="1014"/>
      <c r="K6" s="1014"/>
      <c r="L6" s="1014"/>
      <c r="M6" s="1014"/>
      <c r="N6" s="1014"/>
      <c r="O6" s="1014"/>
      <c r="P6" s="1015">
        <f>'SEAP template'!Q74</f>
        <v>0</v>
      </c>
    </row>
    <row r="7" spans="1:16">
      <c r="A7" s="1019" t="s">
        <v>693</v>
      </c>
      <c r="B7" s="1014">
        <f>'SEAP template'!B75</f>
        <v>0</v>
      </c>
      <c r="C7" s="1014"/>
      <c r="D7" s="1014"/>
      <c r="E7" s="1014"/>
      <c r="F7" s="1014"/>
      <c r="G7" s="1014"/>
      <c r="H7" s="1014"/>
      <c r="I7" s="1014"/>
      <c r="J7" s="1014"/>
      <c r="K7" s="1014"/>
      <c r="L7" s="1014"/>
      <c r="M7" s="1014"/>
      <c r="N7" s="1014"/>
      <c r="O7" s="1014"/>
      <c r="P7" s="1015">
        <f>'SEAP template'!Q75</f>
        <v>0</v>
      </c>
    </row>
    <row r="8" spans="1:16">
      <c r="A8" s="1018" t="s">
        <v>241</v>
      </c>
      <c r="B8" s="1014">
        <f>'SEAP template'!B76</f>
        <v>0</v>
      </c>
      <c r="C8" s="1014">
        <f>'SEAP template'!C76</f>
        <v>0</v>
      </c>
      <c r="D8" s="1014">
        <f>'SEAP template'!D76</f>
        <v>0</v>
      </c>
      <c r="E8" s="1014">
        <f>'SEAP template'!E76</f>
        <v>0</v>
      </c>
      <c r="F8" s="1014">
        <f>'SEAP template'!F76</f>
        <v>0</v>
      </c>
      <c r="G8" s="1014">
        <f>'SEAP template'!G76</f>
        <v>0</v>
      </c>
      <c r="H8" s="1014">
        <f>'SEAP template'!H76</f>
        <v>0</v>
      </c>
      <c r="I8" s="1014">
        <f>'SEAP template'!I76</f>
        <v>0</v>
      </c>
      <c r="J8" s="1014">
        <f>'SEAP template'!J76</f>
        <v>0</v>
      </c>
      <c r="K8" s="1014">
        <f>'SEAP template'!K76</f>
        <v>0</v>
      </c>
      <c r="L8" s="1014">
        <f>'SEAP template'!L76</f>
        <v>0</v>
      </c>
      <c r="M8" s="1014">
        <f>'SEAP template'!M76</f>
        <v>0</v>
      </c>
      <c r="N8" s="1014">
        <f>'SEAP template'!N76</f>
        <v>0</v>
      </c>
      <c r="O8" s="1014">
        <f>'SEAP template'!O76</f>
        <v>0</v>
      </c>
      <c r="P8" s="1015">
        <f>'SEAP template'!Q76</f>
        <v>0</v>
      </c>
    </row>
    <row r="9" spans="1:16">
      <c r="A9" s="1020" t="s">
        <v>737</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9" t="s">
        <v>109</v>
      </c>
      <c r="B10" s="1016">
        <f>SUM(B4:B9)</f>
        <v>4614.7525135461801</v>
      </c>
      <c r="C10" s="1016">
        <f>SUM(C4:C9)</f>
        <v>0</v>
      </c>
      <c r="D10" s="1016">
        <f t="shared" ref="D10:H10" si="0">SUM(D8:D9)</f>
        <v>0</v>
      </c>
      <c r="E10" s="1016">
        <f t="shared" si="0"/>
        <v>0</v>
      </c>
      <c r="F10" s="1016">
        <f t="shared" si="0"/>
        <v>0</v>
      </c>
      <c r="G10" s="1016">
        <f t="shared" si="0"/>
        <v>0</v>
      </c>
      <c r="H10" s="1016">
        <f t="shared" si="0"/>
        <v>0</v>
      </c>
      <c r="I10" s="1016">
        <f>SUM(I8:I9)</f>
        <v>0</v>
      </c>
      <c r="J10" s="1016">
        <f>SUM(J8:J9)</f>
        <v>0</v>
      </c>
      <c r="K10" s="1016">
        <f t="shared" ref="K10:L10" si="1">SUM(K8:K9)</f>
        <v>0</v>
      </c>
      <c r="L10" s="1016">
        <f t="shared" si="1"/>
        <v>0</v>
      </c>
      <c r="M10" s="1016">
        <f>SUM(M8:M9)</f>
        <v>0</v>
      </c>
      <c r="N10" s="1016">
        <f>SUM(N8:N9)</f>
        <v>0</v>
      </c>
      <c r="O10" s="1016">
        <f>SUM(O8:O9)</f>
        <v>0</v>
      </c>
      <c r="P10" s="1016">
        <f>SUM(P8:P9)</f>
        <v>0</v>
      </c>
    </row>
    <row r="11" spans="1:16">
      <c r="A11" s="888"/>
      <c r="B11" s="888"/>
      <c r="C11" s="888"/>
      <c r="D11" s="888"/>
      <c r="E11" s="888"/>
      <c r="F11" s="888"/>
      <c r="G11" s="888"/>
      <c r="H11" s="888"/>
      <c r="I11" s="888"/>
      <c r="J11" s="888"/>
      <c r="K11" s="888"/>
      <c r="L11" s="888"/>
      <c r="M11" s="888"/>
      <c r="N11" s="888"/>
      <c r="O11" s="888"/>
      <c r="P11" s="888"/>
    </row>
    <row r="12" spans="1:16">
      <c r="A12" s="459" t="s">
        <v>748</v>
      </c>
      <c r="B12" s="776" t="s">
        <v>747</v>
      </c>
      <c r="C12" s="776">
        <f ca="1">'EF ele_warmte'!B12</f>
        <v>0.1931502489224394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c r="A17" s="1021" t="s">
        <v>241</v>
      </c>
      <c r="B17" s="1017">
        <f>'SEAP template'!B87</f>
        <v>0</v>
      </c>
      <c r="C17" s="1017">
        <f>'SEAP template'!C87</f>
        <v>0</v>
      </c>
      <c r="D17" s="1015">
        <f>'SEAP template'!D87</f>
        <v>0</v>
      </c>
      <c r="E17" s="1015">
        <f>'SEAP template'!E87</f>
        <v>0</v>
      </c>
      <c r="F17" s="1015">
        <f>'SEAP template'!F87</f>
        <v>0</v>
      </c>
      <c r="G17" s="1015">
        <f>'SEAP template'!G87</f>
        <v>0</v>
      </c>
      <c r="H17" s="1015">
        <f>'SEAP template'!H87</f>
        <v>0</v>
      </c>
      <c r="I17" s="1015">
        <f>'SEAP template'!I87</f>
        <v>0</v>
      </c>
      <c r="J17" s="1015">
        <f>'SEAP template'!J87</f>
        <v>0</v>
      </c>
      <c r="K17" s="1015">
        <f>'SEAP template'!K87</f>
        <v>0</v>
      </c>
      <c r="L17" s="1015">
        <f>'SEAP template'!L87</f>
        <v>0</v>
      </c>
      <c r="M17" s="1015">
        <f>'SEAP template'!M87</f>
        <v>0</v>
      </c>
      <c r="N17" s="1015">
        <f>'SEAP template'!N87</f>
        <v>0</v>
      </c>
      <c r="O17" s="1015">
        <f>'SEAP template'!O87</f>
        <v>0</v>
      </c>
      <c r="P17" s="1015">
        <f>'SEAP template'!Q87</f>
        <v>0</v>
      </c>
    </row>
    <row r="18" spans="1:16">
      <c r="A18" s="1022" t="s">
        <v>247</v>
      </c>
      <c r="B18" s="1017">
        <f>'SEAP template'!B88</f>
        <v>0</v>
      </c>
      <c r="C18" s="1017">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20" t="s">
        <v>738</v>
      </c>
      <c r="B19" s="1017">
        <f>'SEAP template'!B89</f>
        <v>0</v>
      </c>
      <c r="C19" s="1017">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3" t="s">
        <v>109</v>
      </c>
      <c r="B20" s="1016">
        <f>SUM(B17:B19)</f>
        <v>0</v>
      </c>
      <c r="C20" s="1016">
        <f>SUM(C17:C19)</f>
        <v>0</v>
      </c>
      <c r="D20" s="1016">
        <f t="shared" ref="D20:H20" si="2">SUM(D17:D19)</f>
        <v>0</v>
      </c>
      <c r="E20" s="1016">
        <f t="shared" si="2"/>
        <v>0</v>
      </c>
      <c r="F20" s="1016">
        <f t="shared" si="2"/>
        <v>0</v>
      </c>
      <c r="G20" s="1016">
        <f t="shared" si="2"/>
        <v>0</v>
      </c>
      <c r="H20" s="1016">
        <f t="shared" si="2"/>
        <v>0</v>
      </c>
      <c r="I20" s="1016">
        <f>SUM(I17:I19)</f>
        <v>0</v>
      </c>
      <c r="J20" s="1016">
        <f>SUM(J17:J19)</f>
        <v>0</v>
      </c>
      <c r="K20" s="1016">
        <f t="shared" ref="K20:L20" si="3">SUM(K17:K19)</f>
        <v>0</v>
      </c>
      <c r="L20" s="1016">
        <f t="shared" si="3"/>
        <v>0</v>
      </c>
      <c r="M20" s="1016">
        <f>SUM(M17:M19)</f>
        <v>0</v>
      </c>
      <c r="N20" s="1016">
        <f>SUM(N17:N19)</f>
        <v>0</v>
      </c>
      <c r="O20" s="1016">
        <f>SUM(O17:O19)</f>
        <v>0</v>
      </c>
      <c r="P20" s="1016">
        <f>SUM(P17:P19)</f>
        <v>0</v>
      </c>
    </row>
    <row r="21" spans="1:16">
      <c r="B21" s="881"/>
    </row>
    <row r="22" spans="1:16">
      <c r="A22" s="459" t="s">
        <v>749</v>
      </c>
      <c r="B22" s="776" t="s">
        <v>747</v>
      </c>
      <c r="C22" s="776">
        <f ca="1">'EF ele_warmte'!B22</f>
        <v>0</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3" t="s">
        <v>230</v>
      </c>
      <c r="B1" s="1192" t="s">
        <v>338</v>
      </c>
      <c r="C1" s="1192"/>
      <c r="D1" s="1194" t="s">
        <v>339</v>
      </c>
      <c r="E1" s="1194"/>
      <c r="F1" s="1194"/>
      <c r="G1" s="1194"/>
      <c r="H1" s="1194"/>
      <c r="I1" s="1194"/>
      <c r="J1" s="1194"/>
      <c r="K1" s="1194"/>
      <c r="L1" s="1194"/>
      <c r="M1" s="1194"/>
      <c r="N1" s="1194"/>
      <c r="O1" s="1194"/>
      <c r="P1" s="1192" t="s">
        <v>734</v>
      </c>
    </row>
    <row r="2" spans="1:16" ht="15.75">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ht="110.25" customHeight="1">
      <c r="A4" s="1027" t="s">
        <v>238</v>
      </c>
      <c r="B4" s="1025" t="s">
        <v>756</v>
      </c>
      <c r="C4" s="1030" t="s">
        <v>717</v>
      </c>
      <c r="D4" s="1030" t="s">
        <v>717</v>
      </c>
      <c r="E4" s="1030" t="s">
        <v>717</v>
      </c>
      <c r="F4" s="1030" t="s">
        <v>717</v>
      </c>
      <c r="G4" s="1030" t="s">
        <v>717</v>
      </c>
      <c r="H4" s="1030" t="s">
        <v>717</v>
      </c>
      <c r="I4" s="1030" t="s">
        <v>717</v>
      </c>
      <c r="J4" s="1030" t="s">
        <v>717</v>
      </c>
      <c r="K4" s="1030" t="s">
        <v>717</v>
      </c>
      <c r="L4" s="1030" t="s">
        <v>717</v>
      </c>
      <c r="M4" s="1030" t="s">
        <v>717</v>
      </c>
      <c r="N4" s="1030" t="s">
        <v>717</v>
      </c>
      <c r="O4" s="1030" t="s">
        <v>717</v>
      </c>
      <c r="P4" s="1026" t="s">
        <v>750</v>
      </c>
    </row>
    <row r="5" spans="1:16" ht="135">
      <c r="A5" s="1028" t="s">
        <v>239</v>
      </c>
      <c r="B5" s="1025" t="s">
        <v>756</v>
      </c>
      <c r="C5" s="1030" t="s">
        <v>717</v>
      </c>
      <c r="D5" s="1030" t="s">
        <v>717</v>
      </c>
      <c r="E5" s="1030" t="s">
        <v>717</v>
      </c>
      <c r="F5" s="1030" t="s">
        <v>717</v>
      </c>
      <c r="G5" s="1030" t="s">
        <v>717</v>
      </c>
      <c r="H5" s="1030" t="s">
        <v>717</v>
      </c>
      <c r="I5" s="1030" t="s">
        <v>717</v>
      </c>
      <c r="J5" s="1030" t="s">
        <v>717</v>
      </c>
      <c r="K5" s="1030" t="s">
        <v>717</v>
      </c>
      <c r="L5" s="1030" t="s">
        <v>717</v>
      </c>
      <c r="M5" s="1030" t="s">
        <v>717</v>
      </c>
      <c r="N5" s="1030" t="s">
        <v>717</v>
      </c>
      <c r="O5" s="1030" t="s">
        <v>717</v>
      </c>
      <c r="P5" s="1026" t="s">
        <v>750</v>
      </c>
    </row>
    <row r="6" spans="1:16" ht="135">
      <c r="A6" s="1028" t="s">
        <v>240</v>
      </c>
      <c r="B6" s="1025" t="s">
        <v>756</v>
      </c>
      <c r="C6" s="1030" t="s">
        <v>717</v>
      </c>
      <c r="D6" s="1030" t="s">
        <v>717</v>
      </c>
      <c r="E6" s="1030" t="s">
        <v>717</v>
      </c>
      <c r="F6" s="1030" t="s">
        <v>717</v>
      </c>
      <c r="G6" s="1030" t="s">
        <v>717</v>
      </c>
      <c r="H6" s="1030" t="s">
        <v>717</v>
      </c>
      <c r="I6" s="1030" t="s">
        <v>717</v>
      </c>
      <c r="J6" s="1030" t="s">
        <v>717</v>
      </c>
      <c r="K6" s="1030" t="s">
        <v>717</v>
      </c>
      <c r="L6" s="1030" t="s">
        <v>717</v>
      </c>
      <c r="M6" s="1030" t="s">
        <v>717</v>
      </c>
      <c r="N6" s="1030" t="s">
        <v>717</v>
      </c>
      <c r="O6" s="1030" t="s">
        <v>717</v>
      </c>
      <c r="P6" s="1026" t="s">
        <v>750</v>
      </c>
    </row>
    <row r="7" spans="1:16" ht="135">
      <c r="A7" s="1028" t="s">
        <v>693</v>
      </c>
      <c r="B7" s="1030" t="s">
        <v>717</v>
      </c>
      <c r="C7" s="1030" t="s">
        <v>717</v>
      </c>
      <c r="D7" s="1030" t="s">
        <v>717</v>
      </c>
      <c r="E7" s="1030" t="s">
        <v>717</v>
      </c>
      <c r="F7" s="1030" t="s">
        <v>717</v>
      </c>
      <c r="G7" s="1030" t="s">
        <v>717</v>
      </c>
      <c r="H7" s="1030" t="s">
        <v>717</v>
      </c>
      <c r="I7" s="1030" t="s">
        <v>717</v>
      </c>
      <c r="J7" s="1030" t="s">
        <v>717</v>
      </c>
      <c r="K7" s="1030" t="s">
        <v>717</v>
      </c>
      <c r="L7" s="1030" t="s">
        <v>717</v>
      </c>
      <c r="M7" s="1030" t="s">
        <v>717</v>
      </c>
      <c r="N7" s="1030" t="s">
        <v>717</v>
      </c>
      <c r="O7" s="1030" t="s">
        <v>717</v>
      </c>
      <c r="P7" s="1026" t="s">
        <v>750</v>
      </c>
    </row>
    <row r="8" spans="1:16" ht="210">
      <c r="A8" s="1027" t="s">
        <v>241</v>
      </c>
      <c r="B8" s="1025" t="s">
        <v>751</v>
      </c>
      <c r="C8" s="1025" t="s">
        <v>751</v>
      </c>
      <c r="D8" s="1025" t="s">
        <v>751</v>
      </c>
      <c r="E8" s="1025" t="s">
        <v>751</v>
      </c>
      <c r="F8" s="1025" t="s">
        <v>751</v>
      </c>
      <c r="G8" s="1025" t="s">
        <v>751</v>
      </c>
      <c r="H8" s="1025" t="s">
        <v>751</v>
      </c>
      <c r="I8" s="1025" t="s">
        <v>751</v>
      </c>
      <c r="J8" s="1025" t="s">
        <v>751</v>
      </c>
      <c r="K8" s="1030" t="s">
        <v>717</v>
      </c>
      <c r="L8" s="1030" t="s">
        <v>717</v>
      </c>
      <c r="M8" s="1030" t="s">
        <v>717</v>
      </c>
      <c r="N8" s="1025" t="s">
        <v>752</v>
      </c>
      <c r="O8" s="1025" t="s">
        <v>752</v>
      </c>
      <c r="P8" s="1031"/>
    </row>
    <row r="9" spans="1:16" ht="210">
      <c r="A9" s="1029" t="s">
        <v>737</v>
      </c>
      <c r="B9" s="1025" t="s">
        <v>752</v>
      </c>
      <c r="C9" s="1025" t="s">
        <v>752</v>
      </c>
      <c r="D9" s="1025" t="s">
        <v>752</v>
      </c>
      <c r="E9" s="1025" t="s">
        <v>752</v>
      </c>
      <c r="F9" s="1025" t="s">
        <v>752</v>
      </c>
      <c r="G9" s="1025" t="s">
        <v>752</v>
      </c>
      <c r="H9" s="1025" t="s">
        <v>752</v>
      </c>
      <c r="I9" s="1025" t="s">
        <v>752</v>
      </c>
      <c r="J9" s="1025" t="s">
        <v>752</v>
      </c>
      <c r="K9" s="1030" t="s">
        <v>717</v>
      </c>
      <c r="L9" s="1025" t="s">
        <v>752</v>
      </c>
      <c r="M9" s="1025" t="s">
        <v>752</v>
      </c>
      <c r="N9" s="1025" t="s">
        <v>752</v>
      </c>
      <c r="O9" s="1025" t="s">
        <v>752</v>
      </c>
      <c r="P9" s="1031"/>
    </row>
    <row r="10" spans="1:16">
      <c r="A10" s="1028" t="s">
        <v>109</v>
      </c>
      <c r="B10" s="1032"/>
      <c r="C10" s="1032"/>
      <c r="D10" s="1032"/>
      <c r="E10" s="1032"/>
      <c r="F10" s="1032"/>
      <c r="G10" s="1032"/>
      <c r="H10" s="1032"/>
      <c r="I10" s="1032"/>
      <c r="J10" s="1032"/>
      <c r="K10" s="1032"/>
      <c r="L10" s="1032"/>
      <c r="M10" s="1032"/>
      <c r="N10" s="1032"/>
      <c r="O10" s="1032"/>
      <c r="P10" s="1032"/>
    </row>
    <row r="11" spans="1:16">
      <c r="A11" s="888"/>
      <c r="B11" s="888"/>
      <c r="C11" s="888"/>
      <c r="D11" s="888"/>
      <c r="E11" s="888"/>
      <c r="F11" s="888"/>
      <c r="G11" s="888"/>
      <c r="H11" s="888"/>
      <c r="I11" s="888"/>
      <c r="J11" s="888"/>
      <c r="K11" s="888"/>
      <c r="L11" s="888"/>
      <c r="M11" s="888"/>
      <c r="N11" s="888"/>
      <c r="O11" s="888"/>
      <c r="P11" s="888"/>
    </row>
    <row r="12" spans="1:16" ht="150">
      <c r="A12" s="459" t="s">
        <v>748</v>
      </c>
      <c r="B12" s="776" t="s">
        <v>747</v>
      </c>
      <c r="C12" s="1033" t="s">
        <v>753</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ht="210">
      <c r="A17" s="1021" t="s">
        <v>241</v>
      </c>
      <c r="B17" s="1025" t="s">
        <v>752</v>
      </c>
      <c r="C17" s="1025" t="s">
        <v>752</v>
      </c>
      <c r="D17" s="1025" t="s">
        <v>752</v>
      </c>
      <c r="E17" s="1025" t="s">
        <v>752</v>
      </c>
      <c r="F17" s="1025" t="s">
        <v>752</v>
      </c>
      <c r="G17" s="1025" t="s">
        <v>752</v>
      </c>
      <c r="H17" s="1025" t="s">
        <v>752</v>
      </c>
      <c r="I17" s="1025" t="s">
        <v>752</v>
      </c>
      <c r="J17" s="1025" t="s">
        <v>752</v>
      </c>
      <c r="K17" s="1030" t="s">
        <v>717</v>
      </c>
      <c r="L17" s="1030" t="s">
        <v>717</v>
      </c>
      <c r="M17" s="1030" t="s">
        <v>717</v>
      </c>
      <c r="N17" s="1025" t="s">
        <v>752</v>
      </c>
      <c r="O17" s="1025" t="s">
        <v>752</v>
      </c>
      <c r="P17" s="1024"/>
    </row>
    <row r="18" spans="1:16" ht="45">
      <c r="A18" s="1022" t="s">
        <v>247</v>
      </c>
      <c r="B18" s="1026" t="s">
        <v>727</v>
      </c>
      <c r="C18" s="1026" t="s">
        <v>727</v>
      </c>
      <c r="D18" s="1026" t="s">
        <v>727</v>
      </c>
      <c r="E18" s="1026" t="s">
        <v>727</v>
      </c>
      <c r="F18" s="1026" t="s">
        <v>727</v>
      </c>
      <c r="G18" s="1026" t="s">
        <v>727</v>
      </c>
      <c r="H18" s="1026" t="s">
        <v>727</v>
      </c>
      <c r="I18" s="1026" t="s">
        <v>727</v>
      </c>
      <c r="J18" s="1026" t="s">
        <v>727</v>
      </c>
      <c r="K18" s="1026" t="s">
        <v>727</v>
      </c>
      <c r="L18" s="1026" t="s">
        <v>727</v>
      </c>
      <c r="M18" s="1026" t="s">
        <v>727</v>
      </c>
      <c r="N18" s="1026" t="s">
        <v>727</v>
      </c>
      <c r="O18" s="1026" t="s">
        <v>727</v>
      </c>
      <c r="P18" s="1026" t="s">
        <v>727</v>
      </c>
    </row>
    <row r="19" spans="1:16" ht="45">
      <c r="A19" s="1020" t="s">
        <v>738</v>
      </c>
      <c r="B19" s="1026" t="s">
        <v>727</v>
      </c>
      <c r="C19" s="1026" t="s">
        <v>727</v>
      </c>
      <c r="D19" s="1026" t="s">
        <v>727</v>
      </c>
      <c r="E19" s="1026" t="s">
        <v>727</v>
      </c>
      <c r="F19" s="1026" t="s">
        <v>727</v>
      </c>
      <c r="G19" s="1026" t="s">
        <v>727</v>
      </c>
      <c r="H19" s="1026" t="s">
        <v>727</v>
      </c>
      <c r="I19" s="1026" t="s">
        <v>727</v>
      </c>
      <c r="J19" s="1026" t="s">
        <v>727</v>
      </c>
      <c r="K19" s="1026" t="s">
        <v>727</v>
      </c>
      <c r="L19" s="1026" t="s">
        <v>727</v>
      </c>
      <c r="M19" s="1026" t="s">
        <v>727</v>
      </c>
      <c r="N19" s="1026" t="s">
        <v>727</v>
      </c>
      <c r="O19" s="1026" t="s">
        <v>727</v>
      </c>
      <c r="P19" s="1026" t="s">
        <v>727</v>
      </c>
    </row>
    <row r="20" spans="1:16">
      <c r="A20" s="1023" t="s">
        <v>109</v>
      </c>
      <c r="B20" s="1016"/>
      <c r="C20" s="1016"/>
      <c r="D20" s="1016"/>
      <c r="E20" s="1016"/>
      <c r="F20" s="1016"/>
      <c r="G20" s="1016"/>
      <c r="H20" s="1016"/>
      <c r="I20" s="1016"/>
      <c r="J20" s="1016"/>
      <c r="K20" s="1016"/>
      <c r="L20" s="1016"/>
      <c r="M20" s="1016"/>
      <c r="N20" s="1016"/>
      <c r="O20" s="1016"/>
      <c r="P20" s="1016"/>
    </row>
    <row r="21" spans="1:16">
      <c r="A21" s="881"/>
      <c r="B21" s="881"/>
      <c r="C21" s="881"/>
      <c r="D21" s="881"/>
      <c r="E21" s="881"/>
      <c r="F21" s="881"/>
      <c r="G21" s="881"/>
      <c r="H21" s="881"/>
      <c r="I21" s="881"/>
      <c r="J21" s="881"/>
      <c r="K21" s="881"/>
      <c r="L21" s="881"/>
      <c r="M21" s="881"/>
      <c r="N21" s="881"/>
      <c r="O21" s="881"/>
      <c r="P21" s="881"/>
    </row>
    <row r="22" spans="1:16" ht="90">
      <c r="A22" s="459" t="s">
        <v>749</v>
      </c>
      <c r="B22" s="776" t="s">
        <v>747</v>
      </c>
      <c r="C22" s="1033" t="s">
        <v>754</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367</v>
      </c>
      <c r="B2" s="110"/>
      <c r="C2" s="111"/>
    </row>
    <row r="3" spans="1:3" s="15" customFormat="1" ht="15.75">
      <c r="A3" s="98"/>
      <c r="B3" s="70"/>
      <c r="C3" s="99"/>
    </row>
    <row r="4" spans="1:3">
      <c r="A4" s="95" t="s">
        <v>350</v>
      </c>
      <c r="B4" s="69" t="s">
        <v>362</v>
      </c>
      <c r="C4" s="100" t="s">
        <v>361</v>
      </c>
    </row>
    <row r="5" spans="1:3">
      <c r="A5" s="112"/>
      <c r="B5" s="43"/>
      <c r="C5" s="96"/>
    </row>
    <row r="6" spans="1:3" ht="30">
      <c r="A6" s="113" t="s">
        <v>554</v>
      </c>
      <c r="B6" s="75" t="s">
        <v>555</v>
      </c>
      <c r="C6" s="429" t="s">
        <v>538</v>
      </c>
    </row>
    <row r="7" spans="1:3">
      <c r="A7" s="125"/>
      <c r="B7" s="129"/>
      <c r="C7" s="122"/>
    </row>
    <row r="8" spans="1:3">
      <c r="A8" s="113" t="s">
        <v>557</v>
      </c>
      <c r="B8" s="75" t="s">
        <v>556</v>
      </c>
      <c r="C8" s="429" t="s">
        <v>371</v>
      </c>
    </row>
    <row r="9" spans="1:3">
      <c r="A9" s="125"/>
      <c r="B9" s="129"/>
      <c r="C9" s="122"/>
    </row>
    <row r="10" spans="1:3">
      <c r="A10" s="113" t="s">
        <v>316</v>
      </c>
      <c r="B10" s="75" t="s">
        <v>369</v>
      </c>
      <c r="C10" s="114" t="s">
        <v>371</v>
      </c>
    </row>
    <row r="11" spans="1:3">
      <c r="A11" s="125"/>
      <c r="B11" s="129"/>
      <c r="C11" s="122"/>
    </row>
    <row r="12" spans="1:3" ht="30">
      <c r="A12" s="113" t="s">
        <v>387</v>
      </c>
      <c r="B12" s="75" t="s">
        <v>498</v>
      </c>
      <c r="C12" s="308" t="s">
        <v>591</v>
      </c>
    </row>
    <row r="13" spans="1:3">
      <c r="A13" s="140"/>
      <c r="B13" s="124"/>
      <c r="C13" s="296"/>
    </row>
    <row r="14" spans="1:3" s="11" customFormat="1">
      <c r="A14" s="113" t="s">
        <v>574</v>
      </c>
      <c r="B14" s="130" t="s">
        <v>575</v>
      </c>
      <c r="C14" s="131" t="s">
        <v>576</v>
      </c>
    </row>
    <row r="15" spans="1:3" s="11" customFormat="1">
      <c r="A15" s="140"/>
      <c r="B15" s="158"/>
      <c r="C15" s="159"/>
    </row>
    <row r="16" spans="1:3" ht="21">
      <c r="A16" s="126" t="s">
        <v>449</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55.1406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76" t="s">
        <v>586</v>
      </c>
      <c r="B4" s="462"/>
      <c r="C4" s="462"/>
      <c r="D4" s="462"/>
      <c r="E4" s="462"/>
      <c r="F4" s="462"/>
      <c r="G4" s="494"/>
      <c r="H4" s="494"/>
      <c r="I4" s="462"/>
      <c r="J4" s="462"/>
      <c r="K4" s="462"/>
      <c r="L4" s="462"/>
      <c r="M4" s="462"/>
      <c r="N4" s="462"/>
      <c r="O4" s="462"/>
      <c r="P4" s="462"/>
    </row>
    <row r="5" spans="1:16" outlineLevel="1">
      <c r="A5" s="676" t="s">
        <v>587</v>
      </c>
      <c r="B5" s="462"/>
      <c r="C5" s="462"/>
      <c r="D5" s="462"/>
      <c r="E5" s="462"/>
      <c r="F5" s="462"/>
      <c r="G5" s="494"/>
      <c r="H5" s="494"/>
      <c r="I5" s="462"/>
      <c r="J5" s="462"/>
      <c r="K5" s="462"/>
      <c r="L5" s="462"/>
      <c r="M5" s="462"/>
      <c r="N5" s="462"/>
      <c r="O5" s="462"/>
      <c r="P5" s="462"/>
    </row>
    <row r="6" spans="1:16" outlineLevel="1">
      <c r="A6" s="676" t="s">
        <v>588</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7" t="s">
        <v>589</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590</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552</v>
      </c>
      <c r="B13" s="447"/>
      <c r="C13" s="466"/>
      <c r="D13" s="466"/>
      <c r="E13" s="466"/>
      <c r="F13" s="466"/>
      <c r="G13" s="466"/>
      <c r="H13" s="466"/>
      <c r="I13" s="466"/>
      <c r="J13" s="466"/>
      <c r="K13" s="466"/>
      <c r="L13" s="466"/>
      <c r="M13" s="466"/>
      <c r="N13" s="466"/>
      <c r="O13" s="777" t="s">
        <v>607</v>
      </c>
      <c r="P13" s="777" t="s">
        <v>606</v>
      </c>
    </row>
    <row r="14" spans="1:16" outlineLevel="1"/>
    <row r="15" spans="1:16" s="458"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0.1931502489224394</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462</v>
      </c>
      <c r="B22" s="475"/>
      <c r="C22" s="476"/>
      <c r="D22" s="477"/>
      <c r="E22" s="478"/>
    </row>
    <row r="23" spans="1:16" s="48" customFormat="1" ht="15" customHeight="1" outlineLevel="1">
      <c r="A23" s="479"/>
      <c r="B23" s="480"/>
      <c r="C23" s="481" t="s">
        <v>364</v>
      </c>
      <c r="D23" s="481" t="s">
        <v>175</v>
      </c>
      <c r="E23" s="482"/>
    </row>
    <row r="24" spans="1:16" s="447" customFormat="1" ht="15" customHeight="1" outlineLevel="1">
      <c r="A24" s="483" t="s">
        <v>255</v>
      </c>
      <c r="B24" s="47">
        <f>EigenZB</f>
        <v>1</v>
      </c>
      <c r="C24" s="484"/>
      <c r="D24" s="886" t="s">
        <v>627</v>
      </c>
      <c r="E24" s="448"/>
    </row>
    <row r="25" spans="1:16" s="447" customFormat="1" outlineLevel="1">
      <c r="A25" s="483" t="s">
        <v>429</v>
      </c>
      <c r="B25" s="309">
        <v>13.15681996793146</v>
      </c>
      <c r="C25" s="43"/>
      <c r="D25" s="303" t="s">
        <v>765</v>
      </c>
      <c r="E25" s="461"/>
    </row>
    <row r="26" spans="1:16" s="447" customFormat="1" outlineLevel="1">
      <c r="A26" s="781" t="s">
        <v>430</v>
      </c>
      <c r="B26" s="314">
        <f>1.34/3.6</f>
        <v>0.37222222222222223</v>
      </c>
      <c r="C26" s="43" t="s">
        <v>208</v>
      </c>
      <c r="D26" s="303" t="s">
        <v>766</v>
      </c>
      <c r="E26" s="461"/>
    </row>
    <row r="27" spans="1:16" s="447" customFormat="1" outlineLevel="1">
      <c r="A27" s="486" t="s">
        <v>598</v>
      </c>
      <c r="B27" s="783">
        <f>B24*B25*B26</f>
        <v>4.8972607658411542</v>
      </c>
      <c r="C27" s="487" t="s">
        <v>599</v>
      </c>
      <c r="D27" s="488"/>
      <c r="E27" s="489"/>
    </row>
    <row r="28" spans="1:16" s="447" customFormat="1" outlineLevel="1">
      <c r="A28" s="48"/>
      <c r="B28" s="48"/>
      <c r="C28" s="490"/>
      <c r="D28" s="484"/>
    </row>
    <row r="29" spans="1:16" s="447" customFormat="1" outlineLevel="1">
      <c r="A29" s="491" t="s">
        <v>463</v>
      </c>
      <c r="B29" s="475"/>
      <c r="C29" s="476"/>
      <c r="D29" s="477"/>
      <c r="E29" s="478"/>
    </row>
    <row r="30" spans="1:16" s="48" customFormat="1" outlineLevel="1">
      <c r="A30" s="492"/>
      <c r="B30" s="480"/>
      <c r="C30" s="481" t="s">
        <v>364</v>
      </c>
      <c r="D30" s="481" t="s">
        <v>175</v>
      </c>
      <c r="E30" s="482"/>
    </row>
    <row r="31" spans="1:16" s="447" customFormat="1" outlineLevel="1">
      <c r="A31" s="483" t="s">
        <v>428</v>
      </c>
      <c r="B31" s="47">
        <f>EigenWP</f>
        <v>0</v>
      </c>
      <c r="C31" s="484"/>
      <c r="D31" s="886" t="s">
        <v>627</v>
      </c>
      <c r="E31" s="448"/>
    </row>
    <row r="32" spans="1:16" s="447" customFormat="1" outlineLevel="1">
      <c r="A32" s="483" t="s">
        <v>426</v>
      </c>
      <c r="B32" s="48">
        <v>37.963784638354454</v>
      </c>
      <c r="C32" s="490" t="s">
        <v>252</v>
      </c>
      <c r="D32" s="485" t="s">
        <v>765</v>
      </c>
      <c r="E32" s="448"/>
    </row>
    <row r="33" spans="1:5" s="447" customFormat="1" outlineLevel="1">
      <c r="A33" s="483" t="s">
        <v>427</v>
      </c>
      <c r="B33" s="48">
        <v>1887.1743212997605</v>
      </c>
      <c r="C33" s="490" t="s">
        <v>254</v>
      </c>
      <c r="D33" s="485" t="s">
        <v>765</v>
      </c>
      <c r="E33" s="448"/>
    </row>
    <row r="34" spans="1:5" s="447" customFormat="1" outlineLevel="1">
      <c r="A34" s="781" t="s">
        <v>366</v>
      </c>
      <c r="B34" s="48">
        <v>3.75</v>
      </c>
      <c r="C34" s="490"/>
      <c r="D34" s="485" t="s">
        <v>766</v>
      </c>
      <c r="E34" s="448"/>
    </row>
    <row r="35" spans="1:5" s="447" customFormat="1" outlineLevel="1">
      <c r="A35" s="486" t="s">
        <v>598</v>
      </c>
      <c r="B35" s="782">
        <f>B31*B32*B33/1000-B31*B32*B33/1000/B34</f>
        <v>0</v>
      </c>
      <c r="C35" s="493" t="s">
        <v>599</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7"/>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552</v>
      </c>
      <c r="B13" s="447"/>
      <c r="C13" s="466"/>
      <c r="D13" s="466"/>
      <c r="E13" s="466"/>
      <c r="F13" s="466"/>
      <c r="G13" s="466"/>
      <c r="H13" s="466"/>
      <c r="I13" s="466"/>
      <c r="J13" s="466"/>
      <c r="K13" s="466"/>
      <c r="L13" s="466"/>
      <c r="M13" s="466"/>
      <c r="N13" s="466"/>
      <c r="O13" s="1203"/>
      <c r="P13" s="1203"/>
    </row>
    <row r="14" spans="1:16" outlineLevel="1">
      <c r="A14" s="464"/>
      <c r="B14" s="52"/>
      <c r="C14" s="494"/>
      <c r="D14" s="494"/>
      <c r="E14" s="494"/>
      <c r="F14" s="494"/>
      <c r="G14" s="494"/>
      <c r="H14" s="494"/>
      <c r="I14" s="494"/>
      <c r="J14" s="494"/>
      <c r="K14" s="494"/>
      <c r="L14" s="494"/>
      <c r="M14" s="494"/>
      <c r="N14" s="494"/>
      <c r="O14" s="494"/>
      <c r="P14" s="494"/>
    </row>
    <row r="15" spans="1:16" s="458"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0.1931502489224394</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4" t="s">
        <v>316</v>
      </c>
      <c r="B1" s="1197" t="s">
        <v>188</v>
      </c>
      <c r="C1" s="1198"/>
      <c r="D1" s="1198"/>
      <c r="E1" s="1198"/>
      <c r="F1" s="1198"/>
      <c r="G1" s="1198"/>
      <c r="H1" s="1198"/>
      <c r="I1" s="1198"/>
      <c r="J1" s="1198"/>
      <c r="K1" s="1198"/>
      <c r="L1" s="1198"/>
      <c r="M1" s="1198"/>
      <c r="N1" s="1198"/>
      <c r="O1" s="1198"/>
      <c r="P1" s="1198"/>
    </row>
    <row r="2" spans="1:16" ht="15" customHeight="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8"/>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552</v>
      </c>
    </row>
    <row r="26" spans="1:16" s="458" customFormat="1">
      <c r="A26" s="467" t="s">
        <v>502</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8" customFormat="1">
      <c r="A27" s="467" t="s">
        <v>570</v>
      </c>
      <c r="B27" s="467">
        <f>B26</f>
        <v>0</v>
      </c>
      <c r="C27" s="467"/>
      <c r="D27" s="467">
        <f>D26</f>
        <v>0</v>
      </c>
      <c r="E27" s="467">
        <f>E26</f>
        <v>0</v>
      </c>
      <c r="F27" s="467"/>
      <c r="G27" s="467">
        <f>(1-transport!C35)*'Eigen vloot'!G26</f>
        <v>0</v>
      </c>
      <c r="H27" s="467">
        <f>(1-transport!C42)*'Eigen vloot'!H26</f>
        <v>0</v>
      </c>
      <c r="I27" s="467"/>
      <c r="J27" s="467"/>
      <c r="K27" s="467"/>
      <c r="L27" s="467"/>
      <c r="M27" s="678">
        <f>G26*transport!C35+'Eigen vloot'!H26*transport!C42</f>
        <v>0</v>
      </c>
      <c r="N27" s="467"/>
      <c r="O27" s="467"/>
      <c r="P27" s="467"/>
    </row>
    <row r="29" spans="1:16">
      <c r="A29" s="472" t="s">
        <v>579</v>
      </c>
      <c r="B29" s="497">
        <f ca="1">'EF ele_warmte'!B12</f>
        <v>0.1931502489224394</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1" t="s">
        <v>499</v>
      </c>
      <c r="B2" s="498"/>
      <c r="C2" s="182"/>
      <c r="D2" s="183"/>
    </row>
    <row r="3" spans="1:11">
      <c r="A3" s="101"/>
      <c r="B3" s="499"/>
      <c r="C3" s="141" t="s">
        <v>175</v>
      </c>
      <c r="D3" s="144" t="s">
        <v>375</v>
      </c>
    </row>
    <row r="4" spans="1:11">
      <c r="A4" s="44" t="s">
        <v>420</v>
      </c>
      <c r="B4" s="47"/>
      <c r="C4" s="32"/>
      <c r="D4" s="143" t="s">
        <v>377</v>
      </c>
    </row>
    <row r="5" spans="1:11">
      <c r="A5" s="44"/>
      <c r="B5" s="48"/>
      <c r="C5" s="32"/>
      <c r="D5" s="143"/>
    </row>
    <row r="6" spans="1:11" s="10" customFormat="1" ht="21.75" thickBot="1">
      <c r="A6" s="186" t="s">
        <v>453</v>
      </c>
      <c r="B6" s="500"/>
      <c r="C6" s="187"/>
      <c r="D6" s="188"/>
    </row>
    <row r="7" spans="1:11" s="43" customFormat="1" ht="15.75" thickBot="1">
      <c r="B7" s="447"/>
    </row>
    <row r="8" spans="1:11" s="43" customFormat="1">
      <c r="A8" s="181" t="s">
        <v>512</v>
      </c>
      <c r="B8" s="498"/>
      <c r="C8" s="182"/>
      <c r="D8" s="183"/>
    </row>
    <row r="9" spans="1:11" s="32" customFormat="1">
      <c r="A9" s="46"/>
      <c r="B9" s="501"/>
      <c r="C9" s="42"/>
      <c r="D9" s="297"/>
    </row>
    <row r="10" spans="1:11">
      <c r="A10" s="298" t="s">
        <v>540</v>
      </c>
      <c r="B10" s="499"/>
      <c r="C10" s="141" t="s">
        <v>175</v>
      </c>
      <c r="D10" s="144" t="s">
        <v>375</v>
      </c>
      <c r="I10" s="1204"/>
      <c r="K10" s="58"/>
    </row>
    <row r="11" spans="1:11" s="43" customFormat="1">
      <c r="A11" s="44" t="s">
        <v>541</v>
      </c>
      <c r="B11" s="47"/>
      <c r="D11" s="142" t="s">
        <v>376</v>
      </c>
      <c r="I11" s="1204"/>
      <c r="K11" s="58"/>
    </row>
    <row r="12" spans="1:11" s="43" customFormat="1">
      <c r="A12" s="44" t="s">
        <v>542</v>
      </c>
      <c r="B12" s="47"/>
      <c r="D12" s="142" t="s">
        <v>376</v>
      </c>
      <c r="I12" s="1204"/>
      <c r="K12" s="58"/>
    </row>
    <row r="13" spans="1:11" s="43" customFormat="1">
      <c r="A13" s="44"/>
      <c r="B13" s="447"/>
      <c r="D13" s="96"/>
      <c r="I13" s="1204"/>
    </row>
    <row r="14" spans="1:11" s="43" customFormat="1">
      <c r="A14" s="298" t="s">
        <v>539</v>
      </c>
      <c r="B14" s="499"/>
      <c r="C14" s="141" t="s">
        <v>175</v>
      </c>
      <c r="D14" s="144" t="s">
        <v>375</v>
      </c>
      <c r="I14" s="1204"/>
    </row>
    <row r="15" spans="1:11" s="43" customFormat="1">
      <c r="A15" s="44" t="s">
        <v>70</v>
      </c>
      <c r="B15" s="47"/>
      <c r="D15" s="142" t="s">
        <v>376</v>
      </c>
      <c r="I15" s="1204"/>
      <c r="J15" s="1204"/>
    </row>
    <row r="16" spans="1:11" s="43" customFormat="1">
      <c r="A16" s="44" t="s">
        <v>504</v>
      </c>
      <c r="B16" s="47"/>
      <c r="D16" s="142" t="s">
        <v>376</v>
      </c>
      <c r="I16" s="1204"/>
      <c r="J16" s="1204"/>
    </row>
    <row r="17" spans="1:11" s="43" customFormat="1">
      <c r="A17" s="44" t="s">
        <v>77</v>
      </c>
      <c r="B17" s="47"/>
      <c r="D17" s="142" t="s">
        <v>376</v>
      </c>
      <c r="I17" s="1204"/>
      <c r="J17" s="1204"/>
    </row>
    <row r="18" spans="1:11" s="43" customFormat="1">
      <c r="A18" s="44" t="s">
        <v>505</v>
      </c>
      <c r="B18" s="47"/>
      <c r="D18" s="142" t="s">
        <v>376</v>
      </c>
      <c r="I18" s="1204"/>
      <c r="J18" s="1204"/>
      <c r="K18" s="58"/>
    </row>
    <row r="19" spans="1:11" s="43" customFormat="1">
      <c r="A19" s="44" t="s">
        <v>76</v>
      </c>
      <c r="B19" s="47"/>
      <c r="D19" s="142" t="s">
        <v>376</v>
      </c>
      <c r="I19" s="1204"/>
      <c r="J19" s="1205"/>
      <c r="K19" s="58"/>
    </row>
    <row r="20" spans="1:11" s="43" customFormat="1">
      <c r="A20" s="32" t="s">
        <v>506</v>
      </c>
      <c r="B20" s="47"/>
      <c r="D20" s="142" t="s">
        <v>376</v>
      </c>
      <c r="I20" s="299"/>
      <c r="J20" s="300"/>
      <c r="K20" s="58"/>
    </row>
    <row r="21" spans="1:11" s="43" customFormat="1">
      <c r="A21" s="32" t="s">
        <v>507</v>
      </c>
      <c r="B21" s="47"/>
      <c r="D21" s="142" t="s">
        <v>376</v>
      </c>
      <c r="I21" s="299"/>
      <c r="J21" s="300"/>
      <c r="K21" s="58"/>
    </row>
    <row r="22" spans="1:11" s="43" customFormat="1">
      <c r="A22" s="32" t="s">
        <v>508</v>
      </c>
      <c r="B22" s="47"/>
      <c r="D22" s="142" t="s">
        <v>376</v>
      </c>
      <c r="I22" s="299"/>
      <c r="J22" s="300"/>
      <c r="K22" s="58"/>
    </row>
    <row r="23" spans="1:11">
      <c r="A23" s="32" t="s">
        <v>509</v>
      </c>
      <c r="B23" s="47"/>
      <c r="C23" s="43"/>
      <c r="D23" s="142" t="s">
        <v>376</v>
      </c>
      <c r="I23" s="58"/>
      <c r="J23" s="58"/>
      <c r="K23" s="58"/>
    </row>
    <row r="24" spans="1:11">
      <c r="A24" s="32" t="s">
        <v>510</v>
      </c>
      <c r="B24" s="47"/>
      <c r="C24" s="43"/>
      <c r="D24" s="142" t="s">
        <v>376</v>
      </c>
      <c r="I24" s="58"/>
      <c r="J24" s="58"/>
      <c r="K24" s="58"/>
    </row>
    <row r="25" spans="1:11">
      <c r="A25" s="58"/>
      <c r="B25" s="48"/>
      <c r="C25" s="43"/>
      <c r="D25" s="142"/>
      <c r="I25" s="58"/>
      <c r="J25" s="58"/>
      <c r="K25" s="58"/>
    </row>
    <row r="26" spans="1:11" ht="21.75" thickBot="1">
      <c r="A26" s="186" t="s">
        <v>550</v>
      </c>
      <c r="B26" s="502"/>
      <c r="C26" s="108"/>
      <c r="D26" s="109"/>
      <c r="I26" s="58"/>
      <c r="J26" s="58"/>
      <c r="K26" s="58"/>
    </row>
    <row r="28" spans="1:11" ht="15.75" thickBot="1"/>
    <row r="29" spans="1:11" s="43" customFormat="1">
      <c r="A29" s="181" t="s">
        <v>500</v>
      </c>
      <c r="B29" s="498"/>
      <c r="C29" s="182"/>
      <c r="D29" s="183"/>
    </row>
    <row r="30" spans="1:11" s="32" customFormat="1">
      <c r="A30" s="46"/>
      <c r="B30" s="501"/>
      <c r="C30" s="42"/>
      <c r="D30" s="297"/>
    </row>
    <row r="31" spans="1:11">
      <c r="A31" s="298" t="s">
        <v>540</v>
      </c>
      <c r="B31" s="499"/>
      <c r="C31" s="141" t="s">
        <v>175</v>
      </c>
      <c r="D31" s="144" t="s">
        <v>375</v>
      </c>
    </row>
    <row r="32" spans="1:11">
      <c r="A32" s="436" t="s">
        <v>541</v>
      </c>
      <c r="B32" s="47"/>
      <c r="C32" s="48"/>
      <c r="D32" s="142" t="s">
        <v>376</v>
      </c>
    </row>
    <row r="33" spans="1:11">
      <c r="A33" s="44"/>
      <c r="B33" s="48"/>
      <c r="C33" s="48"/>
      <c r="D33" s="142"/>
    </row>
    <row r="34" spans="1:11" s="43" customFormat="1">
      <c r="A34" s="298" t="s">
        <v>539</v>
      </c>
      <c r="B34" s="499"/>
      <c r="C34" s="141" t="s">
        <v>175</v>
      </c>
      <c r="D34" s="144" t="s">
        <v>375</v>
      </c>
      <c r="I34"/>
    </row>
    <row r="35" spans="1:11" s="43" customFormat="1">
      <c r="A35" s="435" t="s">
        <v>70</v>
      </c>
      <c r="B35" s="47"/>
      <c r="D35" s="142" t="s">
        <v>376</v>
      </c>
      <c r="I35" s="1204"/>
      <c r="J35" s="1204"/>
    </row>
    <row r="36" spans="1:11" s="43" customFormat="1">
      <c r="A36" s="435" t="s">
        <v>504</v>
      </c>
      <c r="B36" s="47"/>
      <c r="D36" s="142" t="s">
        <v>376</v>
      </c>
      <c r="I36" s="1204"/>
      <c r="J36" s="1204"/>
    </row>
    <row r="37" spans="1:11" s="43" customFormat="1">
      <c r="A37" s="435" t="s">
        <v>77</v>
      </c>
      <c r="B37" s="47"/>
      <c r="D37" s="142" t="s">
        <v>376</v>
      </c>
      <c r="I37" s="1204"/>
      <c r="J37" s="1204"/>
    </row>
    <row r="38" spans="1:11" s="43" customFormat="1">
      <c r="A38" s="435" t="s">
        <v>505</v>
      </c>
      <c r="B38" s="47"/>
      <c r="D38" s="142" t="s">
        <v>376</v>
      </c>
      <c r="I38" s="1204"/>
      <c r="J38" s="1204"/>
      <c r="K38" s="58"/>
    </row>
    <row r="39" spans="1:11" s="43" customFormat="1">
      <c r="A39" s="435" t="s">
        <v>76</v>
      </c>
      <c r="B39" s="47"/>
      <c r="D39" s="142" t="s">
        <v>376</v>
      </c>
      <c r="I39" s="1204"/>
      <c r="J39" s="1205"/>
      <c r="K39" s="58"/>
    </row>
    <row r="40" spans="1:11" s="43" customFormat="1">
      <c r="A40" s="178" t="s">
        <v>506</v>
      </c>
      <c r="B40" s="48"/>
      <c r="D40" s="142" t="s">
        <v>376</v>
      </c>
      <c r="I40" s="299"/>
      <c r="J40" s="300"/>
      <c r="K40" s="58"/>
    </row>
    <row r="41" spans="1:11" s="43" customFormat="1">
      <c r="A41" s="178" t="s">
        <v>507</v>
      </c>
      <c r="B41" s="47"/>
      <c r="D41" s="142" t="s">
        <v>376</v>
      </c>
      <c r="I41" s="299"/>
      <c r="J41" s="300"/>
      <c r="K41" s="58"/>
    </row>
    <row r="42" spans="1:11" s="43" customFormat="1">
      <c r="A42" s="178" t="s">
        <v>508</v>
      </c>
      <c r="B42" s="47"/>
      <c r="D42" s="142" t="s">
        <v>376</v>
      </c>
      <c r="I42" s="299"/>
      <c r="J42" s="300"/>
      <c r="K42" s="58"/>
    </row>
    <row r="43" spans="1:11">
      <c r="A43" s="178" t="s">
        <v>509</v>
      </c>
      <c r="B43" s="47"/>
      <c r="C43" s="43"/>
      <c r="D43" s="142" t="s">
        <v>376</v>
      </c>
      <c r="I43" s="58"/>
      <c r="J43" s="58"/>
      <c r="K43" s="58"/>
    </row>
    <row r="44" spans="1:11">
      <c r="A44" s="178" t="s">
        <v>510</v>
      </c>
      <c r="B44" s="47"/>
      <c r="C44" s="43"/>
      <c r="D44" s="142" t="s">
        <v>376</v>
      </c>
      <c r="I44" s="58"/>
      <c r="J44" s="58"/>
      <c r="K44" s="58"/>
    </row>
    <row r="45" spans="1:11" s="881" customFormat="1">
      <c r="A45" s="178" t="s">
        <v>695</v>
      </c>
      <c r="B45" s="47"/>
      <c r="C45" s="43"/>
      <c r="D45" s="142" t="s">
        <v>376</v>
      </c>
      <c r="I45" s="58"/>
      <c r="J45" s="58"/>
      <c r="K45" s="58"/>
    </row>
    <row r="46" spans="1:11" s="881" customFormat="1">
      <c r="A46" s="178" t="s">
        <v>696</v>
      </c>
      <c r="B46" s="47"/>
      <c r="C46" s="43"/>
      <c r="D46" s="142" t="s">
        <v>376</v>
      </c>
      <c r="I46" s="58"/>
      <c r="J46" s="58"/>
      <c r="K46" s="58"/>
    </row>
    <row r="47" spans="1:11" s="15" customFormat="1" ht="21.75" thickBot="1">
      <c r="A47" s="962"/>
      <c r="B47" s="184"/>
      <c r="C47" s="153"/>
      <c r="D47" s="301"/>
      <c r="I47" s="58"/>
      <c r="J47" s="58"/>
      <c r="K47" s="58"/>
    </row>
    <row r="48" spans="1:11" s="15" customFormat="1">
      <c r="A48" s="58"/>
      <c r="B48" s="48"/>
      <c r="C48" s="32"/>
      <c r="D48" s="32"/>
      <c r="I48" s="58"/>
      <c r="J48" s="58"/>
      <c r="K48" s="58"/>
    </row>
    <row r="49" spans="1:4" ht="15.75" thickBot="1"/>
    <row r="50" spans="1:4" s="43" customFormat="1">
      <c r="A50" s="181" t="s">
        <v>374</v>
      </c>
      <c r="B50" s="498"/>
      <c r="C50" s="182"/>
      <c r="D50" s="183"/>
    </row>
    <row r="51" spans="1:4">
      <c r="A51" s="101"/>
      <c r="B51" s="499"/>
      <c r="C51" s="141" t="s">
        <v>175</v>
      </c>
      <c r="D51" s="144" t="s">
        <v>375</v>
      </c>
    </row>
    <row r="52" spans="1:4">
      <c r="A52" s="44" t="s">
        <v>543</v>
      </c>
      <c r="B52" s="47"/>
      <c r="C52" s="32"/>
      <c r="D52" s="143" t="s">
        <v>377</v>
      </c>
    </row>
    <row r="53" spans="1:4">
      <c r="A53" s="44" t="s">
        <v>544</v>
      </c>
      <c r="B53" s="47"/>
      <c r="C53" s="32"/>
      <c r="D53" s="143" t="s">
        <v>377</v>
      </c>
    </row>
    <row r="54" spans="1:4" ht="15.75" thickBot="1">
      <c r="A54" s="45"/>
      <c r="B54" s="184"/>
      <c r="C54" s="153"/>
      <c r="D54" s="189"/>
    </row>
    <row r="56" spans="1:4" ht="15.75" thickBot="1"/>
    <row r="57" spans="1:4" s="43" customFormat="1">
      <c r="A57" s="181" t="s">
        <v>501</v>
      </c>
      <c r="B57" s="498"/>
      <c r="C57" s="182"/>
      <c r="D57" s="183"/>
    </row>
    <row r="58" spans="1:4">
      <c r="A58" s="101"/>
      <c r="B58" s="499"/>
      <c r="C58" s="141" t="s">
        <v>175</v>
      </c>
      <c r="D58" s="144" t="s">
        <v>375</v>
      </c>
    </row>
    <row r="59" spans="1:4">
      <c r="A59" s="44" t="s">
        <v>545</v>
      </c>
      <c r="B59" s="47"/>
      <c r="C59" s="32"/>
      <c r="D59" s="142" t="s">
        <v>148</v>
      </c>
    </row>
    <row r="60" spans="1:4">
      <c r="A60" s="44" t="s">
        <v>546</v>
      </c>
      <c r="B60" s="47"/>
      <c r="C60" s="32"/>
      <c r="D60" s="142" t="s">
        <v>149</v>
      </c>
    </row>
    <row r="61" spans="1:4">
      <c r="A61" s="44" t="s">
        <v>547</v>
      </c>
      <c r="B61" s="47"/>
      <c r="C61" s="48"/>
      <c r="D61" s="142" t="s">
        <v>373</v>
      </c>
    </row>
    <row r="62" spans="1:4">
      <c r="A62" s="44" t="s">
        <v>548</v>
      </c>
      <c r="B62" s="47"/>
      <c r="C62" s="48"/>
      <c r="D62" s="142" t="s">
        <v>105</v>
      </c>
    </row>
    <row r="63" spans="1:4">
      <c r="A63" s="44"/>
      <c r="B63" s="48"/>
      <c r="C63" s="48"/>
      <c r="D63" s="142"/>
    </row>
    <row r="64" spans="1:4" ht="21.75" thickBot="1">
      <c r="A64" s="186" t="s">
        <v>503</v>
      </c>
      <c r="B64" s="184"/>
      <c r="C64" s="184"/>
      <c r="D64" s="185"/>
    </row>
    <row r="65" spans="2:2" s="43" customFormat="1">
      <c r="B65" s="44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565</v>
      </c>
      <c r="B1" s="641"/>
      <c r="C1" s="641"/>
      <c r="D1" s="641"/>
      <c r="E1" s="642"/>
    </row>
    <row r="2" spans="1:5">
      <c r="A2" s="653" t="s">
        <v>378</v>
      </c>
      <c r="B2" s="658" t="s">
        <v>491</v>
      </c>
      <c r="C2" s="654"/>
      <c r="D2" s="654"/>
      <c r="E2" s="655"/>
    </row>
    <row r="3" spans="1:5">
      <c r="A3" s="656"/>
      <c r="B3" s="657"/>
      <c r="C3" s="645"/>
      <c r="D3" s="645"/>
      <c r="E3" s="646"/>
    </row>
    <row r="4" spans="1:5" s="326" customFormat="1" ht="45">
      <c r="A4" s="644" t="s">
        <v>569</v>
      </c>
      <c r="B4" s="652" t="s">
        <v>558</v>
      </c>
      <c r="C4" s="673" t="s">
        <v>580</v>
      </c>
      <c r="D4" s="674" t="s">
        <v>581</v>
      </c>
      <c r="E4" s="675" t="s">
        <v>582</v>
      </c>
    </row>
    <row r="5" spans="1:5">
      <c r="A5" s="647" t="s">
        <v>559</v>
      </c>
      <c r="B5" s="639" t="s">
        <v>560</v>
      </c>
      <c r="C5" s="670">
        <v>3.678273E-2</v>
      </c>
      <c r="D5" s="671">
        <v>0.27778000000000003</v>
      </c>
      <c r="E5" s="663">
        <f>C5*D5</f>
        <v>1.0217506739400001E-2</v>
      </c>
    </row>
    <row r="6" spans="1:5">
      <c r="A6" s="647" t="s">
        <v>559</v>
      </c>
      <c r="B6" s="639" t="s">
        <v>561</v>
      </c>
      <c r="C6" s="670">
        <v>4.2278999999999997E-2</v>
      </c>
      <c r="D6" s="671">
        <v>0.27778000000000003</v>
      </c>
      <c r="E6" s="663">
        <f t="shared" ref="E6:E21" si="0">C6*D6</f>
        <v>1.174426062E-2</v>
      </c>
    </row>
    <row r="7" spans="1:5">
      <c r="A7" s="647" t="s">
        <v>559</v>
      </c>
      <c r="B7" s="639" t="s">
        <v>562</v>
      </c>
      <c r="C7" s="670">
        <v>42.279000000000003</v>
      </c>
      <c r="D7" s="671">
        <v>0.27778000000000003</v>
      </c>
      <c r="E7" s="663">
        <f t="shared" si="0"/>
        <v>11.744260620000002</v>
      </c>
    </row>
    <row r="8" spans="1:5">
      <c r="A8" s="647" t="s">
        <v>563</v>
      </c>
      <c r="B8" s="639" t="s">
        <v>560</v>
      </c>
      <c r="C8" s="670">
        <v>3.8573799999999998E-2</v>
      </c>
      <c r="D8" s="671">
        <v>0.27778000000000003</v>
      </c>
      <c r="E8" s="663">
        <f t="shared" si="0"/>
        <v>1.0715030164E-2</v>
      </c>
    </row>
    <row r="9" spans="1:5">
      <c r="A9" s="647" t="s">
        <v>563</v>
      </c>
      <c r="B9" s="639" t="s">
        <v>561</v>
      </c>
      <c r="C9" s="670">
        <v>4.0604000000000001E-2</v>
      </c>
      <c r="D9" s="671">
        <v>0.27778000000000003</v>
      </c>
      <c r="E9" s="663">
        <f t="shared" si="0"/>
        <v>1.1278979120000001E-2</v>
      </c>
    </row>
    <row r="10" spans="1:5">
      <c r="A10" s="647" t="s">
        <v>563</v>
      </c>
      <c r="B10" s="639" t="s">
        <v>562</v>
      </c>
      <c r="C10" s="670">
        <v>40.603999999999999</v>
      </c>
      <c r="D10" s="671">
        <v>0.27778000000000003</v>
      </c>
      <c r="E10" s="663">
        <f t="shared" si="0"/>
        <v>11.278979120000001</v>
      </c>
    </row>
    <row r="11" spans="1:5">
      <c r="A11" s="647" t="s">
        <v>583</v>
      </c>
      <c r="B11" s="639" t="s">
        <v>560</v>
      </c>
      <c r="C11" s="670">
        <v>2.3511000000000001E-2</v>
      </c>
      <c r="D11" s="671">
        <v>0.27778000000000003</v>
      </c>
      <c r="E11" s="663">
        <f t="shared" si="0"/>
        <v>6.5308855800000004E-3</v>
      </c>
    </row>
    <row r="12" spans="1:5">
      <c r="A12" s="647" t="s">
        <v>583</v>
      </c>
      <c r="B12" s="639" t="s">
        <v>561</v>
      </c>
      <c r="C12" s="670">
        <v>4.6100000000000002E-2</v>
      </c>
      <c r="D12" s="671">
        <v>0.27778000000000003</v>
      </c>
      <c r="E12" s="663">
        <f t="shared" si="0"/>
        <v>1.2805658000000001E-2</v>
      </c>
    </row>
    <row r="13" spans="1:5">
      <c r="A13" s="647" t="s">
        <v>583</v>
      </c>
      <c r="B13" s="639" t="s">
        <v>562</v>
      </c>
      <c r="C13" s="670">
        <v>46.1</v>
      </c>
      <c r="D13" s="671">
        <v>0.27778000000000003</v>
      </c>
      <c r="E13" s="663">
        <f t="shared" si="0"/>
        <v>12.805658000000001</v>
      </c>
    </row>
    <row r="14" spans="1:5">
      <c r="A14" s="647" t="s">
        <v>584</v>
      </c>
      <c r="B14" s="639" t="s">
        <v>560</v>
      </c>
      <c r="C14" s="670">
        <v>2.6525139999999999E-2</v>
      </c>
      <c r="D14" s="671">
        <v>0.27778000000000003</v>
      </c>
      <c r="E14" s="663">
        <f t="shared" si="0"/>
        <v>7.3681533892000009E-3</v>
      </c>
    </row>
    <row r="15" spans="1:5">
      <c r="A15" s="647" t="s">
        <v>584</v>
      </c>
      <c r="B15" s="639" t="s">
        <v>561</v>
      </c>
      <c r="C15" s="670">
        <v>4.5733000000000003E-2</v>
      </c>
      <c r="D15" s="671">
        <v>0.27778000000000003</v>
      </c>
      <c r="E15" s="663">
        <f t="shared" si="0"/>
        <v>1.2703712740000001E-2</v>
      </c>
    </row>
    <row r="16" spans="1:5">
      <c r="A16" s="647" t="s">
        <v>584</v>
      </c>
      <c r="B16" s="639" t="s">
        <v>562</v>
      </c>
      <c r="C16" s="670">
        <v>45.732999999999997</v>
      </c>
      <c r="D16" s="671">
        <v>0.27778000000000003</v>
      </c>
      <c r="E16" s="663">
        <f t="shared" si="0"/>
        <v>12.70371274</v>
      </c>
    </row>
    <row r="17" spans="1:10">
      <c r="A17" s="647" t="s">
        <v>567</v>
      </c>
      <c r="B17" s="639" t="s">
        <v>564</v>
      </c>
      <c r="C17" s="670">
        <v>3.2923000000000001E-2</v>
      </c>
      <c r="D17" s="671">
        <f>0.27778</f>
        <v>0.27778000000000003</v>
      </c>
      <c r="E17" s="663">
        <f t="shared" si="0"/>
        <v>9.1453509400000015E-3</v>
      </c>
    </row>
    <row r="18" spans="1:10">
      <c r="A18" s="647" t="s">
        <v>568</v>
      </c>
      <c r="B18" s="639" t="s">
        <v>564</v>
      </c>
      <c r="C18" s="670">
        <v>3.8852400000000002E-2</v>
      </c>
      <c r="D18" s="671">
        <f>0.27778</f>
        <v>0.27778000000000003</v>
      </c>
      <c r="E18" s="663">
        <f t="shared" si="0"/>
        <v>1.0792419672000002E-2</v>
      </c>
    </row>
    <row r="19" spans="1:10">
      <c r="A19" s="647" t="s">
        <v>571</v>
      </c>
      <c r="B19" s="639" t="s">
        <v>560</v>
      </c>
      <c r="C19" s="670">
        <v>2.4812460000000001E-2</v>
      </c>
      <c r="D19" s="671">
        <v>0.27778000000000003</v>
      </c>
      <c r="E19" s="663">
        <f t="shared" si="0"/>
        <v>6.8924051388000009E-3</v>
      </c>
    </row>
    <row r="20" spans="1:10">
      <c r="A20" s="647" t="s">
        <v>571</v>
      </c>
      <c r="B20" s="639" t="s">
        <v>561</v>
      </c>
      <c r="C20" s="670">
        <v>4.5948999999999997E-2</v>
      </c>
      <c r="D20" s="671">
        <v>0.27778000000000003</v>
      </c>
      <c r="E20" s="663">
        <f t="shared" si="0"/>
        <v>1.276371322E-2</v>
      </c>
    </row>
    <row r="21" spans="1:10">
      <c r="A21" s="647" t="s">
        <v>571</v>
      </c>
      <c r="B21" s="639" t="s">
        <v>562</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566</v>
      </c>
      <c r="B24" s="641"/>
      <c r="C24" s="641"/>
      <c r="D24" s="641"/>
      <c r="E24" s="642"/>
    </row>
    <row r="25" spans="1:10">
      <c r="A25" s="667" t="s">
        <v>378</v>
      </c>
      <c r="B25" s="1046" t="s">
        <v>767</v>
      </c>
      <c r="C25" s="645"/>
      <c r="D25" s="645"/>
      <c r="E25" s="646"/>
    </row>
    <row r="26" spans="1:10">
      <c r="A26" s="44"/>
      <c r="B26" s="43"/>
      <c r="C26" s="43"/>
      <c r="D26" s="43"/>
      <c r="E26" s="96"/>
    </row>
    <row r="27" spans="1:10" s="326" customFormat="1">
      <c r="A27" s="644" t="s">
        <v>569</v>
      </c>
      <c r="B27" s="652" t="s">
        <v>558</v>
      </c>
      <c r="C27" s="660"/>
      <c r="D27" s="659"/>
      <c r="E27" s="675" t="s">
        <v>573</v>
      </c>
    </row>
    <row r="28" spans="1:10">
      <c r="A28" s="647" t="s">
        <v>195</v>
      </c>
      <c r="B28" s="639" t="s">
        <v>560</v>
      </c>
      <c r="C28" s="661"/>
      <c r="D28" s="662"/>
      <c r="E28" s="669">
        <f>E29*0.84</f>
        <v>9.962166666666666E-3</v>
      </c>
      <c r="G28" s="643"/>
      <c r="H28" s="786"/>
      <c r="I28" s="786"/>
      <c r="J28" s="786"/>
    </row>
    <row r="29" spans="1:10">
      <c r="A29" s="647" t="s">
        <v>195</v>
      </c>
      <c r="B29" s="639" t="s">
        <v>561</v>
      </c>
      <c r="C29" s="661"/>
      <c r="D29" s="662"/>
      <c r="E29" s="669">
        <f>0.042695/3.6</f>
        <v>1.1859722222222221E-2</v>
      </c>
      <c r="F29" s="900"/>
      <c r="G29" s="643"/>
      <c r="H29" s="786"/>
      <c r="I29" s="786"/>
      <c r="J29" s="786"/>
    </row>
    <row r="30" spans="1:10">
      <c r="A30" s="647" t="s">
        <v>113</v>
      </c>
      <c r="B30" s="639" t="s">
        <v>560</v>
      </c>
      <c r="C30" s="661"/>
      <c r="D30" s="662"/>
      <c r="E30" s="669">
        <f>E31*0.75</f>
        <v>9.1195833333333337E-3</v>
      </c>
      <c r="H30" s="786"/>
      <c r="I30" s="786"/>
      <c r="J30" s="786"/>
    </row>
    <row r="31" spans="1:10">
      <c r="A31" s="647" t="s">
        <v>113</v>
      </c>
      <c r="B31" s="639" t="s">
        <v>561</v>
      </c>
      <c r="C31" s="661"/>
      <c r="D31" s="662"/>
      <c r="E31" s="669">
        <f>0.043774/3.6</f>
        <v>1.2159444444444445E-2</v>
      </c>
      <c r="H31" s="786"/>
      <c r="I31" s="786"/>
      <c r="J31" s="786"/>
    </row>
    <row r="32" spans="1:10">
      <c r="A32" s="647" t="s">
        <v>571</v>
      </c>
      <c r="B32" s="639" t="s">
        <v>560</v>
      </c>
      <c r="C32" s="661"/>
      <c r="D32" s="662"/>
      <c r="E32" s="669">
        <f>E33*0.52</f>
        <v>6.7259111111111118E-3</v>
      </c>
      <c r="H32" s="786"/>
    </row>
    <row r="33" spans="1:8">
      <c r="A33" s="647" t="s">
        <v>571</v>
      </c>
      <c r="B33" s="639" t="s">
        <v>561</v>
      </c>
      <c r="C33" s="661"/>
      <c r="D33" s="662"/>
      <c r="E33" s="669">
        <f>0.046564/3.6</f>
        <v>1.2934444444444445E-2</v>
      </c>
      <c r="H33" s="786"/>
    </row>
    <row r="34" spans="1:8">
      <c r="A34" s="647" t="s">
        <v>572</v>
      </c>
      <c r="B34" s="639" t="s">
        <v>560</v>
      </c>
      <c r="C34" s="661"/>
      <c r="D34" s="662"/>
      <c r="E34" s="669">
        <f>E35*0.175</f>
        <v>2.3333333333333331E-3</v>
      </c>
      <c r="H34" s="786"/>
    </row>
    <row r="35" spans="1:8">
      <c r="A35" s="647" t="s">
        <v>572</v>
      </c>
      <c r="B35" s="639" t="s">
        <v>561</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418</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431</v>
      </c>
      <c r="B6" s="130" t="s">
        <v>432</v>
      </c>
      <c r="C6" s="131" t="s">
        <v>434</v>
      </c>
    </row>
    <row r="7" spans="1:3" s="11" customFormat="1">
      <c r="A7" s="123"/>
      <c r="B7" s="158"/>
      <c r="C7" s="159" t="s">
        <v>585</v>
      </c>
    </row>
    <row r="8" spans="1:3" s="11" customFormat="1">
      <c r="A8" s="132"/>
      <c r="B8" s="133"/>
      <c r="C8" s="134"/>
    </row>
    <row r="9" spans="1:3" s="11" customFormat="1">
      <c r="A9" s="113" t="s">
        <v>433</v>
      </c>
      <c r="B9" s="130" t="s">
        <v>436</v>
      </c>
      <c r="C9" s="131" t="s">
        <v>487</v>
      </c>
    </row>
    <row r="10" spans="1:3" s="11" customFormat="1">
      <c r="A10" s="132"/>
      <c r="B10" s="133"/>
      <c r="C10" s="134"/>
    </row>
    <row r="11" spans="1:3" s="11" customFormat="1" ht="18">
      <c r="A11" s="113" t="s">
        <v>435</v>
      </c>
      <c r="B11" s="130" t="s">
        <v>437</v>
      </c>
      <c r="C11" s="156" t="s">
        <v>485</v>
      </c>
    </row>
    <row r="12" spans="1:3" s="11" customFormat="1">
      <c r="A12" s="132"/>
      <c r="B12" s="133"/>
      <c r="C12" s="134"/>
    </row>
    <row r="13" spans="1:3" s="11" customFormat="1" ht="18">
      <c r="A13" s="113" t="s">
        <v>438</v>
      </c>
      <c r="B13" s="130" t="s">
        <v>439</v>
      </c>
      <c r="C13" s="157" t="s">
        <v>486</v>
      </c>
    </row>
    <row r="14" spans="1:3" s="11" customFormat="1">
      <c r="A14" s="132"/>
      <c r="B14" s="133"/>
      <c r="C14" s="134"/>
    </row>
    <row r="15" spans="1:3" s="11" customFormat="1" ht="18">
      <c r="A15" s="113" t="s">
        <v>440</v>
      </c>
      <c r="B15" t="s">
        <v>444</v>
      </c>
      <c r="C15" s="131" t="s">
        <v>488</v>
      </c>
    </row>
    <row r="16" spans="1:3" s="11" customFormat="1">
      <c r="A16" s="132"/>
      <c r="B16" s="133"/>
      <c r="C16" s="134"/>
    </row>
    <row r="17" spans="1:3" s="11" customFormat="1" ht="30">
      <c r="A17" s="113" t="s">
        <v>377</v>
      </c>
      <c r="B17" s="130" t="s">
        <v>445</v>
      </c>
      <c r="C17" s="131" t="s">
        <v>489</v>
      </c>
    </row>
    <row r="18" spans="1:3" s="11" customFormat="1">
      <c r="A18" s="132"/>
      <c r="B18" s="133"/>
      <c r="C18" s="134" t="s">
        <v>441</v>
      </c>
    </row>
    <row r="19" spans="1:3" s="11" customFormat="1" ht="30">
      <c r="A19" s="113" t="s">
        <v>442</v>
      </c>
      <c r="B19" s="130" t="s">
        <v>446</v>
      </c>
      <c r="C19" s="131" t="s">
        <v>490</v>
      </c>
    </row>
    <row r="20" spans="1:3" s="11" customFormat="1">
      <c r="A20" s="132"/>
      <c r="B20" s="133"/>
      <c r="C20" s="134"/>
    </row>
    <row r="21" spans="1:3" s="11" customFormat="1" ht="30">
      <c r="A21" s="113" t="s">
        <v>443</v>
      </c>
      <c r="B21" s="130" t="s">
        <v>797</v>
      </c>
      <c r="C21" s="131" t="s">
        <v>553</v>
      </c>
    </row>
    <row r="22" spans="1:3" s="11" customFormat="1">
      <c r="A22" s="140"/>
      <c r="B22" s="158"/>
      <c r="C22" s="159"/>
    </row>
    <row r="23" spans="1:3" ht="21">
      <c r="A23" s="126" t="s">
        <v>448</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864</v>
      </c>
      <c r="B1" s="1297">
        <v>2019</v>
      </c>
      <c r="C1" s="1298"/>
      <c r="D1" s="1298"/>
      <c r="E1" s="1298"/>
      <c r="F1" s="1299"/>
    </row>
    <row r="2" spans="1:6">
      <c r="A2" s="326"/>
      <c r="B2" s="326"/>
      <c r="C2" s="326"/>
      <c r="D2" s="326"/>
      <c r="E2" s="326"/>
      <c r="F2" s="326"/>
    </row>
    <row r="3" spans="1:6" ht="19.5">
      <c r="A3" s="1300" t="s">
        <v>0</v>
      </c>
      <c r="B3" s="326"/>
      <c r="C3" s="326"/>
      <c r="D3" s="326"/>
      <c r="E3" s="326"/>
      <c r="F3" s="326"/>
    </row>
    <row r="4" spans="1:6" ht="22.5">
      <c r="A4" s="1301" t="s">
        <v>864</v>
      </c>
      <c r="B4" s="326"/>
      <c r="C4" s="326"/>
      <c r="D4" s="326"/>
      <c r="E4" s="326"/>
      <c r="F4" s="326"/>
    </row>
    <row r="5" spans="1:6" ht="22.5">
      <c r="A5" s="1301" t="s">
        <v>865</v>
      </c>
      <c r="B5" s="326"/>
      <c r="C5" s="326"/>
      <c r="D5" s="326"/>
      <c r="E5" s="326"/>
      <c r="F5" s="326"/>
    </row>
    <row r="6" spans="1:6" ht="15.75" thickBot="1">
      <c r="A6" s="326"/>
      <c r="B6" s="326"/>
      <c r="C6" s="326"/>
      <c r="D6" s="326"/>
      <c r="E6" s="326"/>
      <c r="F6" s="326"/>
    </row>
    <row r="7" spans="1:6" ht="20.25" thickBot="1">
      <c r="A7" s="1302" t="s">
        <v>1</v>
      </c>
      <c r="B7" s="327" t="s">
        <v>378</v>
      </c>
      <c r="C7" s="327" t="s">
        <v>379</v>
      </c>
      <c r="D7" s="327"/>
      <c r="E7" s="327"/>
      <c r="F7" s="328"/>
    </row>
    <row r="8" spans="1:6" ht="16.5" thickTop="1" thickBot="1">
      <c r="A8" s="1303" t="s">
        <v>4</v>
      </c>
      <c r="B8" s="1304"/>
      <c r="C8" s="1304"/>
      <c r="D8" s="1298"/>
      <c r="E8" s="1298"/>
      <c r="F8" s="1299"/>
    </row>
    <row r="9" spans="1:6">
      <c r="A9" s="1305" t="s">
        <v>2</v>
      </c>
      <c r="B9" s="1306">
        <v>4523</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2" t="s">
        <v>3</v>
      </c>
      <c r="B12" s="327" t="s">
        <v>378</v>
      </c>
      <c r="C12" s="327" t="s">
        <v>603</v>
      </c>
      <c r="D12" s="327"/>
      <c r="E12" s="327"/>
      <c r="F12" s="331"/>
    </row>
    <row r="13" spans="1:6" ht="16.5" thickTop="1" thickBot="1">
      <c r="A13" s="1307" t="s">
        <v>4</v>
      </c>
      <c r="B13" s="1308" t="s">
        <v>5</v>
      </c>
      <c r="C13" s="1308"/>
      <c r="D13" s="1308"/>
      <c r="E13" s="1308"/>
      <c r="F13" s="1309"/>
    </row>
    <row r="14" spans="1:6">
      <c r="A14" s="1310" t="s">
        <v>649</v>
      </c>
      <c r="B14" s="1311">
        <v>456.3</v>
      </c>
      <c r="C14" s="326"/>
      <c r="D14" s="326"/>
      <c r="E14" s="326"/>
      <c r="F14" s="326"/>
    </row>
    <row r="15" spans="1:6">
      <c r="A15" s="1310" t="s">
        <v>177</v>
      </c>
      <c r="B15" s="1311">
        <v>2</v>
      </c>
      <c r="C15" s="326"/>
      <c r="D15" s="326"/>
      <c r="E15" s="326"/>
      <c r="F15" s="326"/>
    </row>
    <row r="16" spans="1:6">
      <c r="A16" s="1310" t="s">
        <v>6</v>
      </c>
      <c r="B16" s="1311">
        <v>146</v>
      </c>
      <c r="C16" s="326"/>
      <c r="D16" s="326"/>
      <c r="E16" s="326"/>
      <c r="F16" s="326"/>
    </row>
    <row r="17" spans="1:6">
      <c r="A17" s="1310" t="s">
        <v>7</v>
      </c>
      <c r="B17" s="1311">
        <v>69</v>
      </c>
      <c r="C17" s="326"/>
      <c r="D17" s="326"/>
      <c r="E17" s="326"/>
      <c r="F17" s="326"/>
    </row>
    <row r="18" spans="1:6">
      <c r="A18" s="1310" t="s">
        <v>8</v>
      </c>
      <c r="B18" s="1311">
        <v>163</v>
      </c>
      <c r="C18" s="326"/>
      <c r="D18" s="326"/>
      <c r="E18" s="326"/>
      <c r="F18" s="326"/>
    </row>
    <row r="19" spans="1:6">
      <c r="A19" s="1310" t="s">
        <v>9</v>
      </c>
      <c r="B19" s="1311">
        <v>126</v>
      </c>
      <c r="C19" s="326"/>
      <c r="D19" s="326"/>
      <c r="E19" s="326"/>
      <c r="F19" s="326"/>
    </row>
    <row r="20" spans="1:6">
      <c r="A20" s="1310" t="s">
        <v>10</v>
      </c>
      <c r="B20" s="1311">
        <v>80</v>
      </c>
      <c r="C20" s="326"/>
      <c r="D20" s="326"/>
      <c r="E20" s="326"/>
      <c r="F20" s="326"/>
    </row>
    <row r="21" spans="1:6">
      <c r="A21" s="1310" t="s">
        <v>11</v>
      </c>
      <c r="B21" s="1311">
        <v>0</v>
      </c>
      <c r="C21" s="326"/>
      <c r="D21" s="326"/>
      <c r="E21" s="326"/>
      <c r="F21" s="326"/>
    </row>
    <row r="22" spans="1:6">
      <c r="A22" s="1310" t="s">
        <v>12</v>
      </c>
      <c r="B22" s="1311">
        <v>0</v>
      </c>
      <c r="C22" s="326"/>
      <c r="D22" s="326"/>
      <c r="E22" s="326"/>
      <c r="F22" s="326"/>
    </row>
    <row r="23" spans="1:6">
      <c r="A23" s="1310" t="s">
        <v>13</v>
      </c>
      <c r="B23" s="1311">
        <v>0</v>
      </c>
      <c r="C23" s="326"/>
      <c r="D23" s="326"/>
      <c r="E23" s="326"/>
      <c r="F23" s="326"/>
    </row>
    <row r="24" spans="1:6">
      <c r="A24" s="1310" t="s">
        <v>14</v>
      </c>
      <c r="B24" s="1311">
        <v>0</v>
      </c>
      <c r="C24" s="326"/>
      <c r="D24" s="326"/>
      <c r="E24" s="326"/>
      <c r="F24" s="326"/>
    </row>
    <row r="25" spans="1:6">
      <c r="A25" s="1310" t="s">
        <v>15</v>
      </c>
      <c r="B25" s="1311">
        <v>0</v>
      </c>
      <c r="C25" s="326"/>
      <c r="D25" s="326"/>
      <c r="E25" s="326"/>
      <c r="F25" s="326"/>
    </row>
    <row r="26" spans="1:6">
      <c r="A26" s="1310" t="s">
        <v>16</v>
      </c>
      <c r="B26" s="1311">
        <v>75</v>
      </c>
      <c r="C26" s="326"/>
      <c r="D26" s="326"/>
      <c r="E26" s="326"/>
      <c r="F26" s="326"/>
    </row>
    <row r="27" spans="1:6">
      <c r="A27" s="1310" t="s">
        <v>17</v>
      </c>
      <c r="B27" s="1311">
        <v>470</v>
      </c>
      <c r="C27" s="326"/>
      <c r="D27" s="326"/>
      <c r="E27" s="326"/>
      <c r="F27" s="326"/>
    </row>
    <row r="28" spans="1:6">
      <c r="A28" s="1310" t="s">
        <v>18</v>
      </c>
      <c r="B28" s="1312">
        <v>58559</v>
      </c>
      <c r="C28" s="326"/>
      <c r="D28" s="326"/>
      <c r="E28" s="326"/>
      <c r="F28" s="326"/>
    </row>
    <row r="29" spans="1:6">
      <c r="A29" s="1310" t="s">
        <v>678</v>
      </c>
      <c r="B29" s="1312">
        <v>45</v>
      </c>
      <c r="C29" s="326"/>
      <c r="D29" s="326"/>
      <c r="E29" s="326"/>
      <c r="F29" s="326"/>
    </row>
    <row r="30" spans="1:6">
      <c r="A30" s="1305" t="s">
        <v>679</v>
      </c>
      <c r="B30" s="1313">
        <v>2</v>
      </c>
      <c r="C30" s="329"/>
      <c r="D30" s="329"/>
      <c r="E30" s="329"/>
      <c r="F30" s="329"/>
    </row>
    <row r="31" spans="1:6" ht="15.75" thickBot="1">
      <c r="A31" s="330"/>
      <c r="B31" s="326"/>
      <c r="C31" s="326"/>
      <c r="D31" s="326"/>
      <c r="E31" s="326"/>
      <c r="F31" s="326"/>
    </row>
    <row r="32" spans="1:6" ht="20.25" thickBot="1">
      <c r="A32" s="1302" t="s">
        <v>19</v>
      </c>
      <c r="B32" s="327" t="s">
        <v>378</v>
      </c>
      <c r="C32" s="327" t="s">
        <v>757</v>
      </c>
      <c r="D32" s="327"/>
      <c r="E32" s="327"/>
      <c r="F32" s="331"/>
    </row>
    <row r="33" spans="1:6" ht="16.5" thickTop="1" thickBot="1">
      <c r="A33" s="1314"/>
      <c r="B33" s="1315"/>
      <c r="C33" s="1315"/>
      <c r="D33" s="1315"/>
      <c r="E33" s="1315" t="s">
        <v>20</v>
      </c>
      <c r="F33" s="1316"/>
    </row>
    <row r="34" spans="1:6" ht="16.5" thickTop="1" thickBot="1">
      <c r="A34" s="1317" t="s">
        <v>21</v>
      </c>
      <c r="B34" s="1318" t="s">
        <v>22</v>
      </c>
      <c r="C34" s="1318" t="s">
        <v>5</v>
      </c>
      <c r="D34" s="1318" t="s">
        <v>23</v>
      </c>
      <c r="E34" s="1318" t="s">
        <v>5</v>
      </c>
      <c r="F34" s="1319" t="s">
        <v>23</v>
      </c>
    </row>
    <row r="35" spans="1:6">
      <c r="A35" s="1310" t="s">
        <v>24</v>
      </c>
      <c r="B35" s="1310" t="s">
        <v>25</v>
      </c>
      <c r="C35" s="1311">
        <v>0</v>
      </c>
      <c r="D35" s="1311">
        <v>0</v>
      </c>
      <c r="E35" s="1311">
        <v>0</v>
      </c>
      <c r="F35" s="1311">
        <v>0</v>
      </c>
    </row>
    <row r="36" spans="1:6">
      <c r="A36" s="1310" t="s">
        <v>24</v>
      </c>
      <c r="B36" s="1310" t="s">
        <v>26</v>
      </c>
      <c r="C36" s="1311">
        <v>0</v>
      </c>
      <c r="D36" s="1311">
        <v>0</v>
      </c>
      <c r="E36" s="1311">
        <v>0</v>
      </c>
      <c r="F36" s="1311">
        <v>0</v>
      </c>
    </row>
    <row r="37" spans="1:6">
      <c r="A37" s="1310" t="s">
        <v>24</v>
      </c>
      <c r="B37" s="1310" t="s">
        <v>27</v>
      </c>
      <c r="C37" s="1311">
        <v>0</v>
      </c>
      <c r="D37" s="1311">
        <v>0</v>
      </c>
      <c r="E37" s="1311">
        <v>0</v>
      </c>
      <c r="F37" s="1311">
        <v>0</v>
      </c>
    </row>
    <row r="38" spans="1:6">
      <c r="A38" s="1310" t="s">
        <v>24</v>
      </c>
      <c r="B38" s="1310" t="s">
        <v>28</v>
      </c>
      <c r="C38" s="1311">
        <v>2</v>
      </c>
      <c r="D38" s="1311">
        <v>120986.169491247</v>
      </c>
      <c r="E38" s="1311">
        <v>0</v>
      </c>
      <c r="F38" s="1311">
        <v>0</v>
      </c>
    </row>
    <row r="39" spans="1:6">
      <c r="A39" s="1310" t="s">
        <v>29</v>
      </c>
      <c r="B39" s="1310" t="s">
        <v>30</v>
      </c>
      <c r="C39" s="1311">
        <v>2539</v>
      </c>
      <c r="D39" s="1311">
        <v>36665228.195189998</v>
      </c>
      <c r="E39" s="1311">
        <v>4538</v>
      </c>
      <c r="F39" s="1311">
        <v>14487986.2256545</v>
      </c>
    </row>
    <row r="40" spans="1:6">
      <c r="A40" s="1310" t="s">
        <v>29</v>
      </c>
      <c r="B40" s="1310" t="s">
        <v>28</v>
      </c>
      <c r="C40" s="1311">
        <v>0</v>
      </c>
      <c r="D40" s="1311">
        <v>0</v>
      </c>
      <c r="E40" s="1311">
        <v>0</v>
      </c>
      <c r="F40" s="1311">
        <v>0</v>
      </c>
    </row>
    <row r="41" spans="1:6">
      <c r="A41" s="1310" t="s">
        <v>31</v>
      </c>
      <c r="B41" s="1310" t="s">
        <v>32</v>
      </c>
      <c r="C41" s="1311">
        <v>50</v>
      </c>
      <c r="D41" s="1311">
        <v>2354845.84910936</v>
      </c>
      <c r="E41" s="1311">
        <v>149</v>
      </c>
      <c r="F41" s="1311">
        <v>2719751.1179813398</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3</v>
      </c>
      <c r="D44" s="1311">
        <v>60624.290707079999</v>
      </c>
      <c r="E44" s="1311">
        <v>9</v>
      </c>
      <c r="F44" s="1311">
        <v>60974.607318612798</v>
      </c>
    </row>
    <row r="45" spans="1:6">
      <c r="A45" s="1310" t="s">
        <v>31</v>
      </c>
      <c r="B45" s="1310" t="s">
        <v>36</v>
      </c>
      <c r="C45" s="1311">
        <v>0</v>
      </c>
      <c r="D45" s="1311">
        <v>0</v>
      </c>
      <c r="E45" s="1311">
        <v>0</v>
      </c>
      <c r="F45" s="1311">
        <v>0</v>
      </c>
    </row>
    <row r="46" spans="1:6">
      <c r="A46" s="1310" t="s">
        <v>31</v>
      </c>
      <c r="B46" s="1310" t="s">
        <v>37</v>
      </c>
      <c r="C46" s="1311">
        <v>0</v>
      </c>
      <c r="D46" s="1311">
        <v>0</v>
      </c>
      <c r="E46" s="1311">
        <v>0</v>
      </c>
      <c r="F46" s="1311">
        <v>0</v>
      </c>
    </row>
    <row r="47" spans="1:6">
      <c r="A47" s="1310" t="s">
        <v>31</v>
      </c>
      <c r="B47" s="1310" t="s">
        <v>38</v>
      </c>
      <c r="C47" s="1311">
        <v>0</v>
      </c>
      <c r="D47" s="1311">
        <v>0</v>
      </c>
      <c r="E47" s="1311">
        <v>0</v>
      </c>
      <c r="F47" s="1311">
        <v>0</v>
      </c>
    </row>
    <row r="48" spans="1:6">
      <c r="A48" s="1310" t="s">
        <v>31</v>
      </c>
      <c r="B48" s="1310" t="s">
        <v>28</v>
      </c>
      <c r="C48" s="1311">
        <v>1</v>
      </c>
      <c r="D48" s="1311">
        <v>13451.3353168266</v>
      </c>
      <c r="E48" s="1311">
        <v>5</v>
      </c>
      <c r="F48" s="1311">
        <v>2331882.3722249954</v>
      </c>
    </row>
    <row r="49" spans="1:6">
      <c r="A49" s="1310" t="s">
        <v>31</v>
      </c>
      <c r="B49" s="1310" t="s">
        <v>39</v>
      </c>
      <c r="C49" s="1311">
        <v>0</v>
      </c>
      <c r="D49" s="1311">
        <v>0</v>
      </c>
      <c r="E49" s="1311">
        <v>0</v>
      </c>
      <c r="F49" s="1311">
        <v>0</v>
      </c>
    </row>
    <row r="50" spans="1:6">
      <c r="A50" s="1310" t="s">
        <v>31</v>
      </c>
      <c r="B50" s="1310" t="s">
        <v>40</v>
      </c>
      <c r="C50" s="1311">
        <v>8</v>
      </c>
      <c r="D50" s="1311">
        <v>36137778.806419604</v>
      </c>
      <c r="E50" s="1311">
        <v>12</v>
      </c>
      <c r="F50" s="1311">
        <v>2621193.1471256702</v>
      </c>
    </row>
    <row r="51" spans="1:6">
      <c r="A51" s="1310" t="s">
        <v>41</v>
      </c>
      <c r="B51" s="1310" t="s">
        <v>42</v>
      </c>
      <c r="C51" s="1311">
        <v>0</v>
      </c>
      <c r="D51" s="1311">
        <v>0</v>
      </c>
      <c r="E51" s="1311">
        <v>32</v>
      </c>
      <c r="F51" s="1311">
        <v>690514.02423048695</v>
      </c>
    </row>
    <row r="52" spans="1:6">
      <c r="A52" s="1310" t="s">
        <v>41</v>
      </c>
      <c r="B52" s="1310" t="s">
        <v>28</v>
      </c>
      <c r="C52" s="1311">
        <v>2</v>
      </c>
      <c r="D52" s="1311">
        <v>45547.712634591102</v>
      </c>
      <c r="E52" s="1311">
        <v>0</v>
      </c>
      <c r="F52" s="1311">
        <v>0</v>
      </c>
    </row>
    <row r="53" spans="1:6">
      <c r="A53" s="1310" t="s">
        <v>43</v>
      </c>
      <c r="B53" s="1310" t="s">
        <v>44</v>
      </c>
      <c r="C53" s="1311">
        <v>58</v>
      </c>
      <c r="D53" s="1311">
        <v>783942.72987471195</v>
      </c>
      <c r="E53" s="1311">
        <v>170</v>
      </c>
      <c r="F53" s="1311">
        <v>434204.65112470201</v>
      </c>
    </row>
    <row r="54" spans="1:6">
      <c r="A54" s="1310" t="s">
        <v>45</v>
      </c>
      <c r="B54" s="1310" t="s">
        <v>46</v>
      </c>
      <c r="C54" s="1311">
        <v>0</v>
      </c>
      <c r="D54" s="1311">
        <v>0</v>
      </c>
      <c r="E54" s="1311">
        <v>1</v>
      </c>
      <c r="F54" s="1311">
        <v>592096</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22</v>
      </c>
      <c r="D57" s="1311">
        <v>463720.005254052</v>
      </c>
      <c r="E57" s="1311">
        <v>57</v>
      </c>
      <c r="F57" s="1311">
        <v>1122877.3388974001</v>
      </c>
    </row>
    <row r="58" spans="1:6">
      <c r="A58" s="1310" t="s">
        <v>48</v>
      </c>
      <c r="B58" s="1310" t="s">
        <v>50</v>
      </c>
      <c r="C58" s="1311">
        <v>19</v>
      </c>
      <c r="D58" s="1311">
        <v>897623.79196565505</v>
      </c>
      <c r="E58" s="1311">
        <v>22</v>
      </c>
      <c r="F58" s="1311">
        <v>316444.13464208302</v>
      </c>
    </row>
    <row r="59" spans="1:6">
      <c r="A59" s="1310" t="s">
        <v>48</v>
      </c>
      <c r="B59" s="1310" t="s">
        <v>51</v>
      </c>
      <c r="C59" s="1311">
        <v>56</v>
      </c>
      <c r="D59" s="1311">
        <v>1900929.40016898</v>
      </c>
      <c r="E59" s="1311">
        <v>135</v>
      </c>
      <c r="F59" s="1311">
        <v>4108813.8905067001</v>
      </c>
    </row>
    <row r="60" spans="1:6">
      <c r="A60" s="1310" t="s">
        <v>48</v>
      </c>
      <c r="B60" s="1310" t="s">
        <v>52</v>
      </c>
      <c r="C60" s="1311">
        <v>29</v>
      </c>
      <c r="D60" s="1311">
        <v>1442112.5430725301</v>
      </c>
      <c r="E60" s="1311">
        <v>57</v>
      </c>
      <c r="F60" s="1311">
        <v>1474391.1359322199</v>
      </c>
    </row>
    <row r="61" spans="1:6">
      <c r="A61" s="1310" t="s">
        <v>48</v>
      </c>
      <c r="B61" s="1310" t="s">
        <v>53</v>
      </c>
      <c r="C61" s="1311">
        <v>71</v>
      </c>
      <c r="D61" s="1311">
        <v>3548471.8275492601</v>
      </c>
      <c r="E61" s="1311">
        <v>191</v>
      </c>
      <c r="F61" s="1311">
        <v>1960660.1564130599</v>
      </c>
    </row>
    <row r="62" spans="1:6">
      <c r="A62" s="1310" t="s">
        <v>48</v>
      </c>
      <c r="B62" s="1310" t="s">
        <v>54</v>
      </c>
      <c r="C62" s="1311">
        <v>4</v>
      </c>
      <c r="D62" s="1311">
        <v>327507.64621585002</v>
      </c>
      <c r="E62" s="1311">
        <v>4</v>
      </c>
      <c r="F62" s="1311">
        <v>38115.414392365303</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0</v>
      </c>
      <c r="D65" s="1311">
        <v>0</v>
      </c>
      <c r="E65" s="1311">
        <v>0</v>
      </c>
      <c r="F65" s="1311">
        <v>0</v>
      </c>
    </row>
    <row r="66" spans="1:6">
      <c r="A66" s="1310" t="s">
        <v>55</v>
      </c>
      <c r="B66" s="1310" t="s">
        <v>57</v>
      </c>
      <c r="C66" s="1311">
        <v>0</v>
      </c>
      <c r="D66" s="1311">
        <v>0</v>
      </c>
      <c r="E66" s="1311">
        <v>0</v>
      </c>
      <c r="F66" s="1311">
        <v>0</v>
      </c>
    </row>
    <row r="67" spans="1:6">
      <c r="A67" s="1310" t="s">
        <v>55</v>
      </c>
      <c r="B67" s="1310" t="s">
        <v>58</v>
      </c>
      <c r="C67" s="1311">
        <v>0</v>
      </c>
      <c r="D67" s="1311">
        <v>0</v>
      </c>
      <c r="E67" s="1311">
        <v>0</v>
      </c>
      <c r="F67" s="1311">
        <v>0</v>
      </c>
    </row>
    <row r="68" spans="1:6">
      <c r="A68" s="1305" t="s">
        <v>55</v>
      </c>
      <c r="B68" s="1305" t="s">
        <v>59</v>
      </c>
      <c r="C68" s="1313">
        <v>6</v>
      </c>
      <c r="D68" s="1313">
        <v>346271.98117895302</v>
      </c>
      <c r="E68" s="1313">
        <v>12</v>
      </c>
      <c r="F68" s="1313">
        <v>145663.19978626</v>
      </c>
    </row>
    <row r="69" spans="1:6" ht="15.75" thickBot="1">
      <c r="A69" s="330"/>
      <c r="B69" s="326"/>
      <c r="C69" s="326"/>
      <c r="D69" s="326"/>
      <c r="E69" s="326"/>
      <c r="F69" s="326"/>
    </row>
    <row r="70" spans="1:6" ht="19.5">
      <c r="A70" s="1302" t="s">
        <v>60</v>
      </c>
      <c r="B70" s="327" t="s">
        <v>383</v>
      </c>
      <c r="C70" s="327" t="s">
        <v>652</v>
      </c>
      <c r="D70" s="327"/>
      <c r="E70" s="327"/>
      <c r="F70" s="331"/>
    </row>
    <row r="71" spans="1:6" ht="20.25" thickBot="1">
      <c r="A71" s="1320"/>
      <c r="B71" s="1330"/>
      <c r="C71" s="1330"/>
      <c r="D71" s="1331" t="s">
        <v>421</v>
      </c>
      <c r="E71" s="1330"/>
      <c r="F71" s="333"/>
    </row>
    <row r="72" spans="1:6" ht="16.5" thickTop="1" thickBot="1">
      <c r="A72" s="1307" t="s">
        <v>61</v>
      </c>
      <c r="B72" s="1308" t="s">
        <v>62</v>
      </c>
      <c r="C72" s="1321" t="s">
        <v>648</v>
      </c>
      <c r="D72" s="1322"/>
      <c r="E72" s="1322"/>
      <c r="F72" s="1309"/>
    </row>
    <row r="73" spans="1:6">
      <c r="A73" s="1310" t="s">
        <v>63</v>
      </c>
      <c r="B73" s="1310" t="s">
        <v>631</v>
      </c>
      <c r="C73" s="1323" t="s">
        <v>633</v>
      </c>
      <c r="D73" s="1311">
        <v>26861577</v>
      </c>
      <c r="E73" s="445"/>
      <c r="F73" s="326"/>
    </row>
    <row r="74" spans="1:6">
      <c r="A74" s="1310" t="s">
        <v>63</v>
      </c>
      <c r="B74" s="1310" t="s">
        <v>632</v>
      </c>
      <c r="C74" s="1323" t="s">
        <v>634</v>
      </c>
      <c r="D74" s="1311">
        <v>1117636.1200233919</v>
      </c>
      <c r="E74" s="445"/>
      <c r="F74" s="326"/>
    </row>
    <row r="75" spans="1:6">
      <c r="A75" s="1310" t="s">
        <v>64</v>
      </c>
      <c r="B75" s="1310" t="s">
        <v>631</v>
      </c>
      <c r="C75" s="1323" t="s">
        <v>635</v>
      </c>
      <c r="D75" s="1311">
        <v>5359685</v>
      </c>
      <c r="E75" s="445"/>
      <c r="F75" s="326"/>
    </row>
    <row r="76" spans="1:6">
      <c r="A76" s="1310" t="s">
        <v>64</v>
      </c>
      <c r="B76" s="1310" t="s">
        <v>632</v>
      </c>
      <c r="C76" s="1323" t="s">
        <v>636</v>
      </c>
      <c r="D76" s="1311">
        <v>164980.120023392</v>
      </c>
      <c r="E76" s="445"/>
      <c r="F76" s="326"/>
    </row>
    <row r="77" spans="1:6">
      <c r="A77" s="1310" t="s">
        <v>65</v>
      </c>
      <c r="B77" s="1310" t="s">
        <v>631</v>
      </c>
      <c r="C77" s="1323" t="s">
        <v>637</v>
      </c>
      <c r="D77" s="1311">
        <v>0</v>
      </c>
      <c r="E77" s="445"/>
      <c r="F77" s="326"/>
    </row>
    <row r="78" spans="1:6">
      <c r="A78" s="1305" t="s">
        <v>65</v>
      </c>
      <c r="B78" s="1305" t="s">
        <v>632</v>
      </c>
      <c r="C78" s="1305" t="s">
        <v>638</v>
      </c>
      <c r="D78" s="1313">
        <v>0</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302" t="s">
        <v>321</v>
      </c>
      <c r="B81" s="1326" t="s">
        <v>378</v>
      </c>
      <c r="C81" s="327" t="s">
        <v>866</v>
      </c>
      <c r="D81" s="327"/>
      <c r="E81" s="327"/>
      <c r="F81" s="331"/>
    </row>
    <row r="82" spans="1:6" ht="16.5" thickTop="1" thickBot="1">
      <c r="A82" s="1307" t="s">
        <v>322</v>
      </c>
      <c r="B82" s="1322"/>
      <c r="C82" s="1322"/>
      <c r="D82" s="1308"/>
      <c r="E82" s="1308"/>
      <c r="F82" s="1309"/>
    </row>
    <row r="83" spans="1:6">
      <c r="A83" s="1310" t="s">
        <v>323</v>
      </c>
      <c r="B83" s="1311">
        <v>102291.75995321599</v>
      </c>
      <c r="C83" s="445"/>
      <c r="D83" s="326"/>
      <c r="E83" s="326"/>
      <c r="F83" s="326"/>
    </row>
    <row r="84" spans="1:6">
      <c r="A84" s="1305" t="s">
        <v>324</v>
      </c>
      <c r="B84" s="131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302" t="s">
        <v>66</v>
      </c>
      <c r="B87" s="327" t="s">
        <v>378</v>
      </c>
      <c r="C87" s="327" t="s">
        <v>385</v>
      </c>
      <c r="D87" s="327"/>
      <c r="E87" s="327"/>
      <c r="F87" s="331"/>
    </row>
    <row r="88" spans="1:6" ht="16.5" thickTop="1" thickBot="1">
      <c r="A88" s="1307" t="s">
        <v>4</v>
      </c>
      <c r="B88" s="1308" t="s">
        <v>163</v>
      </c>
      <c r="C88" s="1308"/>
      <c r="D88" s="1308"/>
      <c r="E88" s="1308"/>
      <c r="F88" s="1309"/>
    </row>
    <row r="89" spans="1:6">
      <c r="A89" s="1310" t="s">
        <v>867</v>
      </c>
      <c r="B89" s="1311">
        <v>0</v>
      </c>
      <c r="C89" s="326"/>
      <c r="D89" s="326"/>
      <c r="E89" s="326"/>
      <c r="F89" s="326"/>
    </row>
    <row r="90" spans="1:6">
      <c r="A90" s="1310" t="s">
        <v>525</v>
      </c>
      <c r="B90" s="1311">
        <v>0</v>
      </c>
      <c r="C90" s="326"/>
      <c r="D90" s="326"/>
      <c r="E90" s="326"/>
      <c r="F90" s="326"/>
    </row>
    <row r="91" spans="1:6">
      <c r="A91" s="1310" t="s">
        <v>67</v>
      </c>
      <c r="B91" s="1311">
        <v>3589.2630302831903</v>
      </c>
      <c r="C91" s="326"/>
      <c r="D91" s="326"/>
      <c r="E91" s="326"/>
      <c r="F91" s="326"/>
    </row>
    <row r="92" spans="1:6">
      <c r="A92" s="1305" t="s">
        <v>68</v>
      </c>
      <c r="B92" s="1306">
        <v>1025.4894832629893</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2" t="s">
        <v>69</v>
      </c>
      <c r="B95" s="327" t="s">
        <v>378</v>
      </c>
      <c r="C95" s="327" t="s">
        <v>386</v>
      </c>
      <c r="D95" s="327"/>
      <c r="E95" s="327"/>
      <c r="F95" s="331"/>
    </row>
    <row r="96" spans="1:6" ht="16.5" thickTop="1" thickBot="1">
      <c r="A96" s="1307" t="s">
        <v>4</v>
      </c>
      <c r="B96" s="1308" t="s">
        <v>5</v>
      </c>
      <c r="C96" s="1308"/>
      <c r="D96" s="1308"/>
      <c r="E96" s="1308"/>
      <c r="F96" s="1309"/>
    </row>
    <row r="97" spans="1:6">
      <c r="A97" s="1310" t="s">
        <v>70</v>
      </c>
      <c r="B97" s="1311">
        <v>846</v>
      </c>
      <c r="C97" s="326"/>
      <c r="D97" s="326"/>
      <c r="E97" s="326"/>
      <c r="F97" s="326"/>
    </row>
    <row r="98" spans="1:6">
      <c r="A98" s="1310" t="s">
        <v>71</v>
      </c>
      <c r="B98" s="1311">
        <v>4</v>
      </c>
      <c r="C98" s="326"/>
      <c r="D98" s="326"/>
      <c r="E98" s="326"/>
      <c r="F98" s="326"/>
    </row>
    <row r="99" spans="1:6">
      <c r="A99" s="1310" t="s">
        <v>72</v>
      </c>
      <c r="B99" s="1311">
        <v>80</v>
      </c>
      <c r="C99" s="326"/>
      <c r="D99" s="326"/>
      <c r="E99" s="326"/>
      <c r="F99" s="326"/>
    </row>
    <row r="100" spans="1:6">
      <c r="A100" s="1310" t="s">
        <v>73</v>
      </c>
      <c r="B100" s="1311">
        <v>171</v>
      </c>
      <c r="C100" s="326"/>
      <c r="D100" s="326"/>
      <c r="E100" s="326"/>
      <c r="F100" s="326"/>
    </row>
    <row r="101" spans="1:6">
      <c r="A101" s="1310" t="s">
        <v>74</v>
      </c>
      <c r="B101" s="1311">
        <v>55</v>
      </c>
      <c r="C101" s="326"/>
      <c r="D101" s="326"/>
      <c r="E101" s="326"/>
      <c r="F101" s="326"/>
    </row>
    <row r="102" spans="1:6">
      <c r="A102" s="1310" t="s">
        <v>75</v>
      </c>
      <c r="B102" s="1311">
        <v>38</v>
      </c>
      <c r="C102" s="326"/>
      <c r="D102" s="326"/>
      <c r="E102" s="326"/>
      <c r="F102" s="326"/>
    </row>
    <row r="103" spans="1:6">
      <c r="A103" s="1310" t="s">
        <v>76</v>
      </c>
      <c r="B103" s="1311">
        <v>101</v>
      </c>
      <c r="C103" s="326"/>
      <c r="D103" s="326"/>
      <c r="E103" s="326"/>
      <c r="F103" s="326"/>
    </row>
    <row r="104" spans="1:6">
      <c r="A104" s="1310" t="s">
        <v>77</v>
      </c>
      <c r="B104" s="1311">
        <v>2194</v>
      </c>
      <c r="C104" s="326"/>
      <c r="D104" s="326"/>
      <c r="E104" s="326"/>
      <c r="F104" s="326"/>
    </row>
    <row r="105" spans="1:6">
      <c r="A105" s="1305" t="s">
        <v>78</v>
      </c>
      <c r="B105" s="1313">
        <v>3</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2" t="s">
        <v>621</v>
      </c>
      <c r="B108" s="327" t="s">
        <v>378</v>
      </c>
      <c r="C108" s="327" t="s">
        <v>385</v>
      </c>
      <c r="D108" s="327"/>
      <c r="E108" s="327"/>
      <c r="F108" s="331"/>
    </row>
    <row r="109" spans="1:6" ht="16.5" thickTop="1" thickBot="1">
      <c r="A109" s="1307" t="s">
        <v>4</v>
      </c>
      <c r="B109" s="1308" t="s">
        <v>5</v>
      </c>
      <c r="C109" s="1308"/>
      <c r="D109" s="1308"/>
      <c r="E109" s="1308"/>
      <c r="F109" s="1309"/>
    </row>
    <row r="110" spans="1:6">
      <c r="A110" s="1310" t="s">
        <v>622</v>
      </c>
      <c r="B110" s="1311">
        <v>1</v>
      </c>
      <c r="C110" s="326"/>
      <c r="D110" s="326"/>
      <c r="E110" s="326"/>
      <c r="F110" s="326"/>
    </row>
    <row r="111" spans="1:6">
      <c r="A111" s="1328" t="s">
        <v>623</v>
      </c>
      <c r="B111" s="1329">
        <v>0</v>
      </c>
      <c r="C111" s="1332"/>
      <c r="D111" s="1332"/>
      <c r="E111" s="1332"/>
      <c r="F111" s="1332"/>
    </row>
    <row r="112" spans="1:6">
      <c r="A112" s="1310"/>
      <c r="B112" s="326"/>
      <c r="C112" s="326"/>
      <c r="D112" s="326"/>
      <c r="E112" s="326"/>
      <c r="F112" s="326"/>
    </row>
    <row r="113" spans="1:6" ht="15.75" thickBot="1">
      <c r="A113" s="1305"/>
      <c r="B113" s="329"/>
      <c r="C113" s="329"/>
      <c r="D113" s="329"/>
      <c r="E113" s="329"/>
      <c r="F113" s="329"/>
    </row>
    <row r="114" spans="1:6" ht="20.25" thickBot="1">
      <c r="A114" s="1302" t="s">
        <v>79</v>
      </c>
      <c r="B114" s="327" t="s">
        <v>378</v>
      </c>
      <c r="C114" s="327" t="s">
        <v>385</v>
      </c>
      <c r="D114" s="327"/>
      <c r="E114" s="327"/>
      <c r="F114" s="331"/>
    </row>
    <row r="115" spans="1:6" ht="16.5" thickTop="1" thickBot="1">
      <c r="A115" s="334"/>
      <c r="B115" s="335" t="s">
        <v>80</v>
      </c>
      <c r="C115" s="335" t="s">
        <v>81</v>
      </c>
      <c r="D115" s="335"/>
      <c r="E115" s="335"/>
      <c r="F115" s="336"/>
    </row>
    <row r="116" spans="1:6" ht="16.5" thickTop="1" thickBot="1">
      <c r="A116" s="1307" t="s">
        <v>4</v>
      </c>
      <c r="B116" s="1308" t="s">
        <v>5</v>
      </c>
      <c r="C116" s="1308" t="s">
        <v>5</v>
      </c>
      <c r="D116" s="1308"/>
      <c r="E116" s="1308"/>
      <c r="F116" s="1309"/>
    </row>
    <row r="117" spans="1:6">
      <c r="A117" s="1310" t="s">
        <v>82</v>
      </c>
      <c r="B117" s="1311">
        <v>0</v>
      </c>
      <c r="C117" s="1311">
        <v>0</v>
      </c>
      <c r="D117" s="326"/>
      <c r="E117" s="326"/>
      <c r="F117" s="326"/>
    </row>
    <row r="118" spans="1:6">
      <c r="A118" s="1310" t="s">
        <v>83</v>
      </c>
      <c r="B118" s="1311">
        <v>0</v>
      </c>
      <c r="C118" s="1311">
        <v>0</v>
      </c>
      <c r="D118" s="326"/>
      <c r="E118" s="326"/>
      <c r="F118" s="326"/>
    </row>
    <row r="119" spans="1:6">
      <c r="A119" s="1310" t="s">
        <v>31</v>
      </c>
      <c r="B119" s="1311">
        <v>0</v>
      </c>
      <c r="C119" s="1311">
        <v>0</v>
      </c>
      <c r="D119" s="326"/>
      <c r="E119" s="326"/>
      <c r="F119" s="326"/>
    </row>
    <row r="120" spans="1:6">
      <c r="A120" s="1310" t="s">
        <v>84</v>
      </c>
      <c r="B120" s="1311">
        <v>0</v>
      </c>
      <c r="C120" s="1311">
        <v>0</v>
      </c>
      <c r="D120" s="326"/>
      <c r="E120" s="326"/>
      <c r="F120" s="326"/>
    </row>
    <row r="121" spans="1:6">
      <c r="A121" s="1310" t="s">
        <v>85</v>
      </c>
      <c r="B121" s="1311">
        <v>0</v>
      </c>
      <c r="C121" s="1311">
        <v>0</v>
      </c>
      <c r="D121" s="326"/>
      <c r="E121" s="326"/>
      <c r="F121" s="326"/>
    </row>
    <row r="122" spans="1:6">
      <c r="A122" s="1310" t="s">
        <v>86</v>
      </c>
      <c r="B122" s="1311">
        <v>0</v>
      </c>
      <c r="C122" s="1311">
        <v>0</v>
      </c>
      <c r="D122" s="326"/>
      <c r="E122" s="326"/>
      <c r="F122" s="326"/>
    </row>
    <row r="123" spans="1:6">
      <c r="A123" s="1310" t="s">
        <v>87</v>
      </c>
      <c r="B123" s="1311">
        <v>67</v>
      </c>
      <c r="C123" s="1311">
        <v>26</v>
      </c>
      <c r="D123" s="326"/>
      <c r="E123" s="326"/>
      <c r="F123" s="326"/>
    </row>
    <row r="124" spans="1:6">
      <c r="A124" s="1310" t="s">
        <v>88</v>
      </c>
      <c r="B124" s="1311">
        <v>3</v>
      </c>
      <c r="C124" s="1311">
        <v>0</v>
      </c>
      <c r="D124" s="326"/>
      <c r="E124" s="326"/>
      <c r="F124" s="326"/>
    </row>
    <row r="125" spans="1:6">
      <c r="A125" s="1305" t="s">
        <v>780</v>
      </c>
      <c r="B125" s="1311">
        <v>0</v>
      </c>
      <c r="C125" s="1311">
        <v>0</v>
      </c>
      <c r="D125" s="326"/>
      <c r="E125" s="326"/>
      <c r="F125" s="326"/>
    </row>
    <row r="126" spans="1:6" ht="15.75" thickBot="1">
      <c r="A126" s="1325"/>
      <c r="B126" s="326"/>
      <c r="C126" s="326"/>
      <c r="D126" s="326"/>
      <c r="E126" s="326"/>
      <c r="F126" s="326"/>
    </row>
    <row r="127" spans="1:6" ht="20.25" thickBot="1">
      <c r="A127" s="1302" t="s">
        <v>282</v>
      </c>
      <c r="B127" s="327" t="s">
        <v>378</v>
      </c>
      <c r="C127" s="327" t="s">
        <v>385</v>
      </c>
      <c r="D127" s="327"/>
      <c r="E127" s="327"/>
      <c r="F127" s="331"/>
    </row>
    <row r="128" spans="1:6" ht="16.5" thickTop="1" thickBot="1">
      <c r="A128" s="1307" t="s">
        <v>4</v>
      </c>
      <c r="B128" s="1308" t="s">
        <v>5</v>
      </c>
      <c r="C128" s="1308"/>
      <c r="D128" s="1308"/>
      <c r="E128" s="1308"/>
      <c r="F128" s="1309"/>
    </row>
    <row r="129" spans="1:6">
      <c r="A129" s="1310" t="s">
        <v>283</v>
      </c>
      <c r="B129" s="1311">
        <v>82</v>
      </c>
      <c r="C129" s="326"/>
      <c r="D129" s="326"/>
      <c r="E129" s="326"/>
      <c r="F129" s="326"/>
    </row>
    <row r="130" spans="1:6">
      <c r="A130" s="1310" t="s">
        <v>284</v>
      </c>
      <c r="B130" s="1311">
        <v>0</v>
      </c>
      <c r="C130" s="326"/>
      <c r="D130" s="326"/>
      <c r="E130" s="326"/>
      <c r="F130" s="326"/>
    </row>
    <row r="131" spans="1:6">
      <c r="A131" s="1310" t="s">
        <v>285</v>
      </c>
      <c r="B131" s="1311">
        <v>1</v>
      </c>
      <c r="C131" s="326"/>
      <c r="D131" s="326"/>
      <c r="E131" s="326"/>
      <c r="F131" s="326"/>
    </row>
    <row r="132" spans="1:6">
      <c r="A132" s="1305" t="s">
        <v>286</v>
      </c>
      <c r="B132" s="1306">
        <v>19</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5" customWidth="1"/>
    <col min="7" max="7" width="26.5703125" bestFit="1" customWidth="1"/>
  </cols>
  <sheetData>
    <row r="1" spans="1:12" ht="18.75" thickBot="1">
      <c r="A1" s="121" t="s">
        <v>173</v>
      </c>
      <c r="B1" s="503"/>
      <c r="E1" s="643"/>
      <c r="F1" s="643"/>
    </row>
    <row r="2" spans="1:12">
      <c r="A2" s="435" t="s">
        <v>799</v>
      </c>
      <c r="B2" s="504"/>
      <c r="E2" s="643"/>
      <c r="F2" s="643"/>
    </row>
    <row r="3" spans="1:12">
      <c r="A3" s="44"/>
      <c r="B3" s="504"/>
      <c r="E3" s="643"/>
      <c r="F3" s="643"/>
    </row>
    <row r="4" spans="1:12" ht="18">
      <c r="A4" s="137" t="s">
        <v>174</v>
      </c>
      <c r="B4" s="505" t="s">
        <v>372</v>
      </c>
      <c r="E4" s="643"/>
      <c r="F4" s="643"/>
    </row>
    <row r="5" spans="1:12" ht="21">
      <c r="A5" s="116" t="s">
        <v>176</v>
      </c>
      <c r="B5" s="506"/>
      <c r="E5" s="893"/>
      <c r="F5" s="894"/>
      <c r="G5" s="903"/>
      <c r="H5" s="903"/>
      <c r="I5" s="9"/>
      <c r="J5" s="9"/>
    </row>
    <row r="6" spans="1:12">
      <c r="A6" s="117" t="s">
        <v>177</v>
      </c>
      <c r="B6" s="507">
        <v>4.0513950503279288</v>
      </c>
      <c r="E6" s="895"/>
      <c r="F6" s="895"/>
      <c r="G6" s="904"/>
      <c r="H6" s="904"/>
      <c r="I6" s="10"/>
      <c r="J6" s="10"/>
      <c r="K6" s="10"/>
      <c r="L6" s="10"/>
    </row>
    <row r="7" spans="1:12">
      <c r="A7" s="117" t="s">
        <v>6</v>
      </c>
      <c r="B7" s="507">
        <v>134.63079085847744</v>
      </c>
      <c r="E7" s="643"/>
      <c r="F7" s="643"/>
      <c r="G7" s="905"/>
      <c r="H7" s="905"/>
      <c r="K7" s="10"/>
      <c r="L7" s="10"/>
    </row>
    <row r="8" spans="1:12">
      <c r="A8" s="117" t="s">
        <v>7</v>
      </c>
      <c r="B8" s="507">
        <v>69.314866951414032</v>
      </c>
      <c r="E8" s="643"/>
      <c r="F8" s="643"/>
      <c r="G8" s="905"/>
      <c r="H8" s="905"/>
      <c r="K8" s="10"/>
      <c r="L8" s="10"/>
    </row>
    <row r="9" spans="1:12">
      <c r="A9" s="117" t="s">
        <v>8</v>
      </c>
      <c r="B9" s="507">
        <v>31.909886478760502</v>
      </c>
      <c r="E9" s="895"/>
      <c r="F9" s="895"/>
      <c r="G9" s="904"/>
      <c r="H9" s="904"/>
      <c r="I9" s="10"/>
      <c r="J9" s="10"/>
      <c r="K9" s="10"/>
      <c r="L9" s="10"/>
    </row>
    <row r="10" spans="1:12">
      <c r="A10" s="117" t="s">
        <v>9</v>
      </c>
      <c r="B10" s="507">
        <v>47.900718217356051</v>
      </c>
      <c r="E10" s="896"/>
      <c r="F10" s="896"/>
      <c r="G10" s="906"/>
      <c r="H10" s="906"/>
      <c r="I10" s="11"/>
      <c r="J10" s="11"/>
      <c r="K10" s="10"/>
      <c r="L10" s="10"/>
    </row>
    <row r="11" spans="1:12">
      <c r="A11" s="117" t="s">
        <v>10</v>
      </c>
      <c r="B11" s="507">
        <v>41.361552447157969</v>
      </c>
      <c r="E11" s="643"/>
      <c r="F11" s="896"/>
      <c r="G11" s="906"/>
      <c r="H11" s="906"/>
      <c r="I11" s="11"/>
      <c r="J11" s="11"/>
      <c r="K11" s="10"/>
      <c r="L11" s="10"/>
    </row>
    <row r="12" spans="1:12">
      <c r="A12" s="118" t="s">
        <v>16</v>
      </c>
      <c r="B12" s="507">
        <v>8</v>
      </c>
      <c r="E12" s="896"/>
      <c r="F12" s="895"/>
      <c r="G12" s="904"/>
      <c r="H12" s="904"/>
      <c r="I12" s="10"/>
      <c r="J12" s="10"/>
      <c r="K12" s="10"/>
      <c r="L12" s="10"/>
    </row>
    <row r="13" spans="1:12">
      <c r="A13" s="118" t="s">
        <v>17</v>
      </c>
      <c r="B13" s="507">
        <v>5</v>
      </c>
      <c r="E13" s="895"/>
      <c r="F13" s="895"/>
      <c r="G13" s="904"/>
      <c r="H13" s="904"/>
      <c r="I13" s="10"/>
      <c r="J13" s="10"/>
      <c r="K13" s="10"/>
      <c r="L13" s="10"/>
    </row>
    <row r="14" spans="1:12">
      <c r="A14" s="118" t="s">
        <v>178</v>
      </c>
      <c r="B14" s="507">
        <v>1.5</v>
      </c>
      <c r="E14" s="895"/>
      <c r="F14" s="895"/>
      <c r="G14" s="904"/>
      <c r="H14" s="904"/>
      <c r="I14" s="10"/>
      <c r="J14" s="10"/>
      <c r="K14" s="10"/>
      <c r="L14" s="10"/>
    </row>
    <row r="15" spans="1:12">
      <c r="A15" s="118" t="s">
        <v>179</v>
      </c>
      <c r="B15" s="507">
        <v>18</v>
      </c>
      <c r="E15" s="895"/>
      <c r="F15" s="895"/>
      <c r="G15" s="904"/>
      <c r="H15" s="904"/>
      <c r="I15" s="10"/>
      <c r="J15" s="10"/>
      <c r="K15" s="10"/>
      <c r="L15" s="10"/>
    </row>
    <row r="16" spans="1:12">
      <c r="A16" s="118" t="s">
        <v>755</v>
      </c>
      <c r="B16" s="508">
        <v>10</v>
      </c>
      <c r="E16" s="895"/>
      <c r="F16" s="895"/>
      <c r="G16" s="904"/>
      <c r="H16" s="904"/>
      <c r="I16" s="10"/>
      <c r="J16" s="10"/>
      <c r="K16" s="10"/>
      <c r="L16" s="10"/>
    </row>
    <row r="17" spans="1:12" s="43" customFormat="1" ht="15.75" thickBot="1">
      <c r="A17" s="119"/>
      <c r="B17" s="509"/>
      <c r="E17" s="897"/>
      <c r="F17" s="897"/>
      <c r="G17" s="154"/>
      <c r="H17" s="154"/>
      <c r="I17" s="154"/>
      <c r="J17" s="154"/>
      <c r="K17" s="154"/>
      <c r="L17" s="154"/>
    </row>
    <row r="18" spans="1:12" s="43" customFormat="1" ht="15.75" thickBot="1">
      <c r="A18" s="192"/>
      <c r="B18" s="510"/>
      <c r="E18" s="897"/>
      <c r="F18" s="897"/>
      <c r="G18" s="154"/>
      <c r="H18" s="154"/>
      <c r="I18" s="154"/>
      <c r="J18" s="154"/>
      <c r="K18" s="154"/>
      <c r="L18" s="154"/>
    </row>
    <row r="19" spans="1:12" ht="18.75" thickBot="1">
      <c r="A19" s="121" t="s">
        <v>181</v>
      </c>
      <c r="B19" s="503"/>
      <c r="E19" s="895"/>
      <c r="F19" s="895"/>
      <c r="G19" s="10"/>
      <c r="H19" s="10"/>
      <c r="I19" s="10"/>
      <c r="J19" s="10"/>
      <c r="K19" s="10"/>
      <c r="L19" s="10"/>
    </row>
    <row r="20" spans="1:12">
      <c r="A20" s="44" t="s">
        <v>799</v>
      </c>
      <c r="B20" s="504"/>
      <c r="E20" s="895"/>
      <c r="F20" s="895"/>
      <c r="G20" s="10"/>
      <c r="H20" s="10"/>
      <c r="I20" s="10"/>
      <c r="J20" s="10"/>
      <c r="K20" s="10"/>
      <c r="L20" s="10"/>
    </row>
    <row r="21" spans="1:12">
      <c r="A21" s="44"/>
      <c r="B21" s="504"/>
      <c r="E21" s="895"/>
      <c r="F21" s="895"/>
      <c r="G21" s="10"/>
      <c r="H21" s="10"/>
      <c r="I21" s="10"/>
      <c r="J21" s="10"/>
      <c r="K21" s="10"/>
      <c r="L21" s="10"/>
    </row>
    <row r="22" spans="1:12" ht="18">
      <c r="A22" s="138" t="s">
        <v>174</v>
      </c>
      <c r="B22" s="511" t="s">
        <v>372</v>
      </c>
      <c r="E22" s="895"/>
      <c r="F22" s="895"/>
      <c r="G22" s="10"/>
      <c r="H22" s="10"/>
      <c r="I22" s="10"/>
      <c r="J22" s="10"/>
      <c r="K22" s="10"/>
      <c r="L22" s="10"/>
    </row>
    <row r="23" spans="1:12" s="72" customFormat="1">
      <c r="A23" s="118" t="s">
        <v>176</v>
      </c>
      <c r="B23" s="507">
        <v>10.394549459265995</v>
      </c>
      <c r="E23" s="898"/>
      <c r="F23" s="898"/>
      <c r="G23" s="907"/>
      <c r="H23" s="907"/>
    </row>
    <row r="24" spans="1:12">
      <c r="A24" s="117" t="s">
        <v>177</v>
      </c>
      <c r="B24" s="507">
        <v>4.2231090152811745</v>
      </c>
      <c r="E24" s="895"/>
      <c r="F24" s="895"/>
      <c r="G24" s="904"/>
      <c r="H24" s="904"/>
      <c r="I24" s="10"/>
      <c r="J24" s="10"/>
      <c r="K24" s="10"/>
      <c r="L24" s="10"/>
    </row>
    <row r="25" spans="1:12">
      <c r="A25" s="117" t="s">
        <v>6</v>
      </c>
      <c r="B25" s="507">
        <v>33.477517201596335</v>
      </c>
      <c r="E25" s="895"/>
      <c r="F25" s="895"/>
      <c r="G25" s="904"/>
      <c r="H25" s="904"/>
      <c r="I25" s="10"/>
      <c r="J25" s="10"/>
      <c r="K25" s="10"/>
      <c r="L25" s="10"/>
    </row>
    <row r="26" spans="1:12">
      <c r="A26" s="117" t="s">
        <v>7</v>
      </c>
      <c r="B26" s="507">
        <v>1.9519637878700118</v>
      </c>
      <c r="E26" s="895"/>
      <c r="F26" s="895"/>
      <c r="G26" s="904"/>
      <c r="H26" s="904"/>
      <c r="I26" s="10"/>
      <c r="J26" s="10"/>
      <c r="K26" s="10"/>
      <c r="L26" s="10"/>
    </row>
    <row r="27" spans="1:12">
      <c r="A27" s="117" t="s">
        <v>8</v>
      </c>
      <c r="B27" s="507">
        <v>1.1993683996109175</v>
      </c>
      <c r="E27" s="895"/>
      <c r="F27" s="895"/>
      <c r="G27" s="904"/>
      <c r="H27" s="904"/>
      <c r="I27" s="10"/>
      <c r="J27" s="10"/>
      <c r="K27" s="10"/>
      <c r="L27" s="10"/>
    </row>
    <row r="28" spans="1:12">
      <c r="A28" s="117" t="s">
        <v>9</v>
      </c>
      <c r="B28" s="507">
        <v>5.0655067831320864</v>
      </c>
      <c r="E28" s="895"/>
      <c r="F28" s="895"/>
      <c r="G28" s="904"/>
      <c r="H28" s="904"/>
      <c r="I28" s="10"/>
      <c r="J28" s="10"/>
      <c r="K28" s="10"/>
      <c r="L28" s="10"/>
    </row>
    <row r="29" spans="1:12">
      <c r="A29" s="117" t="s">
        <v>10</v>
      </c>
      <c r="B29" s="507">
        <v>3.3232292777158934</v>
      </c>
      <c r="E29" s="895"/>
      <c r="F29" s="895"/>
      <c r="G29" s="904"/>
      <c r="H29" s="904"/>
      <c r="I29" s="10"/>
      <c r="J29" s="10"/>
      <c r="K29" s="10"/>
      <c r="L29" s="10"/>
    </row>
    <row r="30" spans="1:12">
      <c r="A30" s="118" t="s">
        <v>178</v>
      </c>
      <c r="B30" s="507">
        <v>4.4492685035760537</v>
      </c>
      <c r="E30" s="895"/>
      <c r="F30" s="895"/>
      <c r="G30" s="904"/>
      <c r="H30" s="904"/>
      <c r="I30" s="10"/>
      <c r="J30" s="10"/>
      <c r="K30" s="10"/>
      <c r="L30" s="10"/>
    </row>
    <row r="31" spans="1:12">
      <c r="A31" s="117" t="s">
        <v>11</v>
      </c>
      <c r="B31" s="507">
        <v>1.6075002802320004</v>
      </c>
      <c r="E31" s="895"/>
      <c r="F31" s="895"/>
      <c r="G31" s="904"/>
      <c r="H31" s="904"/>
      <c r="I31" s="10"/>
      <c r="J31" s="10"/>
      <c r="K31" s="10"/>
      <c r="L31" s="10"/>
    </row>
    <row r="32" spans="1:12">
      <c r="A32" s="117" t="s">
        <v>12</v>
      </c>
      <c r="B32" s="507">
        <v>4.8225008406960006</v>
      </c>
      <c r="E32" s="895"/>
      <c r="F32" s="895"/>
      <c r="G32" s="904"/>
      <c r="H32" s="904"/>
      <c r="I32" s="10"/>
      <c r="J32" s="10"/>
      <c r="K32" s="10"/>
      <c r="L32" s="10"/>
    </row>
    <row r="33" spans="1:14">
      <c r="A33" s="117" t="s">
        <v>13</v>
      </c>
      <c r="B33" s="507">
        <v>6.3685027042560023</v>
      </c>
      <c r="E33" s="895"/>
      <c r="F33" s="895"/>
      <c r="G33" s="904"/>
      <c r="H33" s="904"/>
      <c r="I33" s="10"/>
      <c r="J33" s="10"/>
      <c r="K33" s="10"/>
      <c r="L33" s="10"/>
    </row>
    <row r="34" spans="1:14">
      <c r="A34" s="117" t="s">
        <v>14</v>
      </c>
      <c r="B34" s="507">
        <v>4.6362973013280016</v>
      </c>
      <c r="E34" s="895"/>
      <c r="F34" s="895"/>
      <c r="G34" s="904"/>
      <c r="H34" s="904"/>
      <c r="I34" s="10"/>
      <c r="J34" s="10"/>
      <c r="K34" s="10"/>
      <c r="L34" s="10"/>
    </row>
    <row r="35" spans="1:14">
      <c r="A35" s="117" t="s">
        <v>15</v>
      </c>
      <c r="B35" s="507">
        <v>12.338973989496003</v>
      </c>
      <c r="E35" s="895"/>
      <c r="F35" s="895"/>
      <c r="G35" s="904"/>
      <c r="H35" s="904"/>
      <c r="I35" s="10"/>
      <c r="J35" s="10"/>
      <c r="K35" s="10"/>
      <c r="L35" s="10"/>
    </row>
    <row r="36" spans="1:14">
      <c r="A36" s="118" t="s">
        <v>16</v>
      </c>
      <c r="B36" s="507">
        <v>0.19</v>
      </c>
      <c r="E36" s="895"/>
      <c r="F36" s="895"/>
      <c r="G36" s="904"/>
      <c r="H36" s="904"/>
      <c r="I36" s="10"/>
      <c r="J36" s="10"/>
      <c r="K36" s="10"/>
      <c r="L36" s="10"/>
    </row>
    <row r="37" spans="1:14">
      <c r="A37" s="118" t="s">
        <v>17</v>
      </c>
      <c r="B37" s="507">
        <v>0.13</v>
      </c>
      <c r="E37" s="643"/>
      <c r="F37" s="643"/>
      <c r="G37" s="905"/>
      <c r="H37" s="905"/>
    </row>
    <row r="38" spans="1:14">
      <c r="A38" s="118" t="s">
        <v>179</v>
      </c>
      <c r="B38" s="507">
        <v>1.56</v>
      </c>
      <c r="E38" s="643"/>
      <c r="F38" s="643"/>
      <c r="G38" s="905"/>
      <c r="H38" s="905"/>
    </row>
    <row r="39" spans="1:14">
      <c r="A39" s="118" t="s">
        <v>180</v>
      </c>
      <c r="B39" s="507">
        <v>0.76</v>
      </c>
      <c r="E39" s="643"/>
      <c r="F39" s="643"/>
      <c r="G39" s="905"/>
      <c r="H39" s="905"/>
    </row>
    <row r="40" spans="1:14">
      <c r="A40" s="118" t="s">
        <v>18</v>
      </c>
      <c r="B40" s="508">
        <v>2.3174639728315766E-2</v>
      </c>
      <c r="E40" s="643"/>
      <c r="F40" s="643"/>
      <c r="G40" s="905"/>
      <c r="H40" s="905"/>
    </row>
    <row r="41" spans="1:14" s="1042" customFormat="1">
      <c r="A41" s="118" t="s">
        <v>774</v>
      </c>
      <c r="B41" s="508">
        <v>0.08</v>
      </c>
      <c r="E41" s="643"/>
      <c r="F41" s="643"/>
      <c r="G41" s="905"/>
      <c r="H41" s="905"/>
    </row>
    <row r="42" spans="1:14" s="1042" customFormat="1">
      <c r="A42" s="118" t="s">
        <v>775</v>
      </c>
      <c r="B42" s="508">
        <v>0.68</v>
      </c>
      <c r="E42" s="643"/>
      <c r="F42" s="643"/>
      <c r="G42" s="905"/>
      <c r="H42" s="905"/>
    </row>
    <row r="43" spans="1:14" ht="15.75" thickBot="1">
      <c r="A43" s="119"/>
      <c r="B43" s="512"/>
      <c r="E43" s="643"/>
      <c r="F43" s="643"/>
    </row>
    <row r="44" spans="1:14" s="43" customFormat="1" ht="15.75" thickBot="1">
      <c r="A44" s="193"/>
      <c r="B44" s="510"/>
      <c r="E44" s="899"/>
      <c r="F44" s="899"/>
      <c r="G44" s="194"/>
      <c r="H44" s="194"/>
      <c r="I44" s="194"/>
      <c r="J44" s="194"/>
      <c r="K44" s="194"/>
      <c r="L44" s="194"/>
      <c r="M44" s="194"/>
      <c r="N44" s="194"/>
    </row>
    <row r="45" spans="1:14" ht="15.75" thickBot="1">
      <c r="A45" s="121" t="s">
        <v>182</v>
      </c>
      <c r="B45" s="513"/>
      <c r="E45" s="643"/>
      <c r="F45" s="643"/>
    </row>
    <row r="46" spans="1:14">
      <c r="A46" s="44" t="s">
        <v>801</v>
      </c>
      <c r="B46" s="504"/>
      <c r="E46" s="643"/>
      <c r="F46" s="643"/>
    </row>
    <row r="47" spans="1:14">
      <c r="A47" s="44"/>
      <c r="B47" s="504"/>
      <c r="E47" s="643"/>
      <c r="F47" s="643"/>
    </row>
    <row r="48" spans="1:14" ht="18">
      <c r="A48" s="137" t="s">
        <v>183</v>
      </c>
      <c r="B48" s="505" t="s">
        <v>551</v>
      </c>
      <c r="E48" s="643"/>
      <c r="F48" s="643"/>
    </row>
    <row r="49" spans="1:12">
      <c r="A49" s="116" t="s">
        <v>184</v>
      </c>
      <c r="B49" s="1034">
        <v>0.86890018239138</v>
      </c>
      <c r="E49" s="643"/>
      <c r="F49" s="643"/>
    </row>
    <row r="50" spans="1:12">
      <c r="A50" s="118" t="s">
        <v>185</v>
      </c>
      <c r="B50" s="1035">
        <v>0.96772660984113001</v>
      </c>
      <c r="E50" s="643"/>
      <c r="F50" s="643"/>
    </row>
    <row r="51" spans="1:12">
      <c r="A51" s="118" t="s">
        <v>178</v>
      </c>
      <c r="B51" s="1035">
        <v>3.110715244837E-2</v>
      </c>
      <c r="E51" s="643"/>
      <c r="F51" s="643"/>
    </row>
    <row r="52" spans="1:12">
      <c r="A52" s="118" t="s">
        <v>18</v>
      </c>
      <c r="B52" s="1036">
        <v>9.0468335177000005E-4</v>
      </c>
      <c r="E52" s="895"/>
      <c r="F52" s="895"/>
      <c r="G52" s="10"/>
      <c r="H52" s="10"/>
      <c r="I52" s="10"/>
      <c r="J52" s="10"/>
      <c r="K52" s="10"/>
      <c r="L52" s="10"/>
    </row>
    <row r="53" spans="1:12">
      <c r="A53" s="118" t="s">
        <v>16</v>
      </c>
      <c r="B53" s="1037">
        <v>6.5423193697900003E-3</v>
      </c>
      <c r="E53" s="895"/>
      <c r="F53" s="895"/>
      <c r="G53" s="10"/>
      <c r="H53" s="10"/>
      <c r="I53" s="10"/>
      <c r="J53" s="10"/>
      <c r="K53" s="10"/>
      <c r="L53" s="10"/>
    </row>
    <row r="54" spans="1:12" ht="15.75" thickBot="1">
      <c r="A54" s="119" t="s">
        <v>120</v>
      </c>
      <c r="B54" s="1038">
        <v>0.10979893533914409</v>
      </c>
      <c r="E54" s="643"/>
      <c r="F54" s="643"/>
    </row>
    <row r="55" spans="1:12">
      <c r="B55"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18" customWidth="1"/>
  </cols>
  <sheetData>
    <row r="1" spans="1:3" s="326" customFormat="1" ht="15.75" thickBot="1">
      <c r="A1" s="360" t="s">
        <v>602</v>
      </c>
      <c r="B1" s="516"/>
      <c r="C1" s="517"/>
    </row>
    <row r="2" spans="1:3" s="326" customFormat="1">
      <c r="A2" s="364"/>
      <c r="B2" s="484"/>
      <c r="C2" s="519"/>
    </row>
    <row r="3" spans="1:3" s="326" customFormat="1">
      <c r="A3" s="362"/>
      <c r="B3" s="520">
        <v>2019</v>
      </c>
      <c r="C3" s="365" t="s">
        <v>175</v>
      </c>
    </row>
    <row r="4" spans="1:3">
      <c r="A4" s="120" t="s">
        <v>290</v>
      </c>
      <c r="B4" s="521">
        <f>4401755.19117513/1000</f>
        <v>4401.7551911751298</v>
      </c>
      <c r="C4" s="139" t="s">
        <v>800</v>
      </c>
    </row>
    <row r="5" spans="1:3" ht="15.75" thickBot="1">
      <c r="A5" s="916" t="s">
        <v>601</v>
      </c>
      <c r="B5" s="922">
        <v>674939.59000000008</v>
      </c>
      <c r="C5" s="923" t="s">
        <v>803</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422</v>
      </c>
      <c r="B1" s="361"/>
    </row>
    <row r="2" spans="1:2" s="326" customFormat="1">
      <c r="A2" s="352"/>
      <c r="B2" s="359"/>
    </row>
    <row r="3" spans="1:2" s="326" customFormat="1" ht="18">
      <c r="A3" s="362"/>
      <c r="B3" s="363" t="s">
        <v>425</v>
      </c>
    </row>
    <row r="4" spans="1:2" ht="18">
      <c r="A4" s="120" t="s">
        <v>423</v>
      </c>
      <c r="B4" s="522">
        <v>310</v>
      </c>
    </row>
    <row r="5" spans="1:2" ht="18.75" thickBot="1">
      <c r="A5" s="115" t="s">
        <v>424</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412</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7" t="s">
        <v>413</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464</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482</v>
      </c>
      <c r="B3" s="49">
        <f ca="1">IF(ISERROR('SEAP template'!C27),0,'SEAP template'!C27)</f>
        <v>36620.086931959653</v>
      </c>
      <c r="C3" s="43" t="s">
        <v>163</v>
      </c>
      <c r="D3" s="43"/>
      <c r="E3" s="154"/>
      <c r="F3" s="43"/>
      <c r="G3" s="43"/>
      <c r="H3" s="43"/>
      <c r="I3" s="43"/>
      <c r="J3" s="43"/>
      <c r="K3" s="96"/>
    </row>
    <row r="4" spans="1:11">
      <c r="A4" s="352" t="s">
        <v>164</v>
      </c>
      <c r="B4" s="49">
        <f>IF(ISERROR('SEAP template'!B78+'SEAP template'!C78),0,'SEAP template'!B78+'SEAP template'!C78)</f>
        <v>4614.7525135461801</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5">
        <f>E6</f>
        <v>0.221</v>
      </c>
      <c r="C6" s="43" t="s">
        <v>166</v>
      </c>
      <c r="D6" s="43"/>
      <c r="E6" s="920">
        <v>0.221</v>
      </c>
      <c r="F6" s="43" t="s">
        <v>672</v>
      </c>
      <c r="G6" s="43" t="s">
        <v>677</v>
      </c>
      <c r="H6" s="43"/>
      <c r="I6" s="43"/>
      <c r="J6" s="43"/>
      <c r="K6" s="96"/>
    </row>
    <row r="7" spans="1:11">
      <c r="A7" s="352"/>
      <c r="B7" s="447"/>
      <c r="C7" s="43"/>
      <c r="D7" s="43"/>
      <c r="E7" s="43"/>
      <c r="F7" s="48"/>
      <c r="G7" s="43"/>
      <c r="H7" s="43"/>
      <c r="I7" s="43"/>
      <c r="J7" s="43"/>
      <c r="K7" s="96"/>
    </row>
    <row r="8" spans="1:11">
      <c r="A8" s="352"/>
      <c r="B8" s="447"/>
      <c r="C8" s="43"/>
      <c r="D8" s="43"/>
      <c r="E8" s="43"/>
      <c r="F8" s="48"/>
      <c r="G8" s="43"/>
      <c r="H8" s="919"/>
      <c r="I8" s="155"/>
      <c r="J8" s="43"/>
      <c r="K8" s="96"/>
    </row>
    <row r="9" spans="1:11">
      <c r="A9" s="352" t="s">
        <v>168</v>
      </c>
      <c r="B9" s="49">
        <f>IF(ISERROR('SEAP template'!Q78),0,'SEAP template'!Q78)</f>
        <v>0</v>
      </c>
      <c r="C9" s="43" t="s">
        <v>167</v>
      </c>
      <c r="D9" s="43"/>
      <c r="E9" s="43"/>
      <c r="F9" s="43"/>
      <c r="G9" s="43"/>
      <c r="H9" s="43"/>
      <c r="I9" s="43"/>
      <c r="J9" s="43"/>
      <c r="K9" s="96"/>
    </row>
    <row r="10" spans="1:11">
      <c r="A10" s="352" t="s">
        <v>388</v>
      </c>
      <c r="B10" s="48">
        <v>0</v>
      </c>
      <c r="C10" s="43" t="s">
        <v>167</v>
      </c>
      <c r="D10" s="154"/>
      <c r="E10" s="43"/>
      <c r="F10" s="43"/>
      <c r="G10" s="43"/>
      <c r="H10" s="43"/>
      <c r="I10" s="43"/>
      <c r="J10" s="43"/>
      <c r="K10" s="96"/>
    </row>
    <row r="11" spans="1:11">
      <c r="A11" s="352"/>
      <c r="B11" s="447"/>
      <c r="C11" s="43"/>
      <c r="D11" s="43"/>
      <c r="E11" s="43"/>
      <c r="F11" s="43"/>
      <c r="G11" s="43"/>
      <c r="H11" s="43"/>
      <c r="I11" s="43"/>
      <c r="J11" s="43"/>
      <c r="K11" s="96"/>
    </row>
    <row r="12" spans="1:11">
      <c r="A12" s="353" t="s">
        <v>169</v>
      </c>
      <c r="B12" s="524">
        <f ca="1">IF((B4+B5)&gt;B3,(B9+B10)/(B4+B5),((B3-B4-B5)*B6+B9+B10)/B3)</f>
        <v>0.1931502489224394</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465</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483</v>
      </c>
      <c r="B20" s="49">
        <f ca="1">IF(ISERROR('SEAP template'!D27),0,('SEAP template'!D27))</f>
        <v>0</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6">
        <f ca="1">IF(B20=0,0,(B17+B18-B19)/B20)</f>
        <v>0</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2" t="s">
        <v>648</v>
      </c>
      <c r="B1" s="882" t="s">
        <v>297</v>
      </c>
      <c r="C1" s="882" t="s">
        <v>301</v>
      </c>
      <c r="D1" s="882" t="s">
        <v>302</v>
      </c>
      <c r="E1" s="882" t="s">
        <v>303</v>
      </c>
      <c r="F1" s="882" t="s">
        <v>304</v>
      </c>
      <c r="H1" s="915" t="s">
        <v>807</v>
      </c>
    </row>
    <row r="2" spans="1:8">
      <c r="A2" s="310" t="str">
        <f>CONCATENATE(TableECFTransport[[#This Row],[Voertuigtype]],"_",TableECFTransport[[#This Row],[Wegtype]],"_",TableECFTransport[[#This Row],[Brandstoftechnologie]],"_",TableECFTransport[[#This Row],[Brandstof]])</f>
        <v>Tram_gemiddeld_Electric_Electric</v>
      </c>
      <c r="B2" s="310" t="s">
        <v>318</v>
      </c>
      <c r="C2" s="310" t="s">
        <v>329</v>
      </c>
      <c r="D2" s="310" t="s">
        <v>299</v>
      </c>
      <c r="E2" s="310" t="s">
        <v>299</v>
      </c>
      <c r="F2" s="1059">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631</v>
      </c>
      <c r="C3" s="310" t="s">
        <v>64</v>
      </c>
      <c r="D3" s="310" t="s">
        <v>808</v>
      </c>
      <c r="E3" s="310" t="s">
        <v>809</v>
      </c>
      <c r="F3" s="105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631</v>
      </c>
      <c r="C4" s="310" t="s">
        <v>63</v>
      </c>
      <c r="D4" s="310" t="s">
        <v>808</v>
      </c>
      <c r="E4" s="310" t="s">
        <v>809</v>
      </c>
      <c r="F4" s="105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631</v>
      </c>
      <c r="C5" s="310" t="s">
        <v>65</v>
      </c>
      <c r="D5" s="310" t="s">
        <v>808</v>
      </c>
      <c r="E5" s="310" t="s">
        <v>809</v>
      </c>
      <c r="F5" s="1059">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310" t="s">
        <v>631</v>
      </c>
      <c r="C6" s="310" t="s">
        <v>64</v>
      </c>
      <c r="D6" s="310" t="s">
        <v>299</v>
      </c>
      <c r="E6" s="310" t="s">
        <v>299</v>
      </c>
      <c r="F6" s="1059">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631</v>
      </c>
      <c r="C7" s="310" t="s">
        <v>63</v>
      </c>
      <c r="D7" s="310" t="s">
        <v>299</v>
      </c>
      <c r="E7" s="310" t="s">
        <v>299</v>
      </c>
      <c r="F7" s="1059">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631</v>
      </c>
      <c r="C8" s="310" t="s">
        <v>65</v>
      </c>
      <c r="D8" s="310" t="s">
        <v>299</v>
      </c>
      <c r="E8" s="310" t="s">
        <v>299</v>
      </c>
      <c r="F8" s="1059">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632</v>
      </c>
      <c r="C9" s="310" t="s">
        <v>64</v>
      </c>
      <c r="D9" s="310" t="s">
        <v>299</v>
      </c>
      <c r="E9" s="310" t="s">
        <v>299</v>
      </c>
      <c r="F9" s="1059">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632</v>
      </c>
      <c r="C10" s="310" t="s">
        <v>63</v>
      </c>
      <c r="D10" s="310" t="s">
        <v>299</v>
      </c>
      <c r="E10" s="310" t="s">
        <v>299</v>
      </c>
      <c r="F10" s="1059">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632</v>
      </c>
      <c r="C11" s="310" t="s">
        <v>65</v>
      </c>
      <c r="D11" s="310" t="s">
        <v>299</v>
      </c>
      <c r="E11" s="310" t="s">
        <v>299</v>
      </c>
      <c r="F11" s="1059">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647</v>
      </c>
      <c r="C12" s="310" t="s">
        <v>64</v>
      </c>
      <c r="D12" s="310" t="s">
        <v>299</v>
      </c>
      <c r="E12" s="310" t="s">
        <v>299</v>
      </c>
      <c r="F12" s="1059">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647</v>
      </c>
      <c r="C13" s="310" t="s">
        <v>63</v>
      </c>
      <c r="D13" s="310" t="s">
        <v>299</v>
      </c>
      <c r="E13" s="310" t="s">
        <v>299</v>
      </c>
      <c r="F13" s="1059">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647</v>
      </c>
      <c r="C14" s="310" t="s">
        <v>65</v>
      </c>
      <c r="D14" s="310" t="s">
        <v>299</v>
      </c>
      <c r="E14" s="310" t="s">
        <v>299</v>
      </c>
      <c r="F14" s="1059">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631</v>
      </c>
      <c r="C15" s="310" t="s">
        <v>64</v>
      </c>
      <c r="D15" s="310" t="s">
        <v>298</v>
      </c>
      <c r="E15" s="310" t="s">
        <v>298</v>
      </c>
      <c r="F15" s="1059">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631</v>
      </c>
      <c r="C16" s="310" t="s">
        <v>63</v>
      </c>
      <c r="D16" s="310" t="s">
        <v>298</v>
      </c>
      <c r="E16" s="310" t="s">
        <v>298</v>
      </c>
      <c r="F16" s="1059">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631</v>
      </c>
      <c r="C17" s="310" t="s">
        <v>65</v>
      </c>
      <c r="D17" s="310" t="s">
        <v>298</v>
      </c>
      <c r="E17" s="310" t="s">
        <v>298</v>
      </c>
      <c r="F17" s="1059">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631</v>
      </c>
      <c r="C18" s="310" t="s">
        <v>64</v>
      </c>
      <c r="D18" s="310" t="s">
        <v>195</v>
      </c>
      <c r="E18" s="310" t="s">
        <v>195</v>
      </c>
      <c r="F18" s="1059">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631</v>
      </c>
      <c r="C19" s="310" t="s">
        <v>63</v>
      </c>
      <c r="D19" s="310" t="s">
        <v>195</v>
      </c>
      <c r="E19" s="310" t="s">
        <v>195</v>
      </c>
      <c r="F19" s="1059">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631</v>
      </c>
      <c r="C20" s="310" t="s">
        <v>65</v>
      </c>
      <c r="D20" s="310" t="s">
        <v>195</v>
      </c>
      <c r="E20" s="310" t="s">
        <v>195</v>
      </c>
      <c r="F20" s="1059">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631</v>
      </c>
      <c r="C21" s="310" t="s">
        <v>64</v>
      </c>
      <c r="D21" s="310" t="s">
        <v>810</v>
      </c>
      <c r="E21" s="310" t="s">
        <v>195</v>
      </c>
      <c r="F21" s="1059">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631</v>
      </c>
      <c r="C22" s="310" t="s">
        <v>64</v>
      </c>
      <c r="D22" s="310" t="s">
        <v>810</v>
      </c>
      <c r="E22" s="310" t="s">
        <v>299</v>
      </c>
      <c r="F22" s="1059">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631</v>
      </c>
      <c r="C23" s="310" t="s">
        <v>63</v>
      </c>
      <c r="D23" s="310" t="s">
        <v>810</v>
      </c>
      <c r="E23" s="310" t="s">
        <v>195</v>
      </c>
      <c r="F23" s="1059">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631</v>
      </c>
      <c r="C24" s="310" t="s">
        <v>63</v>
      </c>
      <c r="D24" s="310" t="s">
        <v>810</v>
      </c>
      <c r="E24" s="310" t="s">
        <v>299</v>
      </c>
      <c r="F24" s="1059">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631</v>
      </c>
      <c r="C25" s="310" t="s">
        <v>65</v>
      </c>
      <c r="D25" s="310" t="s">
        <v>810</v>
      </c>
      <c r="E25" s="310" t="s">
        <v>195</v>
      </c>
      <c r="F25" s="1059">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631</v>
      </c>
      <c r="C26" s="310" t="s">
        <v>65</v>
      </c>
      <c r="D26" s="310" t="s">
        <v>810</v>
      </c>
      <c r="E26" s="310" t="s">
        <v>299</v>
      </c>
      <c r="F26" s="1059">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631</v>
      </c>
      <c r="C27" s="310" t="s">
        <v>64</v>
      </c>
      <c r="D27" s="310" t="s">
        <v>112</v>
      </c>
      <c r="E27" s="310" t="s">
        <v>112</v>
      </c>
      <c r="F27" s="1059">
        <v>3.6997736087881449E-9</v>
      </c>
      <c r="G27" s="901"/>
    </row>
    <row r="28" spans="1:7">
      <c r="A28" s="310" t="str">
        <f>CONCATENATE(TableECFTransport[[#This Row],[Voertuigtype]],"_",TableECFTransport[[#This Row],[Wegtype]],"_",TableECFTransport[[#This Row],[Brandstoftechnologie]],"_",TableECFTransport[[#This Row],[Brandstof]])</f>
        <v>Lichte voertuigen_Genummerde wegen_LPG_LPG</v>
      </c>
      <c r="B28" s="310" t="s">
        <v>631</v>
      </c>
      <c r="C28" s="310" t="s">
        <v>63</v>
      </c>
      <c r="D28" s="310" t="s">
        <v>112</v>
      </c>
      <c r="E28" s="310" t="s">
        <v>112</v>
      </c>
      <c r="F28" s="1059">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631</v>
      </c>
      <c r="C29" s="310" t="s">
        <v>65</v>
      </c>
      <c r="D29" s="310" t="s">
        <v>112</v>
      </c>
      <c r="E29" s="310" t="s">
        <v>112</v>
      </c>
      <c r="F29" s="1059">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631</v>
      </c>
      <c r="C30" s="310" t="s">
        <v>64</v>
      </c>
      <c r="D30" s="310" t="s">
        <v>300</v>
      </c>
      <c r="E30" s="310" t="s">
        <v>300</v>
      </c>
      <c r="F30" s="1059">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631</v>
      </c>
      <c r="C31" s="310" t="s">
        <v>63</v>
      </c>
      <c r="D31" s="310" t="s">
        <v>300</v>
      </c>
      <c r="E31" s="310" t="s">
        <v>300</v>
      </c>
      <c r="F31" s="1059">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631</v>
      </c>
      <c r="C32" s="310" t="s">
        <v>65</v>
      </c>
      <c r="D32" s="310" t="s">
        <v>300</v>
      </c>
      <c r="E32" s="310" t="s">
        <v>300</v>
      </c>
      <c r="F32" s="1059">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631</v>
      </c>
      <c r="C33" s="310" t="s">
        <v>64</v>
      </c>
      <c r="D33" s="310" t="s">
        <v>812</v>
      </c>
      <c r="E33" s="310" t="s">
        <v>300</v>
      </c>
      <c r="F33" s="1059">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631</v>
      </c>
      <c r="C34" s="310" t="s">
        <v>63</v>
      </c>
      <c r="D34" s="310" t="s">
        <v>812</v>
      </c>
      <c r="E34" s="310" t="s">
        <v>300</v>
      </c>
      <c r="F34" s="1059">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631</v>
      </c>
      <c r="C35" s="310" t="s">
        <v>65</v>
      </c>
      <c r="D35" s="310" t="s">
        <v>812</v>
      </c>
      <c r="E35" s="310" t="s">
        <v>300</v>
      </c>
      <c r="F35" s="1059">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631</v>
      </c>
      <c r="C36" s="310" t="s">
        <v>64</v>
      </c>
      <c r="D36" s="310" t="s">
        <v>811</v>
      </c>
      <c r="E36" s="310" t="s">
        <v>299</v>
      </c>
      <c r="F36" s="1059">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631</v>
      </c>
      <c r="C37" s="310" t="s">
        <v>64</v>
      </c>
      <c r="D37" s="310" t="s">
        <v>811</v>
      </c>
      <c r="E37" s="310" t="s">
        <v>300</v>
      </c>
      <c r="F37" s="1059">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631</v>
      </c>
      <c r="C38" s="310" t="s">
        <v>63</v>
      </c>
      <c r="D38" s="310" t="s">
        <v>811</v>
      </c>
      <c r="E38" s="310" t="s">
        <v>299</v>
      </c>
      <c r="F38" s="1059">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631</v>
      </c>
      <c r="C39" s="310" t="s">
        <v>63</v>
      </c>
      <c r="D39" s="310" t="s">
        <v>811</v>
      </c>
      <c r="E39" s="310" t="s">
        <v>300</v>
      </c>
      <c r="F39" s="1059">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631</v>
      </c>
      <c r="C40" s="310" t="s">
        <v>65</v>
      </c>
      <c r="D40" s="310" t="s">
        <v>811</v>
      </c>
      <c r="E40" s="310" t="s">
        <v>299</v>
      </c>
      <c r="F40" s="1059">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631</v>
      </c>
      <c r="C41" s="310" t="s">
        <v>65</v>
      </c>
      <c r="D41" s="310" t="s">
        <v>811</v>
      </c>
      <c r="E41" s="310" t="s">
        <v>300</v>
      </c>
      <c r="F41" s="1059">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632</v>
      </c>
      <c r="C42" s="310" t="s">
        <v>64</v>
      </c>
      <c r="D42" s="310" t="s">
        <v>195</v>
      </c>
      <c r="E42" s="310" t="s">
        <v>195</v>
      </c>
      <c r="F42" s="1059">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632</v>
      </c>
      <c r="C43" s="310" t="s">
        <v>63</v>
      </c>
      <c r="D43" s="310" t="s">
        <v>195</v>
      </c>
      <c r="E43" s="310" t="s">
        <v>195</v>
      </c>
      <c r="F43" s="1059">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632</v>
      </c>
      <c r="C44" s="310" t="s">
        <v>65</v>
      </c>
      <c r="D44" s="310" t="s">
        <v>195</v>
      </c>
      <c r="E44" s="310" t="s">
        <v>195</v>
      </c>
      <c r="F44" s="1059">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632</v>
      </c>
      <c r="C45" s="310" t="s">
        <v>64</v>
      </c>
      <c r="D45" s="310" t="s">
        <v>300</v>
      </c>
      <c r="E45" s="310" t="s">
        <v>300</v>
      </c>
      <c r="F45" s="1059">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632</v>
      </c>
      <c r="C46" s="310" t="s">
        <v>63</v>
      </c>
      <c r="D46" s="310" t="s">
        <v>300</v>
      </c>
      <c r="E46" s="310" t="s">
        <v>300</v>
      </c>
      <c r="F46" s="1059">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632</v>
      </c>
      <c r="C47" s="310" t="s">
        <v>65</v>
      </c>
      <c r="D47" s="310" t="s">
        <v>300</v>
      </c>
      <c r="E47" s="310" t="s">
        <v>300</v>
      </c>
      <c r="F47" s="1059">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647</v>
      </c>
      <c r="C48" s="310" t="s">
        <v>64</v>
      </c>
      <c r="D48" s="310" t="s">
        <v>298</v>
      </c>
      <c r="E48" s="310" t="s">
        <v>298</v>
      </c>
      <c r="F48" s="1059">
        <v>2.3303083752649969E-8</v>
      </c>
    </row>
    <row r="49" spans="1:6">
      <c r="A49" s="310" t="str">
        <f>CONCATENATE(TableECFTransport[[#This Row],[Voertuigtype]],"_",TableECFTransport[[#This Row],[Wegtype]],"_",TableECFTransport[[#This Row],[Brandstoftechnologie]],"_",TableECFTransport[[#This Row],[Brandstof]])</f>
        <v>BUS_Genummerde wegen_CNG_CNG</v>
      </c>
      <c r="B49" s="310" t="s">
        <v>647</v>
      </c>
      <c r="C49" s="310" t="s">
        <v>63</v>
      </c>
      <c r="D49" s="310" t="s">
        <v>298</v>
      </c>
      <c r="E49" s="310" t="s">
        <v>298</v>
      </c>
      <c r="F49" s="1059">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647</v>
      </c>
      <c r="C50" s="310" t="s">
        <v>64</v>
      </c>
      <c r="D50" s="310" t="s">
        <v>195</v>
      </c>
      <c r="E50" s="310" t="s">
        <v>195</v>
      </c>
      <c r="F50" s="1059">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647</v>
      </c>
      <c r="C51" s="310" t="s">
        <v>63</v>
      </c>
      <c r="D51" s="310" t="s">
        <v>195</v>
      </c>
      <c r="E51" s="310" t="s">
        <v>195</v>
      </c>
      <c r="F51" s="1059">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647</v>
      </c>
      <c r="C52" s="310" t="s">
        <v>64</v>
      </c>
      <c r="D52" s="310" t="s">
        <v>810</v>
      </c>
      <c r="E52" s="310" t="s">
        <v>195</v>
      </c>
      <c r="F52" s="1059">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647</v>
      </c>
      <c r="C53" s="310" t="s">
        <v>64</v>
      </c>
      <c r="D53" s="310" t="s">
        <v>810</v>
      </c>
      <c r="E53" s="310" t="s">
        <v>299</v>
      </c>
      <c r="F53" s="1059">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647</v>
      </c>
      <c r="C54" s="310" t="s">
        <v>63</v>
      </c>
      <c r="D54" s="310" t="s">
        <v>810</v>
      </c>
      <c r="E54" s="310" t="s">
        <v>195</v>
      </c>
      <c r="F54" s="1059">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647</v>
      </c>
      <c r="C55" s="310" t="s">
        <v>63</v>
      </c>
      <c r="D55" s="310" t="s">
        <v>810</v>
      </c>
      <c r="E55" s="310" t="s">
        <v>299</v>
      </c>
      <c r="F55" s="105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2019</v>
      </c>
      <c r="B1" s="120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8"/>
      <c r="B2" s="120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8"/>
      <c r="B3" s="120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378</v>
      </c>
      <c r="B5" s="908" t="s">
        <v>835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54">
        <v>0</v>
      </c>
      <c r="D7" s="854">
        <v>0.24874242528222215</v>
      </c>
      <c r="E7" s="854">
        <v>0</v>
      </c>
      <c r="F7" s="855">
        <v>0.27329063135479803</v>
      </c>
      <c r="G7" s="854">
        <v>0</v>
      </c>
      <c r="H7" s="854">
        <v>0</v>
      </c>
      <c r="I7" s="854">
        <v>2.3194470877768665</v>
      </c>
      <c r="J7" s="854">
        <v>0.83659476777628394</v>
      </c>
      <c r="K7" s="854">
        <v>0</v>
      </c>
      <c r="L7" s="854">
        <v>47.953217499768392</v>
      </c>
      <c r="M7" s="854">
        <v>0</v>
      </c>
      <c r="N7" s="854">
        <v>0</v>
      </c>
      <c r="O7" s="854">
        <v>0</v>
      </c>
      <c r="P7" s="854">
        <v>0</v>
      </c>
      <c r="Q7" s="854">
        <v>0</v>
      </c>
      <c r="R7" s="855">
        <v>51.109259355321541</v>
      </c>
      <c r="S7" s="854">
        <v>89.312405479034894</v>
      </c>
      <c r="T7" s="854">
        <v>0</v>
      </c>
      <c r="U7" s="854">
        <v>0</v>
      </c>
      <c r="V7" s="855">
        <v>89.312405479034894</v>
      </c>
      <c r="W7" s="855">
        <v>140.69495546571122</v>
      </c>
      <c r="X7" s="854">
        <v>0</v>
      </c>
      <c r="Y7" s="854">
        <v>13.347049296426572</v>
      </c>
      <c r="Z7" s="854">
        <v>37.831911951237785</v>
      </c>
      <c r="AA7" s="856">
        <v>4.0694870346968584</v>
      </c>
      <c r="AB7" s="856">
        <v>0</v>
      </c>
      <c r="AC7" s="855">
        <v>195.94340374807243</v>
      </c>
    </row>
    <row r="8" spans="1:29">
      <c r="A8" s="213" t="s">
        <v>149</v>
      </c>
      <c r="B8" s="214"/>
      <c r="C8" s="857">
        <v>0</v>
      </c>
      <c r="D8" s="857">
        <v>8.7900000000000009E-5</v>
      </c>
      <c r="E8" s="857">
        <v>0</v>
      </c>
      <c r="F8" s="858">
        <v>8.7900000000000009E-5</v>
      </c>
      <c r="G8" s="857">
        <v>0</v>
      </c>
      <c r="H8" s="857">
        <v>0</v>
      </c>
      <c r="I8" s="857">
        <v>0.20878836355805555</v>
      </c>
      <c r="J8" s="857">
        <v>5.2990333168958592E-3</v>
      </c>
      <c r="K8" s="857">
        <v>0</v>
      </c>
      <c r="L8" s="857">
        <v>10.999129910063552</v>
      </c>
      <c r="M8" s="857">
        <v>0</v>
      </c>
      <c r="N8" s="857">
        <v>0</v>
      </c>
      <c r="O8" s="857">
        <v>0</v>
      </c>
      <c r="P8" s="857">
        <v>0</v>
      </c>
      <c r="Q8" s="857">
        <v>0</v>
      </c>
      <c r="R8" s="858">
        <v>11.213217306938503</v>
      </c>
      <c r="S8" s="857">
        <v>49.136086727768358</v>
      </c>
      <c r="T8" s="857">
        <v>0</v>
      </c>
      <c r="U8" s="857">
        <v>0</v>
      </c>
      <c r="V8" s="858">
        <v>49.136086727768358</v>
      </c>
      <c r="W8" s="858">
        <v>60.349391934706873</v>
      </c>
      <c r="X8" s="857">
        <v>1.7104239999999999</v>
      </c>
      <c r="Y8" s="857">
        <v>3.3767626705601153</v>
      </c>
      <c r="Z8" s="857">
        <v>42.647739918145334</v>
      </c>
      <c r="AA8" s="859">
        <v>1.1414258946514648</v>
      </c>
      <c r="AB8" s="859">
        <v>0</v>
      </c>
      <c r="AC8" s="858">
        <v>109.22574441806377</v>
      </c>
    </row>
    <row r="9" spans="1:29">
      <c r="A9" s="3"/>
      <c r="B9" s="6" t="s">
        <v>150</v>
      </c>
      <c r="C9" s="860">
        <v>0</v>
      </c>
      <c r="D9" s="860">
        <v>0</v>
      </c>
      <c r="E9" s="860">
        <v>0</v>
      </c>
      <c r="F9" s="861">
        <v>0</v>
      </c>
      <c r="G9" s="860">
        <v>0</v>
      </c>
      <c r="H9" s="860">
        <v>0</v>
      </c>
      <c r="I9" s="860">
        <v>0</v>
      </c>
      <c r="J9" s="860">
        <v>0</v>
      </c>
      <c r="K9" s="860">
        <v>0</v>
      </c>
      <c r="L9" s="860">
        <v>0.40040053473422016</v>
      </c>
      <c r="M9" s="860">
        <v>0</v>
      </c>
      <c r="N9" s="860">
        <v>0</v>
      </c>
      <c r="O9" s="860">
        <v>0</v>
      </c>
      <c r="P9" s="860">
        <v>0</v>
      </c>
      <c r="Q9" s="860">
        <v>0</v>
      </c>
      <c r="R9" s="861">
        <v>0.40040053473422016</v>
      </c>
      <c r="S9" s="860">
        <v>7.2087038182404006</v>
      </c>
      <c r="T9" s="860">
        <v>0</v>
      </c>
      <c r="U9" s="860">
        <v>0</v>
      </c>
      <c r="V9" s="861">
        <v>7.2087038182404006</v>
      </c>
      <c r="W9" s="861">
        <v>7.6091043529746205</v>
      </c>
      <c r="X9" s="860">
        <v>0</v>
      </c>
      <c r="Y9" s="860">
        <v>1.3610812978779999E-3</v>
      </c>
      <c r="Z9" s="860">
        <v>4.9139811667475515</v>
      </c>
      <c r="AA9" s="862">
        <v>0</v>
      </c>
      <c r="AB9" s="862">
        <v>0</v>
      </c>
      <c r="AC9" s="861">
        <v>12.524446601020049</v>
      </c>
    </row>
    <row r="10" spans="1:29">
      <c r="A10" s="3"/>
      <c r="B10" s="6" t="s">
        <v>151</v>
      </c>
      <c r="C10" s="860">
        <v>0</v>
      </c>
      <c r="D10" s="860">
        <v>0</v>
      </c>
      <c r="E10" s="860">
        <v>0</v>
      </c>
      <c r="F10" s="861">
        <v>0</v>
      </c>
      <c r="G10" s="860">
        <v>0</v>
      </c>
      <c r="H10" s="860">
        <v>0</v>
      </c>
      <c r="I10" s="860">
        <v>0</v>
      </c>
      <c r="J10" s="860">
        <v>0</v>
      </c>
      <c r="K10" s="860">
        <v>0</v>
      </c>
      <c r="L10" s="860">
        <v>0.33487558485605978</v>
      </c>
      <c r="M10" s="860">
        <v>0</v>
      </c>
      <c r="N10" s="860">
        <v>0</v>
      </c>
      <c r="O10" s="860">
        <v>0</v>
      </c>
      <c r="P10" s="860">
        <v>0</v>
      </c>
      <c r="Q10" s="860">
        <v>0</v>
      </c>
      <c r="R10" s="861">
        <v>0.33487558485605978</v>
      </c>
      <c r="S10" s="860">
        <v>6.3023607944110784</v>
      </c>
      <c r="T10" s="860">
        <v>0</v>
      </c>
      <c r="U10" s="860">
        <v>0</v>
      </c>
      <c r="V10" s="861">
        <v>6.3023607944110784</v>
      </c>
      <c r="W10" s="861">
        <v>6.6372363792671383</v>
      </c>
      <c r="X10" s="860">
        <v>0</v>
      </c>
      <c r="Y10" s="860">
        <v>2.6848084639999995E-2</v>
      </c>
      <c r="Z10" s="860">
        <v>3.6732389124410996</v>
      </c>
      <c r="AA10" s="862">
        <v>0</v>
      </c>
      <c r="AB10" s="862">
        <v>0</v>
      </c>
      <c r="AC10" s="861">
        <v>10.337323376348238</v>
      </c>
    </row>
    <row r="11" spans="1:29">
      <c r="A11" s="3"/>
      <c r="B11" s="6" t="s">
        <v>152</v>
      </c>
      <c r="C11" s="860">
        <v>0</v>
      </c>
      <c r="D11" s="860">
        <v>0</v>
      </c>
      <c r="E11" s="860">
        <v>0</v>
      </c>
      <c r="F11" s="861">
        <v>0</v>
      </c>
      <c r="G11" s="860">
        <v>0</v>
      </c>
      <c r="H11" s="860">
        <v>0</v>
      </c>
      <c r="I11" s="860">
        <v>0</v>
      </c>
      <c r="J11" s="860">
        <v>0</v>
      </c>
      <c r="K11" s="860">
        <v>0</v>
      </c>
      <c r="L11" s="860">
        <v>4.5906788841887584E-2</v>
      </c>
      <c r="M11" s="860">
        <v>0</v>
      </c>
      <c r="N11" s="860">
        <v>0</v>
      </c>
      <c r="O11" s="860">
        <v>0</v>
      </c>
      <c r="P11" s="860">
        <v>0</v>
      </c>
      <c r="Q11" s="860">
        <v>0</v>
      </c>
      <c r="R11" s="861">
        <v>4.5906788841887584E-2</v>
      </c>
      <c r="S11" s="860">
        <v>2.9064870091403998</v>
      </c>
      <c r="T11" s="860">
        <v>0</v>
      </c>
      <c r="U11" s="860">
        <v>0</v>
      </c>
      <c r="V11" s="861">
        <v>2.9064870091403998</v>
      </c>
      <c r="W11" s="861">
        <v>2.9523937979822872</v>
      </c>
      <c r="X11" s="860">
        <v>0</v>
      </c>
      <c r="Y11" s="860">
        <v>3.6896880000000004E-3</v>
      </c>
      <c r="Z11" s="860">
        <v>1.1716095672</v>
      </c>
      <c r="AA11" s="862">
        <v>0</v>
      </c>
      <c r="AB11" s="862">
        <v>0</v>
      </c>
      <c r="AC11" s="861">
        <v>4.1276930531822877</v>
      </c>
    </row>
    <row r="12" spans="1:29">
      <c r="A12" s="3"/>
      <c r="B12" s="6" t="s">
        <v>153</v>
      </c>
      <c r="C12" s="860">
        <v>0</v>
      </c>
      <c r="D12" s="860">
        <v>0</v>
      </c>
      <c r="E12" s="860">
        <v>0</v>
      </c>
      <c r="F12" s="861">
        <v>0</v>
      </c>
      <c r="G12" s="860">
        <v>0</v>
      </c>
      <c r="H12" s="860">
        <v>0</v>
      </c>
      <c r="I12" s="860">
        <v>2.9898107519163832E-3</v>
      </c>
      <c r="J12" s="860">
        <v>0</v>
      </c>
      <c r="K12" s="860">
        <v>0</v>
      </c>
      <c r="L12" s="860">
        <v>1.0899138787062845</v>
      </c>
      <c r="M12" s="860">
        <v>0</v>
      </c>
      <c r="N12" s="860">
        <v>0</v>
      </c>
      <c r="O12" s="860">
        <v>0</v>
      </c>
      <c r="P12" s="860">
        <v>0</v>
      </c>
      <c r="Q12" s="860">
        <v>0</v>
      </c>
      <c r="R12" s="861">
        <v>1.0929036894582009</v>
      </c>
      <c r="S12" s="860">
        <v>15.650960374413636</v>
      </c>
      <c r="T12" s="860">
        <v>0</v>
      </c>
      <c r="U12" s="860">
        <v>0</v>
      </c>
      <c r="V12" s="861">
        <v>15.650960374413636</v>
      </c>
      <c r="W12" s="861">
        <v>16.743864063871836</v>
      </c>
      <c r="X12" s="860">
        <v>0</v>
      </c>
      <c r="Y12" s="860">
        <v>1.6772113712554999E-2</v>
      </c>
      <c r="Z12" s="860">
        <v>12.547967264823766</v>
      </c>
      <c r="AA12" s="862">
        <v>0</v>
      </c>
      <c r="AB12" s="862">
        <v>0</v>
      </c>
      <c r="AC12" s="861">
        <v>29.308603442408156</v>
      </c>
    </row>
    <row r="13" spans="1:29">
      <c r="A13" s="3"/>
      <c r="B13" s="6" t="s">
        <v>154</v>
      </c>
      <c r="C13" s="860">
        <v>0</v>
      </c>
      <c r="D13" s="860">
        <v>0</v>
      </c>
      <c r="E13" s="860">
        <v>0</v>
      </c>
      <c r="F13" s="861">
        <v>0</v>
      </c>
      <c r="G13" s="860">
        <v>0</v>
      </c>
      <c r="H13" s="860">
        <v>0</v>
      </c>
      <c r="I13" s="860">
        <v>9.3126948461290077E-2</v>
      </c>
      <c r="J13" s="860">
        <v>8.8016389999999998E-4</v>
      </c>
      <c r="K13" s="860">
        <v>0</v>
      </c>
      <c r="L13" s="860">
        <v>1.1573717127091439</v>
      </c>
      <c r="M13" s="860">
        <v>0</v>
      </c>
      <c r="N13" s="860">
        <v>0</v>
      </c>
      <c r="O13" s="860">
        <v>0</v>
      </c>
      <c r="P13" s="860">
        <v>0</v>
      </c>
      <c r="Q13" s="860">
        <v>0</v>
      </c>
      <c r="R13" s="861">
        <v>1.2513788250704339</v>
      </c>
      <c r="S13" s="860">
        <v>9.1404449427810626</v>
      </c>
      <c r="T13" s="860">
        <v>0</v>
      </c>
      <c r="U13" s="860">
        <v>0</v>
      </c>
      <c r="V13" s="861">
        <v>9.1404449427810626</v>
      </c>
      <c r="W13" s="861">
        <v>10.391823767851497</v>
      </c>
      <c r="X13" s="860">
        <v>0</v>
      </c>
      <c r="Y13" s="860">
        <v>4.3520310000000001E-3</v>
      </c>
      <c r="Z13" s="860">
        <v>11.650167432061705</v>
      </c>
      <c r="AA13" s="862">
        <v>0</v>
      </c>
      <c r="AB13" s="862">
        <v>0</v>
      </c>
      <c r="AC13" s="861">
        <v>22.046343230913202</v>
      </c>
    </row>
    <row r="14" spans="1:29">
      <c r="A14" s="215"/>
      <c r="B14" s="216" t="s">
        <v>155</v>
      </c>
      <c r="C14" s="863">
        <v>0</v>
      </c>
      <c r="D14" s="863">
        <v>8.7900000000000009E-5</v>
      </c>
      <c r="E14" s="863">
        <v>0</v>
      </c>
      <c r="F14" s="864">
        <v>8.7900000000000009E-5</v>
      </c>
      <c r="G14" s="860">
        <v>0</v>
      </c>
      <c r="H14" s="860">
        <v>0</v>
      </c>
      <c r="I14" s="860">
        <v>0.11267160434484912</v>
      </c>
      <c r="J14" s="860">
        <v>4.4188694168958587E-3</v>
      </c>
      <c r="K14" s="860">
        <v>0</v>
      </c>
      <c r="L14" s="860">
        <v>7.9706614102159561</v>
      </c>
      <c r="M14" s="860">
        <v>0</v>
      </c>
      <c r="N14" s="860">
        <v>0</v>
      </c>
      <c r="O14" s="860">
        <v>0</v>
      </c>
      <c r="P14" s="860">
        <v>0</v>
      </c>
      <c r="Q14" s="860">
        <v>0</v>
      </c>
      <c r="R14" s="864">
        <v>8.0877518839777007</v>
      </c>
      <c r="S14" s="860">
        <v>7.9271297887817864</v>
      </c>
      <c r="T14" s="863">
        <v>0</v>
      </c>
      <c r="U14" s="863">
        <v>0</v>
      </c>
      <c r="V14" s="864">
        <v>7.9271297887817864</v>
      </c>
      <c r="W14" s="864">
        <v>16.014969572759487</v>
      </c>
      <c r="X14" s="860">
        <v>1.7104239999999999</v>
      </c>
      <c r="Y14" s="860">
        <v>3.3237396719096823</v>
      </c>
      <c r="Z14" s="860">
        <v>8.6907755748712106</v>
      </c>
      <c r="AA14" s="865">
        <v>0</v>
      </c>
      <c r="AB14" s="865">
        <v>0</v>
      </c>
      <c r="AC14" s="864">
        <v>29.739908819540378</v>
      </c>
    </row>
    <row r="15" spans="1:29">
      <c r="A15" s="213" t="s">
        <v>156</v>
      </c>
      <c r="B15" s="217"/>
      <c r="C15" s="866">
        <v>0</v>
      </c>
      <c r="D15" s="866">
        <v>3.0338772400000102E-2</v>
      </c>
      <c r="E15" s="866">
        <v>0.20771800000000001</v>
      </c>
      <c r="F15" s="867">
        <v>0.23805677240000012</v>
      </c>
      <c r="G15" s="866">
        <v>0</v>
      </c>
      <c r="H15" s="866">
        <v>0</v>
      </c>
      <c r="I15" s="866">
        <v>2.5812595364334148</v>
      </c>
      <c r="J15" s="866">
        <v>0.14645439674652899</v>
      </c>
      <c r="K15" s="866">
        <v>0</v>
      </c>
      <c r="L15" s="866">
        <v>6.4726597572081763</v>
      </c>
      <c r="M15" s="866">
        <v>0</v>
      </c>
      <c r="N15" s="866">
        <v>0.21603752470702481</v>
      </c>
      <c r="O15" s="866">
        <v>0</v>
      </c>
      <c r="P15" s="866">
        <v>2.6201000000000002E-2</v>
      </c>
      <c r="Q15" s="866">
        <v>0</v>
      </c>
      <c r="R15" s="1039">
        <v>9.4426122150951457</v>
      </c>
      <c r="S15" s="866">
        <v>32.746045500159362</v>
      </c>
      <c r="T15" s="866">
        <v>0</v>
      </c>
      <c r="U15" s="866">
        <v>0</v>
      </c>
      <c r="V15" s="1039">
        <v>32.746045500159362</v>
      </c>
      <c r="W15" s="1039">
        <v>42.426714487654515</v>
      </c>
      <c r="X15" s="1051">
        <v>2.8825406369840999E-2</v>
      </c>
      <c r="Y15" s="866">
        <v>1.3852269166779996</v>
      </c>
      <c r="Z15" s="866">
        <v>43.844919721317268</v>
      </c>
      <c r="AA15" s="868">
        <v>1.4610744687472099</v>
      </c>
      <c r="AB15" s="868">
        <v>0</v>
      </c>
      <c r="AC15" s="867">
        <f>SUM(W15:AB15)</f>
        <v>89.14676100076683</v>
      </c>
    </row>
    <row r="16" spans="1:29">
      <c r="A16" s="5"/>
      <c r="B16" s="6" t="s">
        <v>34</v>
      </c>
      <c r="C16" s="869">
        <v>0</v>
      </c>
      <c r="D16" s="869">
        <v>0</v>
      </c>
      <c r="E16" s="869">
        <v>0</v>
      </c>
      <c r="F16" s="861">
        <v>0</v>
      </c>
      <c r="G16" s="869">
        <v>0</v>
      </c>
      <c r="H16" s="869">
        <v>0</v>
      </c>
      <c r="I16" s="869">
        <v>4.9299999999999995E-4</v>
      </c>
      <c r="J16" s="869">
        <v>0</v>
      </c>
      <c r="K16" s="869">
        <v>0</v>
      </c>
      <c r="L16" s="869">
        <v>7.5490000000000002E-3</v>
      </c>
      <c r="M16" s="869">
        <v>0</v>
      </c>
      <c r="N16" s="869">
        <v>3.4694469519536142E-18</v>
      </c>
      <c r="O16" s="869">
        <v>0</v>
      </c>
      <c r="P16" s="869">
        <v>0</v>
      </c>
      <c r="Q16" s="869">
        <v>0</v>
      </c>
      <c r="R16" s="861">
        <v>8.042000000000004E-3</v>
      </c>
      <c r="S16" s="869">
        <v>0.12991166852240177</v>
      </c>
      <c r="T16" s="869">
        <v>0</v>
      </c>
      <c r="U16" s="869">
        <v>0</v>
      </c>
      <c r="V16" s="870">
        <v>0.12991166852240177</v>
      </c>
      <c r="W16" s="861">
        <v>0.13795366852240176</v>
      </c>
      <c r="X16" s="1052">
        <v>0</v>
      </c>
      <c r="Y16" s="869">
        <v>0</v>
      </c>
      <c r="Z16" s="869">
        <v>0.50663475960000071</v>
      </c>
      <c r="AA16" s="862">
        <v>0</v>
      </c>
      <c r="AB16" s="862">
        <v>0</v>
      </c>
      <c r="AC16" s="861">
        <f t="shared" ref="AC16:AC24" si="0">SUM(W16:AB16)</f>
        <v>0.64458842812240247</v>
      </c>
    </row>
    <row r="17" spans="1:31">
      <c r="A17" s="5"/>
      <c r="B17" s="6" t="s">
        <v>37</v>
      </c>
      <c r="C17" s="869">
        <v>0</v>
      </c>
      <c r="D17" s="869">
        <v>0</v>
      </c>
      <c r="E17" s="869">
        <v>0.20282100000000003</v>
      </c>
      <c r="F17" s="861">
        <v>0.20282100000000003</v>
      </c>
      <c r="G17" s="869">
        <v>0</v>
      </c>
      <c r="H17" s="869">
        <v>0</v>
      </c>
      <c r="I17" s="869">
        <v>2.8900000000000009E-4</v>
      </c>
      <c r="J17" s="869">
        <v>0</v>
      </c>
      <c r="K17" s="869">
        <v>0</v>
      </c>
      <c r="L17" s="869">
        <v>8.0327707291170003E-2</v>
      </c>
      <c r="M17" s="869">
        <v>0</v>
      </c>
      <c r="N17" s="869">
        <v>6.2350000000000183E-3</v>
      </c>
      <c r="O17" s="869">
        <v>0</v>
      </c>
      <c r="P17" s="869">
        <v>7.2490000000000002E-3</v>
      </c>
      <c r="Q17" s="869">
        <v>0</v>
      </c>
      <c r="R17" s="861">
        <v>9.4100707291170024E-2</v>
      </c>
      <c r="S17" s="869">
        <v>0.74747439069600086</v>
      </c>
      <c r="T17" s="869">
        <v>0</v>
      </c>
      <c r="U17" s="869">
        <v>0</v>
      </c>
      <c r="V17" s="870">
        <v>0.74747439069600086</v>
      </c>
      <c r="W17" s="861">
        <v>1.0443960979871709</v>
      </c>
      <c r="X17" s="1052">
        <v>0</v>
      </c>
      <c r="Y17" s="869">
        <v>0</v>
      </c>
      <c r="Z17" s="869">
        <v>0.54453463719999995</v>
      </c>
      <c r="AA17" s="862">
        <v>0</v>
      </c>
      <c r="AB17" s="862">
        <v>0</v>
      </c>
      <c r="AC17" s="861">
        <f t="shared" si="0"/>
        <v>1.5889307351871709</v>
      </c>
    </row>
    <row r="18" spans="1:31">
      <c r="A18" s="5"/>
      <c r="B18" s="6" t="s">
        <v>35</v>
      </c>
      <c r="C18" s="869">
        <v>0</v>
      </c>
      <c r="D18" s="869">
        <v>0</v>
      </c>
      <c r="E18" s="869">
        <v>4.8969999999999847E-3</v>
      </c>
      <c r="F18" s="861">
        <v>4.8969999999999847E-3</v>
      </c>
      <c r="G18" s="869">
        <v>0</v>
      </c>
      <c r="H18" s="869">
        <v>0</v>
      </c>
      <c r="I18" s="869">
        <v>3.2588932329250385E-2</v>
      </c>
      <c r="J18" s="869">
        <v>1.1407E-2</v>
      </c>
      <c r="K18" s="869">
        <v>0</v>
      </c>
      <c r="L18" s="869">
        <v>0.38500636334897742</v>
      </c>
      <c r="M18" s="869">
        <v>0</v>
      </c>
      <c r="N18" s="869">
        <v>0</v>
      </c>
      <c r="O18" s="869">
        <v>0</v>
      </c>
      <c r="P18" s="869">
        <v>0</v>
      </c>
      <c r="Q18" s="869">
        <v>0</v>
      </c>
      <c r="R18" s="861">
        <v>0.42900229567822779</v>
      </c>
      <c r="S18" s="869">
        <v>4.7965875513159739</v>
      </c>
      <c r="T18" s="869">
        <v>0</v>
      </c>
      <c r="U18" s="869">
        <v>0</v>
      </c>
      <c r="V18" s="870">
        <v>4.7965875513159739</v>
      </c>
      <c r="W18" s="861">
        <v>5.2304868469942019</v>
      </c>
      <c r="X18" s="1052">
        <v>0</v>
      </c>
      <c r="Y18" s="869">
        <v>0.12915835719999999</v>
      </c>
      <c r="Z18" s="869">
        <v>5.9783525886064597</v>
      </c>
      <c r="AA18" s="862">
        <v>0</v>
      </c>
      <c r="AB18" s="862">
        <v>0</v>
      </c>
      <c r="AC18" s="861">
        <f t="shared" si="0"/>
        <v>11.33799779280066</v>
      </c>
    </row>
    <row r="19" spans="1:31">
      <c r="A19" s="5"/>
      <c r="B19" s="6" t="s">
        <v>32</v>
      </c>
      <c r="C19" s="869">
        <v>0</v>
      </c>
      <c r="D19" s="869">
        <v>0</v>
      </c>
      <c r="E19" s="869">
        <v>0</v>
      </c>
      <c r="F19" s="861">
        <v>0</v>
      </c>
      <c r="G19" s="869">
        <v>0</v>
      </c>
      <c r="H19" s="869">
        <v>0</v>
      </c>
      <c r="I19" s="869">
        <v>2.8524355817076196E-2</v>
      </c>
      <c r="J19" s="869">
        <v>0.13504739674652899</v>
      </c>
      <c r="K19" s="869">
        <v>0</v>
      </c>
      <c r="L19" s="869">
        <v>5.5150971200233476</v>
      </c>
      <c r="M19" s="869">
        <v>0</v>
      </c>
      <c r="N19" s="869">
        <v>0.19837852470702463</v>
      </c>
      <c r="O19" s="869">
        <v>0</v>
      </c>
      <c r="P19" s="869">
        <v>0</v>
      </c>
      <c r="Q19" s="869">
        <v>0</v>
      </c>
      <c r="R19" s="861">
        <v>5.8770473972939774</v>
      </c>
      <c r="S19" s="869">
        <v>4.8195818277062523</v>
      </c>
      <c r="T19" s="869">
        <v>0</v>
      </c>
      <c r="U19" s="869">
        <v>0</v>
      </c>
      <c r="V19" s="870">
        <v>4.8195818277062523</v>
      </c>
      <c r="W19" s="861">
        <v>10.69662922500023</v>
      </c>
      <c r="X19" s="1052">
        <v>0</v>
      </c>
      <c r="Y19" s="869">
        <v>0.35705559581200053</v>
      </c>
      <c r="Z19" s="869">
        <v>8.8360752876533617</v>
      </c>
      <c r="AA19" s="862">
        <v>0</v>
      </c>
      <c r="AB19" s="862">
        <v>0</v>
      </c>
      <c r="AC19" s="861">
        <f t="shared" si="0"/>
        <v>19.889760108465591</v>
      </c>
    </row>
    <row r="20" spans="1:31">
      <c r="A20" s="5"/>
      <c r="B20" s="6" t="s">
        <v>40</v>
      </c>
      <c r="C20" s="869">
        <v>0</v>
      </c>
      <c r="D20" s="869">
        <v>0</v>
      </c>
      <c r="E20" s="869">
        <v>0</v>
      </c>
      <c r="F20" s="861">
        <v>0</v>
      </c>
      <c r="G20" s="869">
        <v>0</v>
      </c>
      <c r="H20" s="869">
        <v>0</v>
      </c>
      <c r="I20" s="869">
        <v>2.609972996608827E-2</v>
      </c>
      <c r="J20" s="869">
        <v>0</v>
      </c>
      <c r="K20" s="869">
        <v>0</v>
      </c>
      <c r="L20" s="869">
        <v>0.23772777031346279</v>
      </c>
      <c r="M20" s="869">
        <v>0</v>
      </c>
      <c r="N20" s="869">
        <v>4.8549999999999999E-3</v>
      </c>
      <c r="O20" s="869">
        <v>0</v>
      </c>
      <c r="P20" s="869">
        <v>0</v>
      </c>
      <c r="Q20" s="869">
        <v>0</v>
      </c>
      <c r="R20" s="861">
        <v>0.26868250027955104</v>
      </c>
      <c r="S20" s="869">
        <v>13.554391877507687</v>
      </c>
      <c r="T20" s="869">
        <v>0</v>
      </c>
      <c r="U20" s="869">
        <v>0</v>
      </c>
      <c r="V20" s="870">
        <v>13.554391877507687</v>
      </c>
      <c r="W20" s="861">
        <v>13.823074377787238</v>
      </c>
      <c r="X20" s="1052">
        <v>0</v>
      </c>
      <c r="Y20" s="869">
        <v>0.49525454446600004</v>
      </c>
      <c r="Z20" s="869">
        <v>12.450705451997509</v>
      </c>
      <c r="AA20" s="862">
        <v>0</v>
      </c>
      <c r="AB20" s="862">
        <v>0</v>
      </c>
      <c r="AC20" s="861">
        <f t="shared" si="0"/>
        <v>26.769034374250747</v>
      </c>
    </row>
    <row r="21" spans="1:31">
      <c r="A21" s="5"/>
      <c r="B21" s="6" t="s">
        <v>39</v>
      </c>
      <c r="C21" s="869">
        <v>0</v>
      </c>
      <c r="D21" s="869">
        <v>0</v>
      </c>
      <c r="E21" s="869">
        <v>0</v>
      </c>
      <c r="F21" s="861">
        <v>0</v>
      </c>
      <c r="G21" s="869">
        <v>0</v>
      </c>
      <c r="H21" s="869">
        <v>0</v>
      </c>
      <c r="I21" s="869">
        <v>1.8810000000000001E-3</v>
      </c>
      <c r="J21" s="869">
        <v>0</v>
      </c>
      <c r="K21" s="869">
        <v>0</v>
      </c>
      <c r="L21" s="869">
        <v>4.5896074612018653E-2</v>
      </c>
      <c r="M21" s="869">
        <v>0</v>
      </c>
      <c r="N21" s="869">
        <v>0</v>
      </c>
      <c r="O21" s="869">
        <v>0</v>
      </c>
      <c r="P21" s="869">
        <v>0</v>
      </c>
      <c r="Q21" s="869">
        <v>0</v>
      </c>
      <c r="R21" s="861">
        <v>4.7777074612018654E-2</v>
      </c>
      <c r="S21" s="869">
        <v>1.9591699148340507</v>
      </c>
      <c r="T21" s="869">
        <v>0</v>
      </c>
      <c r="U21" s="869">
        <v>0</v>
      </c>
      <c r="V21" s="870">
        <v>1.9591699148340507</v>
      </c>
      <c r="W21" s="861">
        <v>2.0069469894460692</v>
      </c>
      <c r="X21" s="1052">
        <v>2.8825406369840999E-2</v>
      </c>
      <c r="Y21" s="869">
        <v>0</v>
      </c>
      <c r="Z21" s="869">
        <v>2.18906761830769</v>
      </c>
      <c r="AA21" s="862">
        <v>0</v>
      </c>
      <c r="AB21" s="862">
        <v>0</v>
      </c>
      <c r="AC21" s="861">
        <f t="shared" si="0"/>
        <v>4.2248400141236004</v>
      </c>
    </row>
    <row r="22" spans="1:31">
      <c r="A22" s="5"/>
      <c r="B22" s="6" t="s">
        <v>36</v>
      </c>
      <c r="C22" s="869">
        <v>0</v>
      </c>
      <c r="D22" s="869">
        <v>3.0172000000000032E-2</v>
      </c>
      <c r="E22" s="869">
        <v>0</v>
      </c>
      <c r="F22" s="861">
        <v>3.0172000000000032E-2</v>
      </c>
      <c r="G22" s="869">
        <v>0</v>
      </c>
      <c r="H22" s="869">
        <v>0</v>
      </c>
      <c r="I22" s="869">
        <v>1.3797539599999995E-2</v>
      </c>
      <c r="J22" s="869">
        <v>0</v>
      </c>
      <c r="K22" s="869">
        <v>0</v>
      </c>
      <c r="L22" s="869">
        <v>0.12211847999999989</v>
      </c>
      <c r="M22" s="869">
        <v>0</v>
      </c>
      <c r="N22" s="869">
        <v>6.569000000000047E-3</v>
      </c>
      <c r="O22" s="869">
        <v>0</v>
      </c>
      <c r="P22" s="869">
        <v>1.8952E-2</v>
      </c>
      <c r="Q22" s="869">
        <v>0</v>
      </c>
      <c r="R22" s="861">
        <v>0.16143701959999993</v>
      </c>
      <c r="S22" s="869">
        <v>1.7829124207787999</v>
      </c>
      <c r="T22" s="869">
        <v>0</v>
      </c>
      <c r="U22" s="869">
        <v>0</v>
      </c>
      <c r="V22" s="870">
        <v>1.7829124207787999</v>
      </c>
      <c r="W22" s="861">
        <v>1.9745214403787998</v>
      </c>
      <c r="X22" s="1052">
        <v>0</v>
      </c>
      <c r="Y22" s="869">
        <v>0.46204199999999995</v>
      </c>
      <c r="Z22" s="869">
        <v>0.84310968239999973</v>
      </c>
      <c r="AA22" s="862">
        <v>0</v>
      </c>
      <c r="AB22" s="862">
        <v>0</v>
      </c>
      <c r="AC22" s="861">
        <f t="shared" si="0"/>
        <v>3.2796731227787994</v>
      </c>
    </row>
    <row r="23" spans="1:31">
      <c r="A23" s="5"/>
      <c r="B23" s="6" t="s">
        <v>38</v>
      </c>
      <c r="C23" s="869">
        <v>0</v>
      </c>
      <c r="D23" s="869">
        <v>1.6677240000007032E-4</v>
      </c>
      <c r="E23" s="869">
        <v>0</v>
      </c>
      <c r="F23" s="861">
        <v>1.6677240000007032E-4</v>
      </c>
      <c r="G23" s="869">
        <v>0</v>
      </c>
      <c r="H23" s="869">
        <v>0</v>
      </c>
      <c r="I23" s="869">
        <v>0</v>
      </c>
      <c r="J23" s="869">
        <v>0</v>
      </c>
      <c r="K23" s="869">
        <v>0</v>
      </c>
      <c r="L23" s="869">
        <v>1.1293720000000139E-4</v>
      </c>
      <c r="M23" s="869">
        <v>0</v>
      </c>
      <c r="N23" s="869">
        <v>0</v>
      </c>
      <c r="O23" s="869">
        <v>0</v>
      </c>
      <c r="P23" s="869">
        <v>0</v>
      </c>
      <c r="Q23" s="869">
        <v>0</v>
      </c>
      <c r="R23" s="861">
        <v>1.1293720000000139E-4</v>
      </c>
      <c r="S23" s="869">
        <v>0.45106470978800006</v>
      </c>
      <c r="T23" s="869">
        <v>0</v>
      </c>
      <c r="U23" s="869">
        <v>0</v>
      </c>
      <c r="V23" s="870">
        <v>0.45106470978800006</v>
      </c>
      <c r="W23" s="861">
        <v>0.45134441938800013</v>
      </c>
      <c r="X23" s="1052">
        <v>0</v>
      </c>
      <c r="Y23" s="869">
        <v>0</v>
      </c>
      <c r="Z23" s="869">
        <v>0.63238773504399859</v>
      </c>
      <c r="AA23" s="862">
        <v>0</v>
      </c>
      <c r="AB23" s="862">
        <v>0</v>
      </c>
      <c r="AC23" s="861">
        <f t="shared" si="0"/>
        <v>1.0837321544319987</v>
      </c>
    </row>
    <row r="24" spans="1:31">
      <c r="A24" s="218"/>
      <c r="B24" s="216" t="s">
        <v>33</v>
      </c>
      <c r="C24" s="869">
        <v>0</v>
      </c>
      <c r="D24" s="869">
        <v>0</v>
      </c>
      <c r="E24" s="869">
        <v>0</v>
      </c>
      <c r="F24" s="861">
        <v>0</v>
      </c>
      <c r="G24" s="869">
        <v>0</v>
      </c>
      <c r="H24" s="869">
        <v>0</v>
      </c>
      <c r="I24" s="869">
        <v>2.4775859787209997</v>
      </c>
      <c r="J24" s="869">
        <v>0</v>
      </c>
      <c r="K24" s="869">
        <v>0</v>
      </c>
      <c r="L24" s="869">
        <v>7.8824304419199992E-2</v>
      </c>
      <c r="M24" s="869">
        <v>0</v>
      </c>
      <c r="N24" s="869">
        <v>1.1102230246251565E-16</v>
      </c>
      <c r="O24" s="869">
        <v>0</v>
      </c>
      <c r="P24" s="869">
        <v>0</v>
      </c>
      <c r="Q24" s="869">
        <v>0</v>
      </c>
      <c r="R24" s="861">
        <v>2.5564102831401998</v>
      </c>
      <c r="S24" s="869">
        <v>4.5049511390101955</v>
      </c>
      <c r="T24" s="869">
        <v>0</v>
      </c>
      <c r="U24" s="869">
        <v>0</v>
      </c>
      <c r="V24" s="870">
        <v>4.5049511390101955</v>
      </c>
      <c r="W24" s="861">
        <v>7.0613614221503953</v>
      </c>
      <c r="X24" s="1052">
        <v>0</v>
      </c>
      <c r="Y24" s="869">
        <v>4.139999999999977E-3</v>
      </c>
      <c r="Z24" s="869">
        <v>11.864051960508252</v>
      </c>
      <c r="AA24" s="862">
        <v>0</v>
      </c>
      <c r="AB24" s="862">
        <v>0</v>
      </c>
      <c r="AC24" s="861">
        <f t="shared" si="0"/>
        <v>18.929553382658646</v>
      </c>
    </row>
    <row r="25" spans="1:31">
      <c r="A25" s="5" t="s">
        <v>629</v>
      </c>
      <c r="B25" s="128"/>
      <c r="C25" s="866">
        <f>SUM(C27:C32)</f>
        <v>0</v>
      </c>
      <c r="D25" s="866">
        <f t="shared" ref="D25:E25" si="1">SUM(D27:D32)</f>
        <v>0.66102303809999996</v>
      </c>
      <c r="E25" s="866">
        <f t="shared" si="1"/>
        <v>0</v>
      </c>
      <c r="F25" s="867">
        <f>SUM(F27:F32)</f>
        <v>0.66102303809999996</v>
      </c>
      <c r="G25" s="857">
        <f>SUM(G27:G32)</f>
        <v>0</v>
      </c>
      <c r="H25" s="857">
        <f t="shared" ref="H25:Q25" si="2">SUM(H27:H32)</f>
        <v>0</v>
      </c>
      <c r="I25" s="857">
        <f t="shared" si="2"/>
        <v>7.4459916187351663E-2</v>
      </c>
      <c r="J25" s="857">
        <f t="shared" si="2"/>
        <v>7.5269448776937892E-2</v>
      </c>
      <c r="K25" s="857">
        <f t="shared" si="2"/>
        <v>0</v>
      </c>
      <c r="L25" s="857">
        <f t="shared" si="2"/>
        <v>7.9712743580073022</v>
      </c>
      <c r="M25" s="857">
        <f t="shared" si="2"/>
        <v>0.26863489886735109</v>
      </c>
      <c r="N25" s="857">
        <f t="shared" si="2"/>
        <v>0.25804494601769257</v>
      </c>
      <c r="O25" s="857">
        <f t="shared" si="2"/>
        <v>0</v>
      </c>
      <c r="P25" s="857">
        <f t="shared" si="2"/>
        <v>0</v>
      </c>
      <c r="Q25" s="857">
        <f t="shared" si="2"/>
        <v>0</v>
      </c>
      <c r="R25" s="867">
        <f>SUM(R27:R32)</f>
        <v>8.6476835678566335</v>
      </c>
      <c r="S25" s="857">
        <f>SUM(S27:S32)</f>
        <v>20.940287499104752</v>
      </c>
      <c r="T25" s="857">
        <f t="shared" ref="T25:U25" si="3">SUM(T27:T32)</f>
        <v>0</v>
      </c>
      <c r="U25" s="857">
        <f t="shared" si="3"/>
        <v>0</v>
      </c>
      <c r="V25" s="867">
        <f>SUM(V27:V32)</f>
        <v>20.940287499104752</v>
      </c>
      <c r="W25" s="867">
        <f>SUM(W27:W32)</f>
        <v>30.248994105061389</v>
      </c>
      <c r="X25" s="866">
        <f>SUM(X27:X32)</f>
        <v>0</v>
      </c>
      <c r="Y25" s="857">
        <f>SUM(Y27:Y32)</f>
        <v>2.8034204447538698</v>
      </c>
      <c r="Z25" s="859">
        <v>-3.1326895522043761</v>
      </c>
      <c r="AA25" s="868">
        <v>5.983740012162489E-2</v>
      </c>
      <c r="AB25" s="868">
        <f>SUM(AB27:AB32)</f>
        <v>0</v>
      </c>
      <c r="AC25" s="867">
        <f>SUM(W25:AB25)</f>
        <v>29.979562397732511</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2.5997037948000004</v>
      </c>
      <c r="AA26" s="876"/>
      <c r="AB26" s="873"/>
      <c r="AC26" s="874"/>
      <c r="AE26" s="38"/>
    </row>
    <row r="27" spans="1:31">
      <c r="A27" s="3"/>
      <c r="B27" s="6" t="s">
        <v>157</v>
      </c>
      <c r="C27" s="860">
        <v>0</v>
      </c>
      <c r="D27" s="860">
        <v>0</v>
      </c>
      <c r="E27" s="860">
        <v>0</v>
      </c>
      <c r="F27" s="861">
        <v>0</v>
      </c>
      <c r="G27" s="860">
        <v>0</v>
      </c>
      <c r="H27" s="860">
        <v>0</v>
      </c>
      <c r="I27" s="860">
        <v>5.8680078410761456E-2</v>
      </c>
      <c r="J27" s="860">
        <v>5.9159804887660246E-4</v>
      </c>
      <c r="K27" s="860">
        <v>0</v>
      </c>
      <c r="L27" s="860">
        <v>4.5506065645834584</v>
      </c>
      <c r="M27" s="860">
        <v>0.1944729865438086</v>
      </c>
      <c r="N27" s="860">
        <v>0</v>
      </c>
      <c r="O27" s="860">
        <v>0</v>
      </c>
      <c r="P27" s="860">
        <v>0</v>
      </c>
      <c r="Q27" s="860">
        <v>0</v>
      </c>
      <c r="R27" s="861">
        <v>4.8043512275869054</v>
      </c>
      <c r="S27" s="860">
        <v>0.31080634587200062</v>
      </c>
      <c r="T27" s="860">
        <v>0</v>
      </c>
      <c r="U27" s="860">
        <v>0</v>
      </c>
      <c r="V27" s="861">
        <v>0.31080634587200062</v>
      </c>
      <c r="W27" s="861">
        <v>5.1151575734589061</v>
      </c>
      <c r="X27" s="860">
        <v>0</v>
      </c>
      <c r="Y27" s="860">
        <v>0.81128265998065685</v>
      </c>
      <c r="Z27" s="860">
        <v>1.9994542387907333</v>
      </c>
      <c r="AA27" s="862">
        <v>0</v>
      </c>
      <c r="AB27" s="862">
        <v>0</v>
      </c>
      <c r="AC27" s="861">
        <v>7.9258944722302962</v>
      </c>
    </row>
    <row r="28" spans="1:31">
      <c r="A28" s="3"/>
      <c r="B28" s="6" t="s">
        <v>158</v>
      </c>
      <c r="C28" s="860">
        <v>0</v>
      </c>
      <c r="D28" s="860">
        <v>0</v>
      </c>
      <c r="E28" s="860">
        <v>0</v>
      </c>
      <c r="F28" s="861">
        <v>0</v>
      </c>
      <c r="G28" s="860">
        <v>0</v>
      </c>
      <c r="H28" s="860">
        <v>0</v>
      </c>
      <c r="I28" s="860">
        <v>2.2813133894231826E-3</v>
      </c>
      <c r="J28" s="860">
        <v>6.5061304941352511E-4</v>
      </c>
      <c r="K28" s="860">
        <v>0</v>
      </c>
      <c r="L28" s="860">
        <v>2.1716870697213944</v>
      </c>
      <c r="M28" s="860">
        <v>6.2366990463303676E-4</v>
      </c>
      <c r="N28" s="860">
        <v>0</v>
      </c>
      <c r="O28" s="860">
        <v>0</v>
      </c>
      <c r="P28" s="860">
        <v>0</v>
      </c>
      <c r="Q28" s="860">
        <v>0</v>
      </c>
      <c r="R28" s="861">
        <v>2.175242666064864</v>
      </c>
      <c r="S28" s="860">
        <v>0.35128393398956609</v>
      </c>
      <c r="T28" s="860">
        <v>0</v>
      </c>
      <c r="U28" s="860">
        <v>0</v>
      </c>
      <c r="V28" s="861">
        <v>0.35128393398956609</v>
      </c>
      <c r="W28" s="861">
        <v>2.5265266000544302</v>
      </c>
      <c r="X28" s="860">
        <v>0</v>
      </c>
      <c r="Y28" s="860">
        <v>1.7538870806144129</v>
      </c>
      <c r="Z28" s="860">
        <v>1.0414669417951472E-2</v>
      </c>
      <c r="AA28" s="862">
        <v>0</v>
      </c>
      <c r="AB28" s="862">
        <v>0</v>
      </c>
      <c r="AC28" s="861">
        <v>4.2908283500867945</v>
      </c>
    </row>
    <row r="29" spans="1:31">
      <c r="A29" s="3"/>
      <c r="B29" s="6" t="s">
        <v>159</v>
      </c>
      <c r="C29" s="860">
        <v>0</v>
      </c>
      <c r="D29" s="860">
        <v>0.66102303809999996</v>
      </c>
      <c r="E29" s="860">
        <v>0</v>
      </c>
      <c r="F29" s="861">
        <v>0.66102303809999996</v>
      </c>
      <c r="G29" s="860">
        <v>0</v>
      </c>
      <c r="H29" s="860">
        <v>0</v>
      </c>
      <c r="I29" s="860">
        <v>8.1296122030976442E-3</v>
      </c>
      <c r="J29" s="860">
        <v>4.8371381861500055E-3</v>
      </c>
      <c r="K29" s="860">
        <v>0</v>
      </c>
      <c r="L29" s="860">
        <v>0.54666241938792715</v>
      </c>
      <c r="M29" s="860">
        <v>6.4312988338506794E-2</v>
      </c>
      <c r="N29" s="860">
        <v>0.25804494601769257</v>
      </c>
      <c r="O29" s="860">
        <v>0</v>
      </c>
      <c r="P29" s="860">
        <v>0</v>
      </c>
      <c r="Q29" s="860">
        <v>0</v>
      </c>
      <c r="R29" s="861">
        <v>0.88198710413337422</v>
      </c>
      <c r="S29" s="860">
        <v>20.077357045621827</v>
      </c>
      <c r="T29" s="860">
        <v>0</v>
      </c>
      <c r="U29" s="860">
        <v>0</v>
      </c>
      <c r="V29" s="861">
        <v>20.077357045621827</v>
      </c>
      <c r="W29" s="861">
        <v>21.620367187855202</v>
      </c>
      <c r="X29" s="860">
        <v>0</v>
      </c>
      <c r="Y29" s="860">
        <v>0.2381091361588</v>
      </c>
      <c r="Z29" s="860">
        <v>-6.0959183304530207</v>
      </c>
      <c r="AA29" s="862">
        <v>0</v>
      </c>
      <c r="AB29" s="862">
        <v>0</v>
      </c>
      <c r="AC29" s="861">
        <v>15.762557993560982</v>
      </c>
    </row>
    <row r="30" spans="1:31">
      <c r="A30" s="3"/>
      <c r="B30" s="6" t="s">
        <v>160</v>
      </c>
      <c r="C30" s="860">
        <v>0</v>
      </c>
      <c r="D30" s="860">
        <v>0</v>
      </c>
      <c r="E30" s="860">
        <v>0</v>
      </c>
      <c r="F30" s="861">
        <v>0</v>
      </c>
      <c r="G30" s="860">
        <v>0</v>
      </c>
      <c r="H30" s="860">
        <v>0</v>
      </c>
      <c r="I30" s="860">
        <v>5.3670440829533773E-3</v>
      </c>
      <c r="J30" s="860">
        <v>6.3086705968710115E-3</v>
      </c>
      <c r="K30" s="860">
        <v>0</v>
      </c>
      <c r="L30" s="860">
        <v>0.69275050113818504</v>
      </c>
      <c r="M30" s="860">
        <v>9.2252540804026988E-3</v>
      </c>
      <c r="N30" s="860">
        <v>0</v>
      </c>
      <c r="O30" s="860">
        <v>0</v>
      </c>
      <c r="P30" s="860">
        <v>0</v>
      </c>
      <c r="Q30" s="860">
        <v>0</v>
      </c>
      <c r="R30" s="861">
        <v>0.71365146989841211</v>
      </c>
      <c r="S30" s="860">
        <v>0.20084017362135848</v>
      </c>
      <c r="T30" s="860">
        <v>0</v>
      </c>
      <c r="U30" s="860">
        <v>0</v>
      </c>
      <c r="V30" s="861">
        <v>0.20084017362135848</v>
      </c>
      <c r="W30" s="861">
        <v>0.91449164351977053</v>
      </c>
      <c r="X30" s="860">
        <v>0</v>
      </c>
      <c r="Y30" s="860">
        <v>1.4156800000000001E-4</v>
      </c>
      <c r="Z30" s="860">
        <v>0.9533220417439604</v>
      </c>
      <c r="AA30" s="862">
        <v>0</v>
      </c>
      <c r="AB30" s="862">
        <v>0</v>
      </c>
      <c r="AC30" s="861">
        <v>1.8679552532637309</v>
      </c>
    </row>
    <row r="31" spans="1:31">
      <c r="A31" s="3"/>
      <c r="B31" s="6" t="s">
        <v>161</v>
      </c>
      <c r="C31" s="860">
        <v>0</v>
      </c>
      <c r="D31" s="860">
        <v>0</v>
      </c>
      <c r="E31" s="860">
        <v>0</v>
      </c>
      <c r="F31" s="861">
        <v>0</v>
      </c>
      <c r="G31" s="860">
        <v>0</v>
      </c>
      <c r="H31" s="860">
        <v>0</v>
      </c>
      <c r="I31" s="860">
        <v>1.868101116E-6</v>
      </c>
      <c r="J31" s="860">
        <v>6.0808385095932095E-2</v>
      </c>
      <c r="K31" s="860">
        <v>0</v>
      </c>
      <c r="L31" s="860">
        <v>7.0941120833669206E-3</v>
      </c>
      <c r="M31" s="860">
        <v>0</v>
      </c>
      <c r="N31" s="860">
        <v>0</v>
      </c>
      <c r="O31" s="860">
        <v>0</v>
      </c>
      <c r="P31" s="860">
        <v>0</v>
      </c>
      <c r="Q31" s="860">
        <v>0</v>
      </c>
      <c r="R31" s="861">
        <v>6.7904365280415019E-2</v>
      </c>
      <c r="S31" s="860">
        <v>0</v>
      </c>
      <c r="T31" s="860">
        <v>0</v>
      </c>
      <c r="U31" s="860">
        <v>0</v>
      </c>
      <c r="V31" s="861">
        <v>0</v>
      </c>
      <c r="W31" s="861">
        <v>6.7904365280415019E-2</v>
      </c>
      <c r="X31" s="860">
        <v>0</v>
      </c>
      <c r="Y31" s="860">
        <v>0</v>
      </c>
      <c r="Z31" s="860">
        <v>0</v>
      </c>
      <c r="AA31" s="862">
        <v>0</v>
      </c>
      <c r="AB31" s="862">
        <v>0</v>
      </c>
      <c r="AC31" s="861">
        <v>6.8035853813946598E-2</v>
      </c>
    </row>
    <row r="32" spans="1:31">
      <c r="A32" s="4"/>
      <c r="B32" s="127" t="s">
        <v>162</v>
      </c>
      <c r="C32" s="878">
        <v>0</v>
      </c>
      <c r="D32" s="878">
        <v>0</v>
      </c>
      <c r="E32" s="878">
        <v>0</v>
      </c>
      <c r="F32" s="877">
        <v>0</v>
      </c>
      <c r="G32" s="878">
        <v>0</v>
      </c>
      <c r="H32" s="878">
        <v>0</v>
      </c>
      <c r="I32" s="878">
        <v>0</v>
      </c>
      <c r="J32" s="878">
        <v>2.07304379969465E-3</v>
      </c>
      <c r="K32" s="878">
        <v>0</v>
      </c>
      <c r="L32" s="878">
        <v>2.4736910929695002E-3</v>
      </c>
      <c r="M32" s="878">
        <v>0</v>
      </c>
      <c r="N32" s="878">
        <v>0</v>
      </c>
      <c r="O32" s="878">
        <v>0</v>
      </c>
      <c r="P32" s="878">
        <v>0</v>
      </c>
      <c r="Q32" s="878">
        <v>0</v>
      </c>
      <c r="R32" s="877">
        <v>4.5467348926641503E-3</v>
      </c>
      <c r="S32" s="878">
        <v>0</v>
      </c>
      <c r="T32" s="878">
        <v>0</v>
      </c>
      <c r="U32" s="878">
        <v>0</v>
      </c>
      <c r="V32" s="877">
        <v>0</v>
      </c>
      <c r="W32" s="877">
        <v>4.5467348926641503E-3</v>
      </c>
      <c r="X32" s="878">
        <v>0</v>
      </c>
      <c r="Y32" s="878">
        <v>0</v>
      </c>
      <c r="Z32" s="878">
        <v>3.7828296000000008E-5</v>
      </c>
      <c r="AA32" s="879">
        <v>0</v>
      </c>
      <c r="AB32" s="879">
        <v>0</v>
      </c>
      <c r="AC32" s="877">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450</v>
      </c>
      <c r="B2" s="1213"/>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452</v>
      </c>
      <c r="C6" s="161" t="s">
        <v>468</v>
      </c>
    </row>
    <row r="7" spans="1:3" s="11" customFormat="1">
      <c r="A7" s="132"/>
      <c r="B7" s="133"/>
      <c r="C7" s="134"/>
    </row>
    <row r="8" spans="1:3" s="11" customFormat="1" ht="60">
      <c r="A8" s="113" t="s">
        <v>148</v>
      </c>
      <c r="B8" s="130" t="s">
        <v>452</v>
      </c>
      <c r="C8" s="307" t="s">
        <v>469</v>
      </c>
    </row>
    <row r="9" spans="1:3" s="11" customFormat="1">
      <c r="A9" s="132"/>
      <c r="B9" s="133"/>
      <c r="C9" s="134"/>
    </row>
    <row r="10" spans="1:3" s="11" customFormat="1" ht="60">
      <c r="A10" s="113" t="s">
        <v>149</v>
      </c>
      <c r="B10" s="130" t="s">
        <v>452</v>
      </c>
      <c r="C10" s="307" t="s">
        <v>469</v>
      </c>
    </row>
    <row r="11" spans="1:3" s="11" customFormat="1">
      <c r="A11" s="132"/>
      <c r="B11" s="133"/>
      <c r="C11" s="134"/>
    </row>
    <row r="12" spans="1:3" s="11" customFormat="1" ht="60">
      <c r="A12" s="113" t="s">
        <v>373</v>
      </c>
      <c r="B12" s="130" t="s">
        <v>452</v>
      </c>
      <c r="C12" s="307" t="s">
        <v>469</v>
      </c>
    </row>
    <row r="13" spans="1:3" s="11" customFormat="1">
      <c r="A13" s="132"/>
      <c r="B13" s="133"/>
      <c r="C13" s="134"/>
    </row>
    <row r="14" spans="1:3" s="11" customFormat="1" ht="60">
      <c r="A14" s="113" t="s">
        <v>105</v>
      </c>
      <c r="B14" s="130" t="s">
        <v>470</v>
      </c>
      <c r="C14" s="307" t="s">
        <v>469</v>
      </c>
    </row>
    <row r="15" spans="1:3" s="11" customFormat="1" ht="63">
      <c r="A15" s="123"/>
      <c r="B15" s="130" t="s">
        <v>471</v>
      </c>
      <c r="C15" s="307" t="s">
        <v>475</v>
      </c>
    </row>
    <row r="16" spans="1:3" s="11" customFormat="1">
      <c r="A16" s="132"/>
      <c r="B16" s="133"/>
      <c r="C16" s="134"/>
    </row>
    <row r="17" spans="1:3" s="11" customFormat="1" ht="45">
      <c r="A17" s="113" t="s">
        <v>451</v>
      </c>
      <c r="B17" s="130" t="s">
        <v>519</v>
      </c>
      <c r="C17" s="161" t="s">
        <v>520</v>
      </c>
    </row>
    <row r="18" spans="1:3" s="11" customFormat="1">
      <c r="A18" s="132"/>
      <c r="B18" s="133"/>
      <c r="C18" s="134"/>
    </row>
    <row r="19" spans="1:3" s="11" customFormat="1" ht="60">
      <c r="A19" s="113" t="s">
        <v>376</v>
      </c>
      <c r="B19" s="306" t="s">
        <v>517</v>
      </c>
      <c r="C19" s="161" t="s">
        <v>518</v>
      </c>
    </row>
    <row r="20" spans="1:3" s="11" customFormat="1">
      <c r="A20" s="113"/>
      <c r="B20" s="130"/>
      <c r="C20" s="131"/>
    </row>
    <row r="21" spans="1:3" ht="21">
      <c r="A21" s="126" t="s">
        <v>454</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4" t="s">
        <v>187</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592.096</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455</v>
      </c>
      <c r="B8" s="21">
        <f>MAX((B5+B6),0)</f>
        <v>592.096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0.1931502489224394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114.36348978598068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4" t="s">
        <v>148</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14487.9862256545</v>
      </c>
      <c r="C5" s="17">
        <f>IF(ISERROR('Eigen informatie GS &amp; warmtenet'!B59),0,'Eigen informatie GS &amp; warmtenet'!B59)</f>
        <v>0</v>
      </c>
      <c r="D5" s="30">
        <f>(SUM(HH_hh_gas_kWh,HH_rest_gas_kWh)/1000)*0.903</f>
        <v>33108.701060256572</v>
      </c>
      <c r="E5" s="17">
        <f>B32*B41</f>
        <v>1283.4737301407622</v>
      </c>
      <c r="F5" s="17">
        <f>B36*B45</f>
        <v>28116.552387677471</v>
      </c>
      <c r="G5" s="18"/>
      <c r="H5" s="17"/>
      <c r="I5" s="17"/>
      <c r="J5" s="17">
        <f>B35*B44+C35*C44</f>
        <v>160.23930727037751</v>
      </c>
      <c r="K5" s="17"/>
      <c r="L5" s="17"/>
      <c r="M5" s="17"/>
      <c r="N5" s="17">
        <f>B34*B43+C34*C43</f>
        <v>6133.3358197304351</v>
      </c>
      <c r="O5" s="17">
        <f>B52*B53*B54</f>
        <v>214.26748769379944</v>
      </c>
      <c r="P5" s="17">
        <f>B60*B61*B62/1000-B60*B61*B62/1000/B63</f>
        <v>937.52237838396695</v>
      </c>
    </row>
    <row r="6" spans="1:16">
      <c r="A6" s="16" t="s">
        <v>597</v>
      </c>
      <c r="B6" s="778">
        <f>kWh_PV_kleiner_dan_10kW</f>
        <v>3589.2630302831903</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205</v>
      </c>
      <c r="B8" s="21">
        <f>B5+B6</f>
        <v>18077.249255937691</v>
      </c>
      <c r="C8" s="21">
        <f>C5</f>
        <v>0</v>
      </c>
      <c r="D8" s="21">
        <f>D5</f>
        <v>33108.701060256572</v>
      </c>
      <c r="E8" s="21">
        <f>E5</f>
        <v>1283.4737301407622</v>
      </c>
      <c r="F8" s="21">
        <f>F5</f>
        <v>28116.552387677471</v>
      </c>
      <c r="G8" s="21"/>
      <c r="H8" s="21"/>
      <c r="I8" s="21"/>
      <c r="J8" s="21">
        <f>J5</f>
        <v>160.23930727037751</v>
      </c>
      <c r="K8" s="21"/>
      <c r="L8" s="21">
        <f>L5</f>
        <v>0</v>
      </c>
      <c r="M8" s="21">
        <f>M5</f>
        <v>0</v>
      </c>
      <c r="N8" s="21">
        <f>N5</f>
        <v>6133.3358197304351</v>
      </c>
      <c r="O8" s="21">
        <f>O5</f>
        <v>214.26748769379944</v>
      </c>
      <c r="P8" s="21">
        <f>P5</f>
        <v>937.52237838396695</v>
      </c>
    </row>
    <row r="9" spans="1:16">
      <c r="B9" s="19"/>
      <c r="C9" s="19"/>
      <c r="D9" s="254"/>
      <c r="E9" s="19"/>
      <c r="F9" s="19"/>
      <c r="G9" s="19"/>
      <c r="H9" s="19"/>
      <c r="I9" s="19"/>
      <c r="J9" s="19"/>
      <c r="K9" s="19"/>
      <c r="L9" s="19"/>
      <c r="M9" s="19"/>
      <c r="N9" s="19"/>
      <c r="O9" s="19"/>
      <c r="P9" s="19"/>
    </row>
    <row r="10" spans="1:16">
      <c r="A10" s="24" t="s">
        <v>207</v>
      </c>
      <c r="B10" s="25">
        <f ca="1">'EF ele_warmte'!B12</f>
        <v>0.1931502489224394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3491.6251936173476</v>
      </c>
      <c r="C12" s="23">
        <f ca="1">C10*C8</f>
        <v>0</v>
      </c>
      <c r="D12" s="23">
        <f>D8*D10</f>
        <v>6687.957614171828</v>
      </c>
      <c r="E12" s="23">
        <f>E10*E8</f>
        <v>291.34853674195301</v>
      </c>
      <c r="F12" s="23">
        <f>F10*F8</f>
        <v>7507.1194875098854</v>
      </c>
      <c r="G12" s="23"/>
      <c r="H12" s="23"/>
      <c r="I12" s="23"/>
      <c r="J12" s="23">
        <f>J10*J8</f>
        <v>56.724714773713636</v>
      </c>
      <c r="K12" s="23"/>
      <c r="L12" s="23">
        <f>L10*L8</f>
        <v>0</v>
      </c>
      <c r="M12" s="23">
        <f>M10*M8</f>
        <v>0</v>
      </c>
      <c r="N12" s="23">
        <f>N10*N8</f>
        <v>0</v>
      </c>
      <c r="O12" s="23">
        <f>O10*O8</f>
        <v>0</v>
      </c>
      <c r="P12" s="23">
        <f>P10*P8</f>
        <v>0</v>
      </c>
    </row>
    <row r="15" spans="1:16">
      <c r="A15" s="190" t="s">
        <v>466</v>
      </c>
      <c r="B15" s="200"/>
      <c r="C15" s="200"/>
      <c r="D15" s="222"/>
    </row>
    <row r="16" spans="1:16">
      <c r="A16" s="3"/>
      <c r="B16" s="43"/>
      <c r="C16" s="43"/>
      <c r="D16" s="171"/>
    </row>
    <row r="17" spans="1:5">
      <c r="A17" s="223" t="s">
        <v>861</v>
      </c>
      <c r="B17" s="199" t="s">
        <v>862</v>
      </c>
      <c r="C17" s="199" t="s">
        <v>854</v>
      </c>
      <c r="D17" s="224" t="s">
        <v>175</v>
      </c>
      <c r="E17" s="15"/>
    </row>
    <row r="18" spans="1:5">
      <c r="A18" s="168" t="s">
        <v>77</v>
      </c>
      <c r="B18" s="1067">
        <v>0.67002188661035234</v>
      </c>
      <c r="C18" s="1067"/>
      <c r="D18" s="295" t="s">
        <v>858</v>
      </c>
      <c r="E18" s="15"/>
    </row>
    <row r="19" spans="1:5">
      <c r="A19" s="168" t="s">
        <v>847</v>
      </c>
      <c r="B19" s="1067">
        <v>6.9009110247437878E-3</v>
      </c>
      <c r="C19" s="1067"/>
      <c r="D19" s="226"/>
      <c r="E19" s="15"/>
    </row>
    <row r="20" spans="1:5">
      <c r="A20" s="168" t="s">
        <v>848</v>
      </c>
      <c r="B20" s="1067"/>
      <c r="C20" s="1067"/>
      <c r="D20" s="226"/>
      <c r="E20" s="15"/>
    </row>
    <row r="21" spans="1:5">
      <c r="A21" s="168" t="s">
        <v>849</v>
      </c>
      <c r="B21" s="1067">
        <v>1.5875198693934698E-2</v>
      </c>
      <c r="C21" s="1067"/>
      <c r="D21" s="226"/>
      <c r="E21" s="15"/>
    </row>
    <row r="22" spans="1:5">
      <c r="A22" s="168" t="s">
        <v>850</v>
      </c>
      <c r="B22" s="1067">
        <v>0.25778178561339132</v>
      </c>
      <c r="C22" s="1067"/>
      <c r="D22" s="226"/>
      <c r="E22" s="15"/>
    </row>
    <row r="23" spans="1:5">
      <c r="A23" s="168" t="s">
        <v>78</v>
      </c>
      <c r="B23" s="1067"/>
      <c r="C23" s="1067"/>
      <c r="D23" s="225"/>
      <c r="E23" s="52"/>
    </row>
    <row r="24" spans="1:5">
      <c r="A24" s="168" t="s">
        <v>851</v>
      </c>
      <c r="B24" s="1067">
        <v>4.9420218057577667E-2</v>
      </c>
      <c r="C24" s="1067">
        <v>0.20490593980654417</v>
      </c>
      <c r="D24" s="225"/>
      <c r="E24" s="15"/>
    </row>
    <row r="25" spans="1:5" s="15" customFormat="1">
      <c r="A25" s="168"/>
      <c r="B25" s="29"/>
      <c r="C25" s="29"/>
      <c r="D25" s="225"/>
    </row>
    <row r="26" spans="1:5" s="15" customFormat="1">
      <c r="A26" s="227" t="s">
        <v>859</v>
      </c>
      <c r="B26" s="37">
        <f>aantalHuishoudens</f>
        <v>4523</v>
      </c>
      <c r="C26" s="36"/>
      <c r="D26" s="225"/>
    </row>
    <row r="27" spans="1:5" s="15" customFormat="1">
      <c r="A27" s="227" t="s">
        <v>860</v>
      </c>
      <c r="B27" s="37">
        <f>SUM(HH_hh_gas_aantal,HH_rest_gas_aantal)</f>
        <v>2539</v>
      </c>
      <c r="C27" s="36"/>
      <c r="D27" s="225"/>
    </row>
    <row r="28" spans="1:5" s="15" customFormat="1">
      <c r="A28" s="228"/>
      <c r="B28" s="29"/>
      <c r="C28" s="36"/>
      <c r="D28" s="229"/>
    </row>
    <row r="29" spans="1:5">
      <c r="A29" s="3"/>
      <c r="B29" s="43"/>
      <c r="C29" s="43"/>
      <c r="D29" s="171"/>
    </row>
    <row r="30" spans="1:5">
      <c r="A30" s="169" t="s">
        <v>458</v>
      </c>
      <c r="B30" s="166" t="s">
        <v>853</v>
      </c>
      <c r="C30" s="166" t="s">
        <v>855</v>
      </c>
      <c r="D30" s="171"/>
    </row>
    <row r="31" spans="1:5">
      <c r="A31" s="168" t="s">
        <v>852</v>
      </c>
      <c r="B31" s="33">
        <f>B27-(0.05*B27)</f>
        <v>2412.0500000000002</v>
      </c>
      <c r="C31" s="34" t="s">
        <v>104</v>
      </c>
      <c r="D31" s="171"/>
    </row>
    <row r="32" spans="1:5">
      <c r="A32" s="168" t="s">
        <v>72</v>
      </c>
      <c r="B32" s="33">
        <f>IF((B21*($B$26-($B$27-0.05*$B$27)-$B$60))&lt;0,0,(B21*($B$26-($B$27-0.05*$B$27)-$B$60)))</f>
        <v>32.098857999201257</v>
      </c>
      <c r="C32" s="34" t="s">
        <v>104</v>
      </c>
      <c r="D32" s="171"/>
    </row>
    <row r="33" spans="1:6">
      <c r="A33" s="168" t="s">
        <v>73</v>
      </c>
      <c r="B33" s="33">
        <f>IF((B22*($B$26-($B$27-0.05*$B$27)-$B$60))&lt;0,0,B22*($B$26-($B$27-0.05*$B$27)-$B$60))</f>
        <v>521.22188142099651</v>
      </c>
      <c r="C33" s="34" t="s">
        <v>104</v>
      </c>
      <c r="D33" s="171"/>
    </row>
    <row r="34" spans="1:6">
      <c r="A34" s="168" t="s">
        <v>74</v>
      </c>
      <c r="B34" s="33">
        <f>IF((B24*($B$26-($B$27-0.05*$B$27)-$B$60))&lt;0,0,B24*($B$26-($B$27-0.05*$B$27)-$B$60))</f>
        <v>99.925209901519153</v>
      </c>
      <c r="C34" s="33">
        <f>B26*C24</f>
        <v>926.78956574499932</v>
      </c>
      <c r="D34" s="230"/>
    </row>
    <row r="35" spans="1:6">
      <c r="A35" s="168" t="s">
        <v>76</v>
      </c>
      <c r="B35" s="33">
        <f>IF((B19*($B$26-($B$27-0.05*$B$27)-$B$60))&lt;0,0,B19*($B$26-($B$27-0.05*$B$27)-$B$60))</f>
        <v>13.953297046480701</v>
      </c>
      <c r="C35" s="33">
        <f>B35/2</f>
        <v>6.9766485232403506</v>
      </c>
      <c r="D35" s="230"/>
    </row>
    <row r="36" spans="1:6">
      <c r="A36" s="168" t="s">
        <v>77</v>
      </c>
      <c r="B36" s="33">
        <f>IF((B18*($B$26-($B$27-0.05*$B$27)-$B$60))&lt;0,0,B18*($B$26-($B$27-0.05*$B$27)-$B$60))</f>
        <v>1354.7507536318017</v>
      </c>
      <c r="C36" s="34" t="s">
        <v>104</v>
      </c>
      <c r="D36" s="171"/>
    </row>
    <row r="37" spans="1:6">
      <c r="A37" s="168" t="s">
        <v>78</v>
      </c>
      <c r="B37" s="33">
        <f>B60</f>
        <v>89</v>
      </c>
      <c r="C37" s="34" t="s">
        <v>104</v>
      </c>
      <c r="D37" s="171"/>
    </row>
    <row r="38" spans="1:6">
      <c r="A38" s="3"/>
      <c r="B38" s="43"/>
      <c r="C38" s="43"/>
      <c r="D38" s="171"/>
    </row>
    <row r="39" spans="1:6">
      <c r="A39" s="169" t="s">
        <v>461</v>
      </c>
      <c r="B39" s="165" t="s">
        <v>856</v>
      </c>
      <c r="C39" s="165" t="s">
        <v>857</v>
      </c>
      <c r="D39" s="295" t="s">
        <v>858</v>
      </c>
      <c r="E39" s="162"/>
      <c r="F39" s="162"/>
    </row>
    <row r="40" spans="1:6">
      <c r="A40" s="168" t="s">
        <v>70</v>
      </c>
      <c r="B40" s="163">
        <v>13.407774710246013</v>
      </c>
      <c r="C40" s="167" t="s">
        <v>104</v>
      </c>
      <c r="D40" s="170"/>
      <c r="E40" s="163"/>
      <c r="F40" s="163"/>
    </row>
    <row r="41" spans="1:6">
      <c r="A41" s="168" t="s">
        <v>72</v>
      </c>
      <c r="B41" s="163">
        <v>39.985027821634652</v>
      </c>
      <c r="C41" s="167" t="s">
        <v>104</v>
      </c>
      <c r="D41" s="170"/>
      <c r="E41" s="163"/>
      <c r="F41" s="163"/>
    </row>
    <row r="42" spans="1:6">
      <c r="A42" s="168" t="s">
        <v>73</v>
      </c>
      <c r="B42" s="163">
        <v>8.2554577378577179</v>
      </c>
      <c r="C42" s="167" t="s">
        <v>104</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459</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3">
        <f>aantalZB_NB_wonen+aantalZB_NB_wonen_met_kantoor+ZB_HH_bestaande_bouw</f>
        <v>108</v>
      </c>
      <c r="C52" s="43"/>
      <c r="D52" s="170"/>
    </row>
    <row r="53" spans="1:4">
      <c r="A53" s="168" t="s">
        <v>456</v>
      </c>
      <c r="B53" s="309">
        <v>5.3300370073084435</v>
      </c>
      <c r="C53" s="43"/>
      <c r="D53" s="303" t="s">
        <v>765</v>
      </c>
    </row>
    <row r="54" spans="1:4">
      <c r="A54" s="241" t="s">
        <v>457</v>
      </c>
      <c r="B54" s="314">
        <f>1.34/3.6</f>
        <v>0.37222222222222223</v>
      </c>
      <c r="C54" s="43" t="s">
        <v>208</v>
      </c>
      <c r="D54" s="303" t="s">
        <v>766</v>
      </c>
    </row>
    <row r="55" spans="1:4">
      <c r="A55" s="172"/>
      <c r="B55" s="242"/>
      <c r="C55" s="175"/>
      <c r="D55" s="176"/>
    </row>
    <row r="56" spans="1:4">
      <c r="D56" s="164"/>
    </row>
    <row r="57" spans="1:4">
      <c r="A57" s="191" t="s">
        <v>460</v>
      </c>
      <c r="B57" s="200"/>
      <c r="C57" s="200"/>
      <c r="D57" s="201"/>
    </row>
    <row r="58" spans="1:4">
      <c r="A58" s="169"/>
      <c r="B58" s="32"/>
      <c r="C58" s="32"/>
      <c r="D58" s="206"/>
    </row>
    <row r="59" spans="1:4">
      <c r="A59" s="180"/>
      <c r="B59" s="179"/>
      <c r="C59" s="205" t="s">
        <v>364</v>
      </c>
      <c r="D59" s="220" t="s">
        <v>175</v>
      </c>
    </row>
    <row r="60" spans="1:4">
      <c r="A60" s="168" t="s">
        <v>255</v>
      </c>
      <c r="B60" s="313">
        <f>aantalWP_NB_wonen+aantalWP_NB_wonen_met_kantoor+WP_HH_bestaande_bouw</f>
        <v>89</v>
      </c>
      <c r="C60" s="32"/>
      <c r="D60" s="174"/>
    </row>
    <row r="61" spans="1:4">
      <c r="A61" s="168" t="s">
        <v>426</v>
      </c>
      <c r="B61" s="309">
        <v>8.5956185892968069</v>
      </c>
      <c r="C61" s="32" t="s">
        <v>252</v>
      </c>
      <c r="D61" s="303" t="s">
        <v>765</v>
      </c>
    </row>
    <row r="62" spans="1:4">
      <c r="A62" s="168" t="s">
        <v>427</v>
      </c>
      <c r="B62" s="309">
        <v>1671.14092090028</v>
      </c>
      <c r="C62" s="32" t="s">
        <v>254</v>
      </c>
      <c r="D62" s="303" t="s">
        <v>765</v>
      </c>
    </row>
    <row r="63" spans="1:4">
      <c r="A63" s="168" t="s">
        <v>389</v>
      </c>
      <c r="B63" s="309">
        <v>3.75</v>
      </c>
      <c r="C63" s="43"/>
      <c r="D63" s="303" t="s">
        <v>766</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149</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7"/>
      <c r="G4" s="14"/>
      <c r="H4" s="14"/>
      <c r="I4" s="14"/>
      <c r="J4" s="14"/>
      <c r="K4" s="14"/>
      <c r="L4" s="14"/>
      <c r="M4" s="14"/>
      <c r="N4" s="14"/>
      <c r="O4" s="14"/>
      <c r="P4" s="14"/>
      <c r="R4" s="6"/>
    </row>
    <row r="5" spans="1:18">
      <c r="A5" s="16" t="s">
        <v>248</v>
      </c>
      <c r="B5" s="30">
        <f>SUM(B6:B12)</f>
        <v>9021.3020707838277</v>
      </c>
      <c r="C5" s="17">
        <f>IF(ISERROR('Eigen informatie GS &amp; warmtenet'!B60),0,'Eigen informatie GS &amp; warmtenet'!B60)</f>
        <v>0</v>
      </c>
      <c r="D5" s="30">
        <f>SUM(D6:D12)</f>
        <v>7748.0697884463752</v>
      </c>
      <c r="E5" s="17">
        <f>SUM(E6:E12)</f>
        <v>47.868991220948729</v>
      </c>
      <c r="F5" s="17">
        <f>SUM(F6:F12)</f>
        <v>1758.8025324818166</v>
      </c>
      <c r="G5" s="18"/>
      <c r="H5" s="17"/>
      <c r="I5" s="17"/>
      <c r="J5" s="17">
        <f>SUM(J6:J12)</f>
        <v>1.135697467260212E-2</v>
      </c>
      <c r="K5" s="17"/>
      <c r="L5" s="17"/>
      <c r="M5" s="17"/>
      <c r="N5" s="17">
        <f>SUM(N6:N12)</f>
        <v>436.43522793766027</v>
      </c>
      <c r="O5" s="17">
        <f>B38*B39*B40</f>
        <v>0</v>
      </c>
      <c r="P5" s="17">
        <f>B46*B47*B48/1000-B46*B47*B48/1000/B49</f>
        <v>52.539138306495019</v>
      </c>
      <c r="R5" s="32"/>
    </row>
    <row r="6" spans="1:18">
      <c r="A6" s="32" t="s">
        <v>53</v>
      </c>
      <c r="B6" s="37">
        <f>B26</f>
        <v>1960.6601564130599</v>
      </c>
      <c r="C6" s="33"/>
      <c r="D6" s="37">
        <f>IF(ISERROR(TER_kantoor_gas_kWh/1000),0,TER_kantoor_gas_kWh/1000)*0.903</f>
        <v>3204.2700602769819</v>
      </c>
      <c r="E6" s="33">
        <f>$C$26*'E Balans VL '!I12/100/3.6*1000000</f>
        <v>0.46716752544701146</v>
      </c>
      <c r="F6" s="33">
        <f>$C$26*('E Balans VL '!L12+'E Balans VL '!N12)/100/3.6*1000000</f>
        <v>170.30254150340596</v>
      </c>
      <c r="G6" s="34"/>
      <c r="H6" s="33"/>
      <c r="I6" s="33"/>
      <c r="J6" s="33">
        <f>$C$26*('E Balans VL '!D12+'E Balans VL '!E12)/100/3.6*1000000</f>
        <v>0</v>
      </c>
      <c r="K6" s="33"/>
      <c r="L6" s="33"/>
      <c r="M6" s="33"/>
      <c r="N6" s="33">
        <f>$C$26*'E Balans VL '!Y12/100/3.6*1000000</f>
        <v>2.6206965957922086</v>
      </c>
      <c r="O6" s="33"/>
      <c r="P6" s="33"/>
      <c r="R6" s="32"/>
    </row>
    <row r="7" spans="1:18">
      <c r="A7" s="32" t="s">
        <v>52</v>
      </c>
      <c r="B7" s="37">
        <f t="shared" ref="B7:B12" si="0">B27</f>
        <v>1474.3911359322199</v>
      </c>
      <c r="C7" s="33"/>
      <c r="D7" s="37">
        <f>IF(ISERROR(TER_horeca_gas_kWh/1000),0,TER_horeca_gas_kWh/1000)*0.903</f>
        <v>1302.2276263944948</v>
      </c>
      <c r="E7" s="33">
        <f>$C$27*'E Balans VL '!I9/100/3.6*1000000</f>
        <v>0</v>
      </c>
      <c r="F7" s="33">
        <f>$C$27*('E Balans VL '!L9+'E Balans VL '!N9)/100/3.6*1000000</f>
        <v>120.13619491044814</v>
      </c>
      <c r="G7" s="34"/>
      <c r="H7" s="33"/>
      <c r="I7" s="33"/>
      <c r="J7" s="33">
        <f>$C$27*('E Balans VL '!D9+'E Balans VL '!E9)/100/3.6*1000000</f>
        <v>0</v>
      </c>
      <c r="K7" s="33"/>
      <c r="L7" s="33"/>
      <c r="M7" s="33"/>
      <c r="N7" s="33">
        <f>$C$27*'E Balans VL '!Y9/100/3.6*1000000</f>
        <v>0.40837889539627109</v>
      </c>
      <c r="O7" s="33"/>
      <c r="P7" s="33"/>
      <c r="R7" s="32"/>
    </row>
    <row r="8" spans="1:18">
      <c r="A8" s="6" t="s">
        <v>51</v>
      </c>
      <c r="B8" s="37">
        <f t="shared" si="0"/>
        <v>4108.8138905066999</v>
      </c>
      <c r="C8" s="33"/>
      <c r="D8" s="37">
        <f>IF(ISERROR(TER_handel_gas_kWh/1000),0,TER_handel_gas_kWh/1000)*0.903</f>
        <v>1716.5392483525891</v>
      </c>
      <c r="E8" s="33">
        <f>$C$28*'E Balans VL '!I13/100/3.6*1000000</f>
        <v>32.844274698164995</v>
      </c>
      <c r="F8" s="33">
        <f>$C$28*('E Balans VL '!L13+'E Balans VL '!N13)/100/3.6*1000000</f>
        <v>408.18511814446106</v>
      </c>
      <c r="G8" s="34"/>
      <c r="H8" s="33"/>
      <c r="I8" s="33"/>
      <c r="J8" s="33">
        <f>$C$28*('E Balans VL '!D13+'E Balans VL '!E13)/100/3.6*1000000</f>
        <v>0</v>
      </c>
      <c r="K8" s="33"/>
      <c r="L8" s="33"/>
      <c r="M8" s="33"/>
      <c r="N8" s="33">
        <f>$C$28*'E Balans VL '!Y13/100/3.6*1000000</f>
        <v>1.5348865609866416</v>
      </c>
      <c r="O8" s="33"/>
      <c r="P8" s="33"/>
      <c r="R8" s="32"/>
    </row>
    <row r="9" spans="1:18">
      <c r="A9" s="32" t="s">
        <v>50</v>
      </c>
      <c r="B9" s="37">
        <f t="shared" si="0"/>
        <v>316.44413464208304</v>
      </c>
      <c r="C9" s="33"/>
      <c r="D9" s="37">
        <f>IF(ISERROR(TER_gezond_gas_kWh/1000),0,TER_gezond_gas_kWh/1000)*0.903</f>
        <v>810.55428414498658</v>
      </c>
      <c r="E9" s="33">
        <f>$C$29*'E Balans VL '!I10/100/3.6*1000000</f>
        <v>0</v>
      </c>
      <c r="F9" s="33">
        <f>$C$29*('E Balans VL '!L10+'E Balans VL '!N10)/100/3.6*1000000</f>
        <v>28.849039550251824</v>
      </c>
      <c r="G9" s="34"/>
      <c r="H9" s="33"/>
      <c r="I9" s="33"/>
      <c r="J9" s="33">
        <f>$C$29*('E Balans VL '!D10+'E Balans VL '!E10)/100/3.6*1000000</f>
        <v>0</v>
      </c>
      <c r="K9" s="33"/>
      <c r="L9" s="33"/>
      <c r="M9" s="33"/>
      <c r="N9" s="33">
        <f>$C$29*'E Balans VL '!Y10/100/3.6*1000000</f>
        <v>2.312923039644085</v>
      </c>
      <c r="O9" s="33"/>
      <c r="P9" s="33"/>
      <c r="R9" s="32"/>
    </row>
    <row r="10" spans="1:18">
      <c r="A10" s="32" t="s">
        <v>49</v>
      </c>
      <c r="B10" s="37">
        <f t="shared" si="0"/>
        <v>1122.8773388974</v>
      </c>
      <c r="C10" s="33"/>
      <c r="D10" s="37">
        <f>IF(ISERROR(TER_ander_gas_kWh/1000),0,TER_ander_gas_kWh/1000)*0.903</f>
        <v>418.73916474440898</v>
      </c>
      <c r="E10" s="33">
        <f>$C$30*'E Balans VL '!I14/100/3.6*1000000</f>
        <v>14.557548997336726</v>
      </c>
      <c r="F10" s="33">
        <f>$C$30*('E Balans VL '!L14+'E Balans VL '!N14)/100/3.6*1000000</f>
        <v>1029.8361747407248</v>
      </c>
      <c r="G10" s="34"/>
      <c r="H10" s="33"/>
      <c r="I10" s="33"/>
      <c r="J10" s="33">
        <f>$C$30*('E Balans VL '!D14+'E Balans VL '!E14)/100/3.6*1000000</f>
        <v>1.135697467260212E-2</v>
      </c>
      <c r="K10" s="33"/>
      <c r="L10" s="33"/>
      <c r="M10" s="33"/>
      <c r="N10" s="33">
        <f>$C$30*'E Balans VL '!Y14/100/3.6*1000000</f>
        <v>429.43830798863638</v>
      </c>
      <c r="O10" s="33"/>
      <c r="P10" s="33"/>
      <c r="R10" s="32"/>
    </row>
    <row r="11" spans="1:18">
      <c r="A11" s="32" t="s">
        <v>54</v>
      </c>
      <c r="B11" s="37">
        <f t="shared" si="0"/>
        <v>38.115414392365302</v>
      </c>
      <c r="C11" s="33"/>
      <c r="D11" s="37">
        <f>IF(ISERROR(TER_onderwijs_gas_kWh/1000),0,TER_onderwijs_gas_kWh/1000)*0.903</f>
        <v>295.73940453291254</v>
      </c>
      <c r="E11" s="33">
        <f>$C$31*'E Balans VL '!I11/100/3.6*1000000</f>
        <v>0</v>
      </c>
      <c r="F11" s="33">
        <f>$C$31*('E Balans VL '!L11+'E Balans VL '!N11)/100/3.6*1000000</f>
        <v>1.4934636325248312</v>
      </c>
      <c r="G11" s="34"/>
      <c r="H11" s="33"/>
      <c r="I11" s="33"/>
      <c r="J11" s="33">
        <f>$C$31*('E Balans VL '!D11+'E Balans VL '!E11)/100/3.6*1000000</f>
        <v>0</v>
      </c>
      <c r="K11" s="33"/>
      <c r="L11" s="33"/>
      <c r="M11" s="33"/>
      <c r="N11" s="33">
        <f>$C$31*'E Balans VL '!Y11/100/3.6*1000000</f>
        <v>0.12003485720472153</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467</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481</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9021.3020707838277</v>
      </c>
      <c r="C16" s="21">
        <f t="shared" ca="1" si="1"/>
        <v>0</v>
      </c>
      <c r="D16" s="21">
        <f t="shared" ca="1" si="1"/>
        <v>7748.0697884463752</v>
      </c>
      <c r="E16" s="21">
        <f t="shared" si="1"/>
        <v>47.868991220948729</v>
      </c>
      <c r="F16" s="21">
        <f t="shared" ca="1" si="1"/>
        <v>1758.8025324818166</v>
      </c>
      <c r="G16" s="21">
        <f t="shared" si="1"/>
        <v>0</v>
      </c>
      <c r="H16" s="21">
        <f t="shared" si="1"/>
        <v>0</v>
      </c>
      <c r="I16" s="21">
        <f t="shared" si="1"/>
        <v>0</v>
      </c>
      <c r="J16" s="21">
        <f t="shared" si="1"/>
        <v>1.135697467260212E-2</v>
      </c>
      <c r="K16" s="21">
        <f t="shared" si="1"/>
        <v>0</v>
      </c>
      <c r="L16" s="21">
        <f t="shared" ca="1" si="1"/>
        <v>0</v>
      </c>
      <c r="M16" s="21">
        <f t="shared" si="1"/>
        <v>0</v>
      </c>
      <c r="N16" s="21">
        <f t="shared" ca="1" si="1"/>
        <v>436.43522793766027</v>
      </c>
      <c r="O16" s="21">
        <f>O5</f>
        <v>0</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0.1931502489224394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1742.4667405764144</v>
      </c>
      <c r="C20" s="23">
        <f t="shared" ref="C20:P20" ca="1" si="2">C16*C18</f>
        <v>0</v>
      </c>
      <c r="D20" s="23">
        <f t="shared" ca="1" si="2"/>
        <v>1565.1100972661679</v>
      </c>
      <c r="E20" s="23">
        <f t="shared" si="2"/>
        <v>10.866261007155362</v>
      </c>
      <c r="F20" s="23">
        <f t="shared" ca="1" si="2"/>
        <v>469.60027617264507</v>
      </c>
      <c r="G20" s="23">
        <f t="shared" si="2"/>
        <v>0</v>
      </c>
      <c r="H20" s="23">
        <f t="shared" si="2"/>
        <v>0</v>
      </c>
      <c r="I20" s="23">
        <f t="shared" si="2"/>
        <v>0</v>
      </c>
      <c r="J20" s="23">
        <f t="shared" si="2"/>
        <v>4.0203690341011501E-3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466</v>
      </c>
      <c r="B23" s="200"/>
      <c r="C23" s="200"/>
      <c r="D23" s="222"/>
    </row>
    <row r="24" spans="1:18">
      <c r="A24" s="232"/>
      <c r="B24" s="32"/>
      <c r="C24" s="32"/>
      <c r="D24" s="233"/>
    </row>
    <row r="25" spans="1:18">
      <c r="A25" s="234"/>
      <c r="B25" s="221" t="s">
        <v>256</v>
      </c>
      <c r="C25" s="221" t="s">
        <v>257</v>
      </c>
      <c r="D25" s="235" t="s">
        <v>175</v>
      </c>
    </row>
    <row r="26" spans="1:18" ht="30">
      <c r="A26" s="228" t="s">
        <v>53</v>
      </c>
      <c r="B26" s="33">
        <f>IF(ISERROR(TER_kantoor_ele_kWh/1000),0,TER_kantoor_ele_kWh/1000)</f>
        <v>1960.6601564130599</v>
      </c>
      <c r="C26" s="39">
        <f>IF(ISERROR(B26*3.6/1000000/'E Balans VL '!Z12*100),0,B26*3.6/1000000/'E Balans VL '!Z12*100)</f>
        <v>5.6251155379358167E-2</v>
      </c>
      <c r="D26" s="233" t="s">
        <v>835</v>
      </c>
      <c r="F26" s="6"/>
    </row>
    <row r="27" spans="1:18" ht="30">
      <c r="A27" s="228" t="s">
        <v>52</v>
      </c>
      <c r="B27" s="33">
        <f>IF(ISERROR(TER_horeca_ele_kWh/1000),0,TER_horeca_ele_kWh/1000)</f>
        <v>1474.3911359322199</v>
      </c>
      <c r="C27" s="39">
        <f>IF(ISERROR(B27*3.6/1000000/'E Balans VL '!Z9*100),0,B27*3.6/1000000/'E Balans VL '!Z9*100)</f>
        <v>0.10801441660528595</v>
      </c>
      <c r="D27" s="233" t="s">
        <v>835</v>
      </c>
      <c r="F27" s="6"/>
    </row>
    <row r="28" spans="1:18" ht="30">
      <c r="A28" s="168" t="s">
        <v>51</v>
      </c>
      <c r="B28" s="33">
        <f>IF(ISERROR(TER_handel_ele_kWh/1000),0,TER_handel_ele_kWh/1000)</f>
        <v>4108.8138905066999</v>
      </c>
      <c r="C28" s="39">
        <f>IF(ISERROR(B28*3.6/1000000/'E Balans VL '!Z13*100),0,B28*3.6/1000000/'E Balans VL '!Z13*100)</f>
        <v>0.12696581480122521</v>
      </c>
      <c r="D28" s="233" t="s">
        <v>835</v>
      </c>
      <c r="F28" s="6"/>
    </row>
    <row r="29" spans="1:18" ht="30">
      <c r="A29" s="228" t="s">
        <v>50</v>
      </c>
      <c r="B29" s="33">
        <f>IF(ISERROR(TER_gezond_ele_kWh/1000),0,TER_gezond_ele_kWh/1000)</f>
        <v>316.44413464208304</v>
      </c>
      <c r="C29" s="39">
        <f>IF(ISERROR(B29*3.6/1000000/'E Balans VL '!Z10*100),0,B29*3.6/1000000/'E Balans VL '!Z10*100)</f>
        <v>3.1013470995667671E-2</v>
      </c>
      <c r="D29" s="233" t="s">
        <v>835</v>
      </c>
      <c r="F29" s="6"/>
    </row>
    <row r="30" spans="1:18" ht="30">
      <c r="A30" s="228" t="s">
        <v>49</v>
      </c>
      <c r="B30" s="33">
        <f>IF(ISERROR(TER_ander_ele_kWh/1000),0,TER_ander_ele_kWh/1000)</f>
        <v>1122.8773388974</v>
      </c>
      <c r="C30" s="39">
        <f>IF(ISERROR(B30*3.6/1000000/'E Balans VL '!Z14*100),0,B30*3.6/1000000/'E Balans VL '!Z14*100)</f>
        <v>4.6513206850247589E-2</v>
      </c>
      <c r="D30" s="233" t="s">
        <v>835</v>
      </c>
      <c r="F30" s="6"/>
    </row>
    <row r="31" spans="1:18" ht="30">
      <c r="A31" s="228" t="s">
        <v>54</v>
      </c>
      <c r="B31" s="33">
        <f>IF(ISERROR(TER_onderwijs_ele_kWh/1000),0,TER_onderwijs_ele_kWh/1000)</f>
        <v>38.115414392365302</v>
      </c>
      <c r="C31" s="39">
        <f>IF(ISERROR(B31*3.6/1000000/'E Balans VL '!Z11*100),0,B31*3.6/1000000/'E Balans VL '!Z11*100)</f>
        <v>1.1711708034310691E-2</v>
      </c>
      <c r="D31" s="233" t="s">
        <v>835</v>
      </c>
    </row>
    <row r="32" spans="1:18" ht="30">
      <c r="A32" s="228" t="s">
        <v>249</v>
      </c>
      <c r="B32" s="33">
        <f>IF(ISERROR(TER_rest_ele_kWh/1000),0,TER_rest_ele_kWh/1000)</f>
        <v>0</v>
      </c>
      <c r="C32" s="39">
        <f>IF(ISERROR(B32*3.6/1000000/'E Balans VL '!Z8*100),0,B32*3.6/1000000/'E Balans VL '!Z8*100)</f>
        <v>0</v>
      </c>
      <c r="D32" s="233" t="s">
        <v>835</v>
      </c>
    </row>
    <row r="33" spans="1:4">
      <c r="A33" s="236"/>
      <c r="B33" s="177"/>
      <c r="C33" s="177"/>
      <c r="D33" s="237"/>
    </row>
    <row r="34" spans="1:4">
      <c r="A34" s="32"/>
      <c r="B34" s="32"/>
      <c r="C34" s="32"/>
    </row>
    <row r="35" spans="1:4">
      <c r="A35" s="190" t="s">
        <v>459</v>
      </c>
      <c r="B35" s="200"/>
      <c r="C35" s="200"/>
      <c r="D35" s="222"/>
    </row>
    <row r="36" spans="1:4">
      <c r="A36" s="232"/>
      <c r="B36" s="32"/>
      <c r="C36" s="32"/>
      <c r="D36" s="229"/>
    </row>
    <row r="37" spans="1:4">
      <c r="A37" s="238"/>
      <c r="B37" s="239"/>
      <c r="C37" s="221" t="s">
        <v>364</v>
      </c>
      <c r="D37" s="240" t="s">
        <v>175</v>
      </c>
    </row>
    <row r="38" spans="1:4">
      <c r="A38" s="168" t="s">
        <v>255</v>
      </c>
      <c r="B38" s="313">
        <f>aantalZB_NB_ander+aantalZB_NB_ander_met_kantoor+aantalZB_NB_kantoor+aantalZB_NB_school+ZB_NHH_bestaande_bouw+aantalZB_NB_NIET_RESIDENTIEEL_EPN</f>
        <v>0</v>
      </c>
      <c r="C38" s="43"/>
      <c r="D38" s="229"/>
    </row>
    <row r="39" spans="1:4">
      <c r="A39" s="168" t="s">
        <v>456</v>
      </c>
      <c r="B39" s="309">
        <v>13.15681996793146</v>
      </c>
      <c r="C39" s="43"/>
      <c r="D39" s="303" t="s">
        <v>765</v>
      </c>
    </row>
    <row r="40" spans="1:4">
      <c r="A40" s="6" t="s">
        <v>457</v>
      </c>
      <c r="B40" s="314">
        <f>1.34/3.6</f>
        <v>0.37222222222222223</v>
      </c>
      <c r="C40" s="43" t="s">
        <v>208</v>
      </c>
      <c r="D40" s="303" t="s">
        <v>766</v>
      </c>
    </row>
    <row r="41" spans="1:4">
      <c r="A41" s="236"/>
      <c r="B41" s="177"/>
      <c r="C41" s="177"/>
      <c r="D41" s="237"/>
    </row>
    <row r="43" spans="1:4">
      <c r="A43" s="191" t="s">
        <v>460</v>
      </c>
      <c r="B43" s="200"/>
      <c r="C43" s="200"/>
      <c r="D43" s="222"/>
    </row>
    <row r="44" spans="1:4">
      <c r="A44" s="227"/>
      <c r="B44" s="32"/>
      <c r="C44" s="32"/>
      <c r="D44" s="229"/>
    </row>
    <row r="45" spans="1:4">
      <c r="A45" s="238"/>
      <c r="B45" s="239"/>
      <c r="C45" s="221" t="s">
        <v>364</v>
      </c>
      <c r="D45" s="240" t="s">
        <v>175</v>
      </c>
    </row>
    <row r="46" spans="1:4">
      <c r="A46" s="168" t="s">
        <v>255</v>
      </c>
      <c r="B46" s="527">
        <f>aantalWP_NB_ander+antalWP_NB_ander_met_kantoor+aantalWP_NB_kantoor+aantalWP_NB_school+WP_NHH_bestaande_bouw+aantalWP_NB_NIET_RESIDENTIEEL_EPN</f>
        <v>1</v>
      </c>
      <c r="C46" s="32"/>
      <c r="D46" s="229"/>
    </row>
    <row r="47" spans="1:4">
      <c r="A47" s="168" t="s">
        <v>426</v>
      </c>
      <c r="B47" s="528">
        <v>37.963784638354454</v>
      </c>
      <c r="C47" s="32" t="s">
        <v>252</v>
      </c>
      <c r="D47" s="303" t="s">
        <v>765</v>
      </c>
    </row>
    <row r="48" spans="1:4">
      <c r="A48" s="168" t="s">
        <v>427</v>
      </c>
      <c r="B48" s="528">
        <v>1887.1743212997605</v>
      </c>
      <c r="C48" s="32" t="s">
        <v>254</v>
      </c>
      <c r="D48" s="303" t="s">
        <v>765</v>
      </c>
    </row>
    <row r="49" spans="1:4">
      <c r="A49" s="168" t="s">
        <v>389</v>
      </c>
      <c r="B49" s="528">
        <v>3.75</v>
      </c>
      <c r="C49" s="32"/>
      <c r="D49" s="303" t="s">
        <v>766</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156</v>
      </c>
      <c r="B1" s="1215" t="s">
        <v>188</v>
      </c>
      <c r="C1" s="1216"/>
      <c r="D1" s="1216"/>
      <c r="E1" s="1216"/>
      <c r="F1" s="1216"/>
      <c r="G1" s="1216"/>
      <c r="H1" s="1216"/>
      <c r="I1" s="1216"/>
      <c r="J1" s="1216"/>
      <c r="K1" s="1216"/>
      <c r="L1" s="1216"/>
      <c r="M1" s="1216"/>
      <c r="N1" s="1216"/>
      <c r="O1" s="1216"/>
      <c r="P1" s="1216"/>
      <c r="R1" s="763"/>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c r="R2" s="763"/>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3"/>
    </row>
    <row r="4" spans="1:18" ht="15.75">
      <c r="A4" s="13"/>
      <c r="B4" s="14"/>
      <c r="C4" s="14"/>
      <c r="D4" s="14"/>
      <c r="E4" s="14"/>
      <c r="F4" s="14"/>
      <c r="G4" s="14"/>
      <c r="H4" s="14"/>
      <c r="I4" s="14"/>
      <c r="J4" s="14"/>
      <c r="K4" s="14"/>
      <c r="L4" s="14"/>
      <c r="M4" s="14"/>
      <c r="N4" s="14"/>
      <c r="O4" s="14"/>
      <c r="P4" s="14"/>
      <c r="R4" s="6"/>
    </row>
    <row r="5" spans="1:18">
      <c r="A5" s="16" t="s">
        <v>258</v>
      </c>
      <c r="B5" s="30">
        <f>SUM(B6:B15)</f>
        <v>7733.8012446506191</v>
      </c>
      <c r="C5" s="17">
        <f>IF(ISERROR('Eigen informatie GS &amp; warmtenet'!B61),0,'Eigen informatie GS &amp; warmtenet'!B61)</f>
        <v>0</v>
      </c>
      <c r="D5" s="30">
        <f>SUM(D6:D15)</f>
        <v>34825.730354242245</v>
      </c>
      <c r="E5" s="17">
        <f>SUM(E6:E15)</f>
        <v>151.89058347330047</v>
      </c>
      <c r="F5" s="17">
        <f>SUM(F6:F15)</f>
        <v>2169.3459812357523</v>
      </c>
      <c r="G5" s="18"/>
      <c r="H5" s="17"/>
      <c r="I5" s="17"/>
      <c r="J5" s="17">
        <f>SUM(J6:J15)</f>
        <v>12.7109425062204</v>
      </c>
      <c r="K5" s="17"/>
      <c r="L5" s="17"/>
      <c r="M5" s="17"/>
      <c r="N5" s="17">
        <f>SUM(N6:N15)</f>
        <v>289.15610120514003</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60.974607318612797</v>
      </c>
      <c r="C8" s="33"/>
      <c r="D8" s="37">
        <f>IF( ISERROR(IND_metaal_Gas_kWH/1000),0,IND_metaal_Gas_kWH/1000)*0.903</f>
        <v>54.74373450849324</v>
      </c>
      <c r="E8" s="33">
        <f>C30*'E Balans VL '!I18/100/3.6*1000000</f>
        <v>0.3323820939393734</v>
      </c>
      <c r="F8" s="33">
        <f>C30*'E Balans VL '!L18/100/3.6*1000000+C30*'E Balans VL '!N18/100/3.6*1000000</f>
        <v>3.9267693687238965</v>
      </c>
      <c r="G8" s="34"/>
      <c r="H8" s="33"/>
      <c r="I8" s="33"/>
      <c r="J8" s="40">
        <f>C30*'E Balans VL '!D18/100/3.6*1000000+C30*'E Balans VL '!E18/100/3.6*1000000</f>
        <v>4.9945640979473779E-2</v>
      </c>
      <c r="K8" s="33"/>
      <c r="L8" s="33"/>
      <c r="M8" s="33"/>
      <c r="N8" s="33">
        <f>C30*'E Balans VL '!Y18/100/3.6*1000000</f>
        <v>1.3173160992872888</v>
      </c>
      <c r="O8" s="33"/>
      <c r="P8" s="33"/>
      <c r="R8" s="32"/>
    </row>
    <row r="9" spans="1:18">
      <c r="A9" s="6" t="s">
        <v>32</v>
      </c>
      <c r="B9" s="37">
        <f t="shared" si="0"/>
        <v>2719.75111798134</v>
      </c>
      <c r="C9" s="33"/>
      <c r="D9" s="37">
        <f>IF( ISERROR(IND_andere_gas_kWh/1000),0,IND_andere_gas_kWh/1000)*0.903</f>
        <v>2126.4258017457523</v>
      </c>
      <c r="E9" s="33">
        <f>C31*'E Balans VL '!I19/100/3.6*1000000</f>
        <v>8.7798197839703551</v>
      </c>
      <c r="F9" s="33">
        <f>C31*'E Balans VL '!L19/100/3.6*1000000+C31*'E Balans VL '!N19/100/3.6*1000000</f>
        <v>1758.6124231000542</v>
      </c>
      <c r="G9" s="34"/>
      <c r="H9" s="33"/>
      <c r="I9" s="33"/>
      <c r="J9" s="40">
        <f>C31*'E Balans VL '!D19/100/3.6*1000000+C31*'E Balans VL '!E19/100/3.6*1000000</f>
        <v>0</v>
      </c>
      <c r="K9" s="33"/>
      <c r="L9" s="33"/>
      <c r="M9" s="33"/>
      <c r="N9" s="33">
        <f>C31*'E Balans VL '!Y19/100/3.6*1000000</f>
        <v>109.90200108956769</v>
      </c>
      <c r="O9" s="33"/>
      <c r="P9" s="33"/>
      <c r="R9" s="32"/>
    </row>
    <row r="10" spans="1:18">
      <c r="A10" s="6" t="s">
        <v>40</v>
      </c>
      <c r="B10" s="37">
        <f t="shared" si="0"/>
        <v>2621.1931471256703</v>
      </c>
      <c r="C10" s="33"/>
      <c r="D10" s="37">
        <f>IF( ISERROR(IND_voed_gas_kWh/1000),0,IND_voed_gas_kWh/1000)*0.903</f>
        <v>32632.414262196904</v>
      </c>
      <c r="E10" s="33">
        <f>C32*'E Balans VL '!I20/100/3.6*1000000</f>
        <v>5.494663221509704</v>
      </c>
      <c r="F10" s="33">
        <f>C32*'E Balans VL '!L20/100/3.6*1000000+C32*'E Balans VL '!N20/100/3.6*1000000</f>
        <v>51.069901027527443</v>
      </c>
      <c r="G10" s="34"/>
      <c r="H10" s="33"/>
      <c r="I10" s="33"/>
      <c r="J10" s="40">
        <f>C32*'E Balans VL '!D20/100/3.6*1000000+C32*'E Balans VL '!E20/100/3.6*1000000</f>
        <v>0</v>
      </c>
      <c r="K10" s="33"/>
      <c r="L10" s="33"/>
      <c r="M10" s="33"/>
      <c r="N10" s="33">
        <f>C32*'E Balans VL '!Y20/100/3.6*1000000</f>
        <v>104.2637963802169</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2331.8823722249954</v>
      </c>
      <c r="C15" s="33"/>
      <c r="D15" s="37">
        <f>IF( ISERROR(IND_rest_gas_kWh/1000),0,IND_rest_gas_kWh/1000)*0.903</f>
        <v>12.146555791094421</v>
      </c>
      <c r="E15" s="33">
        <f>C37*'E Balans VL '!I15/100/3.6*1000000</f>
        <v>137.28371837388104</v>
      </c>
      <c r="F15" s="33">
        <f>C37*'E Balans VL '!L15/100/3.6*1000000+C37*'E Balans VL '!N15/100/3.6*1000000</f>
        <v>355.73688773944679</v>
      </c>
      <c r="G15" s="34"/>
      <c r="H15" s="33"/>
      <c r="I15" s="33"/>
      <c r="J15" s="40">
        <f>C37*'E Balans VL '!D15/100/3.6*1000000+C37*'E Balans VL '!E15/100/3.6*1000000</f>
        <v>12.660996865240927</v>
      </c>
      <c r="K15" s="33"/>
      <c r="L15" s="33"/>
      <c r="M15" s="33"/>
      <c r="N15" s="33">
        <f>C37*'E Balans VL '!Y15/100/3.6*1000000</f>
        <v>73.672987636068186</v>
      </c>
      <c r="O15" s="33"/>
      <c r="P15" s="33"/>
      <c r="R15" s="32"/>
    </row>
    <row r="16" spans="1:18">
      <c r="A16" s="16" t="s">
        <v>467</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7733.8012446506191</v>
      </c>
      <c r="C18" s="21">
        <f>C5+C16</f>
        <v>0</v>
      </c>
      <c r="D18" s="21">
        <f>MAX((D5+D16),0)</f>
        <v>34825.730354242245</v>
      </c>
      <c r="E18" s="21">
        <f>MAX((E5+E16),0)</f>
        <v>151.89058347330047</v>
      </c>
      <c r="F18" s="21">
        <f>MAX((F5+F16),0)</f>
        <v>2169.3459812357523</v>
      </c>
      <c r="G18" s="21"/>
      <c r="H18" s="21"/>
      <c r="I18" s="21"/>
      <c r="J18" s="21">
        <f>MAX((J5+J16),0)</f>
        <v>12.7109425062204</v>
      </c>
      <c r="K18" s="21"/>
      <c r="L18" s="21">
        <f>MAX((L5+L16),0)</f>
        <v>0</v>
      </c>
      <c r="M18" s="21"/>
      <c r="N18" s="21">
        <f>MAX((N5+N16),0)</f>
        <v>289.15610120514003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0.1931502489224394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1493.7856355209387</v>
      </c>
      <c r="C22" s="23">
        <f ca="1">C18*C20</f>
        <v>0</v>
      </c>
      <c r="D22" s="23">
        <f>D18*D20</f>
        <v>7034.7975315569338</v>
      </c>
      <c r="E22" s="23">
        <f>E18*E20</f>
        <v>34.479162448439205</v>
      </c>
      <c r="F22" s="23">
        <f>F18*F20</f>
        <v>579.21537698994587</v>
      </c>
      <c r="G22" s="23"/>
      <c r="H22" s="23"/>
      <c r="I22" s="23"/>
      <c r="J22" s="23">
        <f>J18*J20</f>
        <v>4.4996736472020213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466</v>
      </c>
      <c r="B25" s="200"/>
      <c r="C25" s="200"/>
      <c r="D25" s="222"/>
    </row>
    <row r="26" spans="1:18">
      <c r="A26" s="232"/>
      <c r="B26" s="32"/>
      <c r="C26" s="32"/>
      <c r="D26" s="233"/>
    </row>
    <row r="27" spans="1:18">
      <c r="A27" s="234"/>
      <c r="B27" s="221" t="s">
        <v>256</v>
      </c>
      <c r="C27" s="221" t="s">
        <v>257</v>
      </c>
      <c r="D27" s="235" t="s">
        <v>175</v>
      </c>
    </row>
    <row r="28" spans="1:18" ht="30">
      <c r="A28" s="168" t="s">
        <v>34</v>
      </c>
      <c r="B28" s="37"/>
      <c r="C28" s="39"/>
      <c r="D28" s="233" t="s">
        <v>835</v>
      </c>
    </row>
    <row r="29" spans="1:18" ht="30">
      <c r="A29" s="168" t="s">
        <v>37</v>
      </c>
      <c r="B29" s="37">
        <f>IF( ISERROR(IND_nonf_ele_kWh/1000),0,IND_nonf_ele_kWh/1000)</f>
        <v>0</v>
      </c>
      <c r="C29" s="39">
        <f>IF(ISERROR(B29*3.6/1000000/'E Balans VL '!Z17*100),0,B29*3.6/1000000/'E Balans VL '!Z17*100)</f>
        <v>0</v>
      </c>
      <c r="D29" s="233" t="s">
        <v>835</v>
      </c>
    </row>
    <row r="30" spans="1:18" ht="30">
      <c r="A30" s="168" t="s">
        <v>35</v>
      </c>
      <c r="B30" s="37">
        <f>IF( ISERROR(IND_metaal_ele_kWh/1000),0,IND_metaal_ele_kWh/1000)</f>
        <v>60.974607318612797</v>
      </c>
      <c r="C30" s="39">
        <f>IF(ISERROR(B30*3.6/1000000/'E Balans VL '!Z18*100),0,B30*3.6/1000000/'E Balans VL '!Z18*100)</f>
        <v>3.6717236578743353E-3</v>
      </c>
      <c r="D30" s="233" t="s">
        <v>835</v>
      </c>
    </row>
    <row r="31" spans="1:18" ht="30">
      <c r="A31" s="6" t="s">
        <v>32</v>
      </c>
      <c r="B31" s="37">
        <f>IF( ISERROR(IND_ander_ele_kWh/1000),0,IND_ander_ele_kWh/1000)</f>
        <v>2719.75111798134</v>
      </c>
      <c r="C31" s="39">
        <f>IF(ISERROR(B31*3.6/1000000/'E Balans VL '!Z19*100),0,B31*3.6/1000000/'E Balans VL '!Z19*100)</f>
        <v>0.11080829107934292</v>
      </c>
      <c r="D31" s="233" t="s">
        <v>835</v>
      </c>
    </row>
    <row r="32" spans="1:18" ht="30">
      <c r="A32" s="168" t="s">
        <v>40</v>
      </c>
      <c r="B32" s="37">
        <f>IF( ISERROR(IND_voed_ele_kWh/1000),0,IND_voed_ele_kWh/1000)</f>
        <v>2621.1931471256703</v>
      </c>
      <c r="C32" s="39">
        <f>IF(ISERROR(B32*3.6/1000000/'E Balans VL '!Z20*100),0,B32*3.6/1000000/'E Balans VL '!Z20*100)</f>
        <v>7.5789242352838057E-2</v>
      </c>
      <c r="D32" s="233" t="s">
        <v>835</v>
      </c>
    </row>
    <row r="33" spans="1:5" ht="30">
      <c r="A33" s="168" t="s">
        <v>39</v>
      </c>
      <c r="B33" s="37">
        <f>IF( ISERROR(IND_textiel_ele_kWh/1000),0,IND_textiel_ele_kWh/1000)</f>
        <v>0</v>
      </c>
      <c r="C33" s="39">
        <f>IF(ISERROR(B33*3.6/1000000/'E Balans VL '!Z21*100),0,B33*3.6/1000000/'E Balans VL '!Z21*100)</f>
        <v>0</v>
      </c>
      <c r="D33" s="233" t="s">
        <v>835</v>
      </c>
    </row>
    <row r="34" spans="1:5" ht="30">
      <c r="A34" s="168" t="s">
        <v>36</v>
      </c>
      <c r="B34" s="37">
        <f>IF( ISERROR(IND_min_ele_kWh/1000),0,IND_min_ele_kWh/1000)</f>
        <v>0</v>
      </c>
      <c r="C34" s="39">
        <f>IF(ISERROR(B34*3.6/1000000/'E Balans VL '!Z22*100),0,B34*3.6/1000000/'E Balans VL '!Z22*100)</f>
        <v>0</v>
      </c>
      <c r="D34" s="233" t="s">
        <v>835</v>
      </c>
    </row>
    <row r="35" spans="1:5" ht="30">
      <c r="A35" s="168" t="s">
        <v>38</v>
      </c>
      <c r="B35" s="37">
        <f>IF( ISERROR(IND_papier_ele_kWh/1000),0,IND_papier_ele_kWh/1000)</f>
        <v>0</v>
      </c>
      <c r="C35" s="39">
        <f>IF(ISERROR(B35*3.6/1000000/'E Balans VL '!Z22*100),0,B35*3.6/1000000/'E Balans VL '!Z22*100)</f>
        <v>0</v>
      </c>
      <c r="D35" s="233" t="s">
        <v>835</v>
      </c>
    </row>
    <row r="36" spans="1:5" ht="30">
      <c r="A36" s="168" t="s">
        <v>33</v>
      </c>
      <c r="B36" s="37">
        <f>IF( ISERROR(IND_chemie_ele_kWh/1000),0,IND_chemie_ele_kWh/1000)</f>
        <v>0</v>
      </c>
      <c r="C36" s="39">
        <f>IF(ISERROR(B36*3.6/1000000/'E Balans VL '!Z24*100),0,B36*3.6/1000000/'E Balans VL '!Z24*100)</f>
        <v>0</v>
      </c>
      <c r="D36" s="233" t="s">
        <v>835</v>
      </c>
    </row>
    <row r="37" spans="1:5" ht="30">
      <c r="A37" s="168" t="s">
        <v>259</v>
      </c>
      <c r="B37" s="37">
        <f>IF( ISERROR(IND_rest_ele_kWh/1000),0,IND_rest_ele_kWh/1000)</f>
        <v>2331.8823722249954</v>
      </c>
      <c r="C37" s="39">
        <f>IF(ISERROR(B37*3.6/1000000/'E Balans VL '!Z15*100),0,B37*3.6/1000000/'E Balans VL '!Z15*100)</f>
        <v>1.9146520493977474E-2</v>
      </c>
      <c r="D37" s="233" t="s">
        <v>835</v>
      </c>
    </row>
    <row r="38" spans="1:5">
      <c r="A38" s="236"/>
      <c r="B38" s="177"/>
      <c r="C38" s="177"/>
      <c r="D38" s="237"/>
    </row>
    <row r="39" spans="1:5">
      <c r="A39" s="228"/>
      <c r="B39" s="32"/>
      <c r="C39" s="32"/>
      <c r="D39" s="32"/>
      <c r="E39" s="32"/>
    </row>
    <row r="40" spans="1:5">
      <c r="A40" s="190" t="s">
        <v>459</v>
      </c>
      <c r="B40" s="200"/>
      <c r="C40" s="200"/>
      <c r="D40" s="222"/>
    </row>
    <row r="41" spans="1:5">
      <c r="A41" s="232"/>
      <c r="B41" s="32"/>
      <c r="C41" s="32"/>
      <c r="D41" s="229"/>
    </row>
    <row r="42" spans="1:5">
      <c r="A42" s="238"/>
      <c r="B42" s="239"/>
      <c r="C42" s="221" t="s">
        <v>364</v>
      </c>
      <c r="D42" s="240" t="s">
        <v>175</v>
      </c>
    </row>
    <row r="43" spans="1:5">
      <c r="A43" s="168" t="s">
        <v>255</v>
      </c>
      <c r="B43" s="313">
        <f>aantalZB_NB_industrie+aantalZB_NB_industrie_met_kantoor</f>
        <v>0</v>
      </c>
      <c r="C43" s="43"/>
      <c r="D43" s="229"/>
    </row>
    <row r="44" spans="1:5">
      <c r="A44" s="168" t="s">
        <v>456</v>
      </c>
      <c r="B44" s="309">
        <v>13.15681996793146</v>
      </c>
      <c r="C44" s="43"/>
      <c r="D44" s="303" t="s">
        <v>765</v>
      </c>
    </row>
    <row r="45" spans="1:5">
      <c r="A45" s="6" t="s">
        <v>457</v>
      </c>
      <c r="B45" s="314">
        <f>1.34/3.6</f>
        <v>0.37222222222222223</v>
      </c>
      <c r="C45" s="43" t="s">
        <v>208</v>
      </c>
      <c r="D45" s="303" t="s">
        <v>766</v>
      </c>
    </row>
    <row r="46" spans="1:5" s="32" customFormat="1">
      <c r="A46" s="172"/>
      <c r="B46" s="242"/>
      <c r="C46" s="177"/>
      <c r="D46" s="237"/>
    </row>
    <row r="48" spans="1:5">
      <c r="A48" s="191" t="s">
        <v>460</v>
      </c>
      <c r="B48" s="200"/>
      <c r="C48" s="200"/>
      <c r="D48" s="222"/>
    </row>
    <row r="49" spans="1:4">
      <c r="A49" s="227"/>
      <c r="B49" s="32"/>
      <c r="C49" s="32"/>
      <c r="D49" s="229"/>
    </row>
    <row r="50" spans="1:4">
      <c r="A50" s="238"/>
      <c r="B50" s="239"/>
      <c r="C50" s="221" t="s">
        <v>364</v>
      </c>
      <c r="D50" s="240" t="s">
        <v>175</v>
      </c>
    </row>
    <row r="51" spans="1:4">
      <c r="A51" s="168" t="s">
        <v>255</v>
      </c>
      <c r="B51" s="313">
        <f>aantalWP_NB_industrie+AantalWP_NB_industrie_met_kantoor</f>
        <v>0</v>
      </c>
      <c r="C51" s="32"/>
      <c r="D51" s="229"/>
    </row>
    <row r="52" spans="1:4">
      <c r="A52" s="168" t="s">
        <v>251</v>
      </c>
      <c r="B52" s="309">
        <v>42.166215685288535</v>
      </c>
      <c r="C52" s="32" t="s">
        <v>252</v>
      </c>
      <c r="D52" s="303" t="s">
        <v>765</v>
      </c>
    </row>
    <row r="53" spans="1:4">
      <c r="A53" s="168" t="s">
        <v>253</v>
      </c>
      <c r="B53" s="309">
        <v>1870.3471198212708</v>
      </c>
      <c r="C53" s="32" t="s">
        <v>254</v>
      </c>
      <c r="D53" s="303" t="s">
        <v>765</v>
      </c>
    </row>
    <row r="54" spans="1:4">
      <c r="A54" s="168" t="s">
        <v>389</v>
      </c>
      <c r="B54" s="309">
        <v>3.75</v>
      </c>
      <c r="C54" s="32"/>
      <c r="D54" s="303" t="s">
        <v>766</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260</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690.51402423048694</v>
      </c>
      <c r="C5" s="17">
        <f>'Eigen informatie GS &amp; warmtenet'!B62</f>
        <v>0</v>
      </c>
      <c r="D5" s="30">
        <f>IF(ISERROR(SUM(LB_lb_gas_kWh,LB_rest_gas_kWh)/1000),0,SUM(LB_lb_gas_kWh,LB_rest_gas_kWh)/1000)*0.903</f>
        <v>41.129584509035766</v>
      </c>
      <c r="E5" s="17">
        <f>B17*'E Balans VL '!I25/3.6*1000000/100</f>
        <v>19.777490217630145</v>
      </c>
      <c r="F5" s="17">
        <f>B17*('E Balans VL '!L25/3.6*1000000+'E Balans VL '!N25/3.6*1000000)/100</f>
        <v>2185.8107068451973</v>
      </c>
      <c r="G5" s="18"/>
      <c r="H5" s="17"/>
      <c r="I5" s="17"/>
      <c r="J5" s="17">
        <f>('E Balans VL '!D25+'E Balans VL '!E25)/3.6*1000000*landbouw!B17/100</f>
        <v>175.5760325697446</v>
      </c>
      <c r="K5" s="17"/>
      <c r="L5" s="17">
        <f>L6*(-1)</f>
        <v>0</v>
      </c>
      <c r="M5" s="17"/>
      <c r="N5" s="17">
        <f>N6*(-1)</f>
        <v>0</v>
      </c>
      <c r="O5" s="17"/>
      <c r="P5" s="17"/>
      <c r="R5" s="32"/>
    </row>
    <row r="6" spans="1:18">
      <c r="A6" s="16" t="s">
        <v>467</v>
      </c>
      <c r="B6" s="17" t="s">
        <v>204</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690.51402423048694</v>
      </c>
      <c r="C8" s="21">
        <f>C5+C6</f>
        <v>0</v>
      </c>
      <c r="D8" s="21">
        <f>MAX((D5+D6),0)</f>
        <v>41.129584509035766</v>
      </c>
      <c r="E8" s="21">
        <f>MAX((E5+E6),0)</f>
        <v>19.777490217630145</v>
      </c>
      <c r="F8" s="21">
        <f>MAX((F5+F6),0)</f>
        <v>2185.8107068451973</v>
      </c>
      <c r="G8" s="21"/>
      <c r="H8" s="21"/>
      <c r="I8" s="21"/>
      <c r="J8" s="21">
        <f>MAX((J5+J6),0)</f>
        <v>175.5760325697446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0.1931502489224394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133.3729556645539</v>
      </c>
      <c r="C12" s="23">
        <f ca="1">C8*C10</f>
        <v>0</v>
      </c>
      <c r="D12" s="23">
        <f>D8*D10</f>
        <v>8.3081760708252244</v>
      </c>
      <c r="E12" s="23">
        <f>E8*E10</f>
        <v>4.4894902794020428</v>
      </c>
      <c r="F12" s="23">
        <f>F8*F10</f>
        <v>583.6114587276677</v>
      </c>
      <c r="G12" s="23"/>
      <c r="H12" s="23"/>
      <c r="I12" s="23"/>
      <c r="J12" s="23">
        <f>J8*J10</f>
        <v>62.153915529689584</v>
      </c>
      <c r="K12" s="23"/>
      <c r="L12" s="23">
        <f>L8*L10</f>
        <v>0</v>
      </c>
      <c r="M12" s="23">
        <f>M8*M10</f>
        <v>0</v>
      </c>
      <c r="N12" s="23">
        <f>N8*N10</f>
        <v>0</v>
      </c>
      <c r="O12" s="23"/>
      <c r="P12" s="23"/>
    </row>
    <row r="14" spans="1:18">
      <c r="A14" s="190" t="s">
        <v>473</v>
      </c>
      <c r="B14" s="200"/>
      <c r="C14" s="222"/>
    </row>
    <row r="15" spans="1:18">
      <c r="A15" s="232"/>
      <c r="B15" s="32"/>
      <c r="C15" s="233"/>
    </row>
    <row r="16" spans="1:18">
      <c r="A16" s="251"/>
      <c r="B16" s="42" t="s">
        <v>281</v>
      </c>
      <c r="C16" s="235" t="s">
        <v>175</v>
      </c>
    </row>
    <row r="17" spans="1:4" ht="30">
      <c r="A17" s="252" t="s">
        <v>105</v>
      </c>
      <c r="B17" s="250">
        <f>IF(ISERROR(SUM(LB_lb_ele_kWh,LB_rest_ele_kWh)*3.6/1000000000/'E Balans VL '!Z26*100),0,SUM(LB_lb_ele_kWh,LB_rest_ele_kWh)*3.6/1000000000/'E Balans VL '!Z26*100)</f>
        <v>9.5620527700194941E-2</v>
      </c>
      <c r="C17" s="908" t="s">
        <v>835</v>
      </c>
      <c r="D17" s="248"/>
    </row>
    <row r="18" spans="1:4">
      <c r="A18" s="236"/>
      <c r="B18" s="249"/>
      <c r="C18" s="237"/>
    </row>
    <row r="19" spans="1:4">
      <c r="A19" s="32"/>
      <c r="B19" s="48"/>
      <c r="C19" s="32"/>
    </row>
    <row r="20" spans="1:4">
      <c r="A20" s="32"/>
      <c r="B20" s="48"/>
      <c r="C20" s="32"/>
    </row>
    <row r="21" spans="1:4" ht="15.75" thickBot="1">
      <c r="B21" s="32"/>
    </row>
    <row r="22" spans="1:4" ht="15.75" customHeight="1">
      <c r="A22" s="1222" t="s">
        <v>292</v>
      </c>
      <c r="B22" s="1225" t="s">
        <v>293</v>
      </c>
      <c r="C22" s="1225" t="s">
        <v>472</v>
      </c>
    </row>
    <row r="23" spans="1:4">
      <c r="A23" s="1223"/>
      <c r="B23" s="1226"/>
      <c r="C23" s="1226"/>
    </row>
    <row r="24" spans="1:4" ht="15.75" thickBot="1">
      <c r="A24" s="1224"/>
      <c r="B24" s="1227"/>
      <c r="C24" s="1227"/>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42.772650262283392</v>
      </c>
      <c r="C26" s="243">
        <f>B26*'GWP N2O_CH4'!B5</f>
        <v>898.22565550795127</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7.6346122047055962</v>
      </c>
      <c r="C27" s="243">
        <f>B27*'GWP N2O_CH4'!B5</f>
        <v>160.32685629881752</v>
      </c>
      <c r="D27" s="50"/>
    </row>
    <row r="28" spans="1:4">
      <c r="A28" s="41" t="s">
        <v>265</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0.63383824120838339</v>
      </c>
      <c r="C28" s="243">
        <f>B28*'GWP N2O_CH4'!B4</f>
        <v>196.48985477459885</v>
      </c>
      <c r="D28" s="50"/>
    </row>
    <row r="29" spans="1:4">
      <c r="A29" s="41" t="s">
        <v>266</v>
      </c>
      <c r="B29" s="243">
        <f>B34*'ha_N2O bodem landbouw'!B4</f>
        <v>2.9758528370416255</v>
      </c>
      <c r="C29" s="243">
        <f>B29*'GWP N2O_CH4'!B4</f>
        <v>922.51437948290391</v>
      </c>
      <c r="D29" s="50"/>
    </row>
    <row r="31" spans="1:4">
      <c r="A31" s="190" t="s">
        <v>474</v>
      </c>
      <c r="B31" s="200"/>
      <c r="C31" s="222"/>
    </row>
    <row r="32" spans="1:4">
      <c r="A32" s="232"/>
      <c r="B32" s="32"/>
      <c r="C32" s="233"/>
    </row>
    <row r="33" spans="1:5">
      <c r="A33" s="234"/>
      <c r="B33" s="221" t="s">
        <v>600</v>
      </c>
      <c r="C33" s="235" t="s">
        <v>175</v>
      </c>
    </row>
    <row r="34" spans="1:5" ht="15.75" thickBot="1">
      <c r="A34" s="253" t="s">
        <v>105</v>
      </c>
      <c r="B34" s="35">
        <f>IF(ISERROR(aantalCultuurgronden/'ha_N2O bodem landbouw'!B5),0,aantalCultuurgronden/'ha_N2O bodem landbouw'!B5)</f>
        <v>6.760605049112617E-4</v>
      </c>
      <c r="C34" s="923" t="s">
        <v>803</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4" t="s">
        <v>476</v>
      </c>
      <c r="B1" s="1215" t="s">
        <v>523</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7">
        <f>SUM(B6:B11)</f>
        <v>2.3556784623979948E-4</v>
      </c>
      <c r="C5" s="432" t="s">
        <v>204</v>
      </c>
      <c r="D5" s="417">
        <f>SUM(D6:D11)</f>
        <v>4.2113505982994287E-4</v>
      </c>
      <c r="E5" s="417">
        <f>SUM(E6:E11)</f>
        <v>1.6515806158577516E-4</v>
      </c>
      <c r="F5" s="430" t="s">
        <v>204</v>
      </c>
      <c r="G5" s="417">
        <f>SUM(G6:G11)</f>
        <v>6.143598345928479E-2</v>
      </c>
      <c r="H5" s="417">
        <f>SUM(H6:H11)</f>
        <v>2.0604257606103581E-2</v>
      </c>
      <c r="I5" s="432" t="s">
        <v>204</v>
      </c>
      <c r="J5" s="432" t="s">
        <v>204</v>
      </c>
      <c r="K5" s="432" t="s">
        <v>204</v>
      </c>
      <c r="L5" s="432" t="s">
        <v>204</v>
      </c>
      <c r="M5" s="417">
        <f>SUM(M6:M11)</f>
        <v>4.9882183439033728E-3</v>
      </c>
      <c r="N5" s="432" t="s">
        <v>204</v>
      </c>
      <c r="O5" s="432" t="s">
        <v>204</v>
      </c>
      <c r="P5" s="433" t="s">
        <v>204</v>
      </c>
    </row>
    <row r="6" spans="1:18">
      <c r="A6" s="257" t="s">
        <v>633</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1.8835889560540816E-4</v>
      </c>
      <c r="C6" s="418"/>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3.1404820006619005E-4</v>
      </c>
      <c r="E6" s="884">
        <f>vkm_GW_PW*SUMIFS(TableVerdeelsleutelVkm[LPG],TableVerdeelsleutelVkm[Voertuigtype],"Lichte voertuigen")*SUMIFS(TableECFTransport[EnergieConsumptieFactor (PJ per km)],TableECFTransport[Index],CONCATENATE($A6,"_LPG_LPG"))</f>
        <v>1.245073383012189E-4</v>
      </c>
      <c r="F6" s="420"/>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3.7417582838667508E-2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1.5401473392896025E-2</v>
      </c>
      <c r="I6" s="418"/>
      <c r="J6" s="418"/>
      <c r="K6" s="418"/>
      <c r="L6" s="418"/>
      <c r="M6" s="41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3.2402933317205321E-3</v>
      </c>
      <c r="N6" s="418"/>
      <c r="O6" s="418"/>
      <c r="P6" s="419"/>
    </row>
    <row r="7" spans="1:18">
      <c r="A7" s="257" t="s">
        <v>634</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2.7191894822169363E-7</v>
      </c>
      <c r="C7" s="418"/>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0"/>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1.0779038500939309E-2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7.9533702005816715E-8</v>
      </c>
      <c r="I7" s="418"/>
      <c r="J7" s="418"/>
      <c r="K7" s="418"/>
      <c r="L7" s="418"/>
      <c r="M7" s="41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6.1891416181553344E-4</v>
      </c>
      <c r="N7" s="418"/>
      <c r="O7" s="418"/>
      <c r="P7" s="419"/>
      <c r="R7" s="881"/>
    </row>
    <row r="8" spans="1:18">
      <c r="A8" s="257" t="s">
        <v>635</v>
      </c>
      <c r="B8" s="418">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4.6896892306356739E-5</v>
      </c>
      <c r="C8" s="418"/>
      <c r="D8" s="420">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1.070868597637528E-4</v>
      </c>
      <c r="E8" s="420">
        <f>vkm_NGW_PW*SUMIFS(TableVerdeelsleutelVkm[LPG],TableVerdeelsleutelVkm[Voertuigtype],"Lichte voertuigen")*SUMIFS(TableECFTransport[EnergieConsumptieFactor (PJ per km)],TableECFTransport[Index],CONCATENATE($A8,"_LPG_LPG"))</f>
        <v>4.0650723284556263E-5</v>
      </c>
      <c r="F8" s="420"/>
      <c r="G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1.1190334419650437E-2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5.2026905085599678E-3</v>
      </c>
      <c r="I8" s="418"/>
      <c r="J8" s="418"/>
      <c r="K8" s="418"/>
      <c r="L8" s="418"/>
      <c r="M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1.0113592122335422E-3</v>
      </c>
      <c r="N8" s="418"/>
      <c r="O8" s="418"/>
      <c r="P8" s="419"/>
      <c r="R8" s="881"/>
    </row>
    <row r="9" spans="1:18">
      <c r="A9" s="257" t="s">
        <v>636</v>
      </c>
      <c r="B9" s="418">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4.0139379812913161E-8</v>
      </c>
      <c r="C9" s="418"/>
      <c r="D9" s="420">
        <f>vkm_NGW_ZV*SUMIFS(TableVerdeelsleutelVkm[CNG],TableVerdeelsleutelVkm[Voertuigtype],"Zware voertuigen")*SUMIFS(TableECFTransport[EnergieConsumptieFactor (PJ per km)],TableECFTransport[Index],CONCATENATE($A9,"_CNG_CNG"))</f>
        <v>0</v>
      </c>
      <c r="E9" s="420">
        <f>vkm_NGW_ZV*SUMIFS(TableVerdeelsleutelVkm[LPG],TableVerdeelsleutelVkm[Voertuigtype],"Zware voertuigen")*SUMIFS(TableECFTransport[EnergieConsumptieFactor (PJ per km)],TableECFTransport[Index],CONCATENATE($A9,"_LPG_LPG"))</f>
        <v>0</v>
      </c>
      <c r="F9" s="420"/>
      <c r="G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2.0490277000275378E-3</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1.4170945580353758E-8</v>
      </c>
      <c r="I9" s="418"/>
      <c r="J9" s="418"/>
      <c r="K9" s="418"/>
      <c r="L9" s="418"/>
      <c r="M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1.176516381337653E-4</v>
      </c>
      <c r="N9" s="418"/>
      <c r="O9" s="418"/>
      <c r="P9" s="419"/>
      <c r="R9" s="881"/>
    </row>
    <row r="10" spans="1:18">
      <c r="A10" s="257" t="s">
        <v>637</v>
      </c>
      <c r="B10" s="418">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8"/>
      <c r="D10" s="420">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0">
        <f>vkm_SW_PW*SUMIFS(TableVerdeelsleutelVkm[LPG],TableVerdeelsleutelVkm[Voertuigtype],"Lichte voertuigen")*SUMIFS(TableECFTransport[EnergieConsumptieFactor (PJ per km)],TableECFTransport[Index],CONCATENATE($A10,"_LPG_LPG"))</f>
        <v>0</v>
      </c>
      <c r="F10" s="420"/>
      <c r="G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8"/>
      <c r="J10" s="418"/>
      <c r="K10" s="418"/>
      <c r="L10" s="418"/>
      <c r="M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8"/>
      <c r="O10" s="418"/>
      <c r="P10" s="419"/>
      <c r="R10" s="881"/>
    </row>
    <row r="11" spans="1:18">
      <c r="A11" s="4" t="s">
        <v>638</v>
      </c>
      <c r="B11" s="421">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1"/>
      <c r="D11" s="422">
        <f>vkm_SW_ZV*SUMIFS(TableVerdeelsleutelVkm[CNG],TableVerdeelsleutelVkm[Voertuigtype],"Zware voertuigen")*SUMIFS(TableECFTransport[EnergieConsumptieFactor (PJ per km)],TableECFTransport[Index],CONCATENATE($A11,"_CNG_CNG"))</f>
        <v>0</v>
      </c>
      <c r="E11" s="422">
        <f>vkm_SW_ZV*SUMIFS(TableVerdeelsleutelVkm[LPG],TableVerdeelsleutelVkm[Voertuigtype],"Zware voertuigen")*SUMIFS(TableECFTransport[EnergieConsumptieFactor (PJ per km)],TableECFTransport[Index],CONCATENATE($A11,"_LPG_LPG"))</f>
        <v>0</v>
      </c>
      <c r="F11" s="422"/>
      <c r="G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1"/>
      <c r="J11" s="421"/>
      <c r="K11" s="421"/>
      <c r="L11" s="421"/>
      <c r="M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1"/>
      <c r="O11" s="421"/>
      <c r="P11" s="423"/>
      <c r="R11" s="881"/>
    </row>
    <row r="12" spans="1:18">
      <c r="A12" s="325" t="s">
        <v>521</v>
      </c>
      <c r="B12" s="431">
        <f>('Eigen vloot'!B27)*(-1)</f>
        <v>0</v>
      </c>
      <c r="C12" s="431"/>
      <c r="D12" s="431">
        <f>('Eigen vloot'!D27)*(-1)</f>
        <v>0</v>
      </c>
      <c r="E12" s="431">
        <f>('Eigen vloot'!E27)*(-1)</f>
        <v>0</v>
      </c>
      <c r="F12" s="424"/>
      <c r="G12" s="431">
        <f>('Eigen vloot'!G27)*(-1)</f>
        <v>0</v>
      </c>
      <c r="H12" s="431">
        <f>('Eigen vloot'!H27)*(-1)</f>
        <v>0</v>
      </c>
      <c r="I12" s="431"/>
      <c r="J12" s="431"/>
      <c r="K12" s="431"/>
      <c r="L12" s="431"/>
      <c r="M12" s="431">
        <f>('Eigen vloot'!M27)*(-1)</f>
        <v>0</v>
      </c>
      <c r="N12" s="431"/>
      <c r="O12" s="431"/>
      <c r="P12" s="434"/>
    </row>
    <row r="13" spans="1:18">
      <c r="B13" s="11"/>
      <c r="C13" s="55"/>
      <c r="D13" s="55"/>
      <c r="E13" s="55"/>
      <c r="F13" s="55"/>
      <c r="G13" s="11"/>
      <c r="H13" s="11"/>
      <c r="I13" s="10"/>
      <c r="J13" s="11"/>
      <c r="K13" s="11"/>
      <c r="L13" s="11"/>
      <c r="M13" s="11"/>
      <c r="N13" s="11"/>
      <c r="O13" s="11"/>
      <c r="P13" s="11"/>
    </row>
    <row r="14" spans="1:18" s="15" customFormat="1">
      <c r="A14" s="20" t="s">
        <v>325</v>
      </c>
      <c r="B14" s="21">
        <f>((B5)*10^9/3600)+B12</f>
        <v>65.435512844388754</v>
      </c>
      <c r="C14" s="21"/>
      <c r="D14" s="21">
        <f t="shared" ref="D14:M14" si="0">((D5)*10^9/3600)+D12</f>
        <v>116.98196106387303</v>
      </c>
      <c r="E14" s="21">
        <f t="shared" si="0"/>
        <v>45.877239329381993</v>
      </c>
      <c r="F14" s="21"/>
      <c r="G14" s="21">
        <f t="shared" si="0"/>
        <v>17065.550960912442</v>
      </c>
      <c r="H14" s="21">
        <f t="shared" si="0"/>
        <v>5723.4048905843283</v>
      </c>
      <c r="I14" s="21"/>
      <c r="J14" s="21"/>
      <c r="K14" s="21"/>
      <c r="L14" s="21"/>
      <c r="M14" s="21">
        <f t="shared" si="0"/>
        <v>1385.6162066398258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0.1931502489224394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12.638885594261168</v>
      </c>
      <c r="C18" s="23"/>
      <c r="D18" s="23">
        <f t="shared" ref="D18:M18" si="1">D14*D16</f>
        <v>23.630356134902353</v>
      </c>
      <c r="E18" s="23">
        <f t="shared" si="1"/>
        <v>10.414133327769713</v>
      </c>
      <c r="F18" s="23"/>
      <c r="G18" s="23">
        <f t="shared" si="1"/>
        <v>4556.502106563622</v>
      </c>
      <c r="H18" s="23">
        <f t="shared" si="1"/>
        <v>1425.1278177554977</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58" t="s">
        <v>478</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913" t="s">
        <v>298</v>
      </c>
      <c r="C23" s="913" t="s">
        <v>639</v>
      </c>
      <c r="D23" s="913" t="s">
        <v>640</v>
      </c>
      <c r="E23" s="913" t="s">
        <v>641</v>
      </c>
      <c r="F23" s="913" t="s">
        <v>624</v>
      </c>
      <c r="G23" s="913" t="s">
        <v>642</v>
      </c>
      <c r="H23" s="913" t="s">
        <v>643</v>
      </c>
      <c r="I23" s="913" t="s">
        <v>112</v>
      </c>
      <c r="J23" s="913" t="s">
        <v>644</v>
      </c>
      <c r="K23" s="913" t="s">
        <v>645</v>
      </c>
      <c r="L23" s="914" t="s">
        <v>646</v>
      </c>
      <c r="M23" s="129" t="s">
        <v>175</v>
      </c>
      <c r="N23" s="264" t="s">
        <v>305</v>
      </c>
    </row>
    <row r="24" spans="1:18">
      <c r="A24" s="32" t="s">
        <v>631</v>
      </c>
      <c r="B24" s="1055">
        <v>4.6499999999999996E-3</v>
      </c>
      <c r="C24" s="1055">
        <v>0.67564000000000002</v>
      </c>
      <c r="D24" s="1058">
        <v>0</v>
      </c>
      <c r="E24" s="1055">
        <v>9.1E-4</v>
      </c>
      <c r="F24" s="1055"/>
      <c r="G24" s="1055">
        <v>6.9499999999999996E-3</v>
      </c>
      <c r="H24" s="1058">
        <v>2.8500000000000002E-12</v>
      </c>
      <c r="I24" s="1058">
        <v>2.0500000000000002E-3</v>
      </c>
      <c r="J24" s="1058">
        <v>0.29341</v>
      </c>
      <c r="K24" s="1058">
        <v>1.124E-2</v>
      </c>
      <c r="L24" s="1056">
        <v>5.1500000000000001E-3</v>
      </c>
      <c r="M24" s="1045" t="s">
        <v>806</v>
      </c>
      <c r="N24" s="883">
        <f>SUM(B24:L24)</f>
        <v>1.0000000000028502</v>
      </c>
      <c r="O24" s="881"/>
    </row>
    <row r="25" spans="1:18">
      <c r="A25" s="32" t="s">
        <v>632</v>
      </c>
      <c r="B25" s="1058">
        <v>0</v>
      </c>
      <c r="C25" s="1055">
        <v>0.99992999999999999</v>
      </c>
      <c r="D25" s="1058">
        <v>0</v>
      </c>
      <c r="E25" s="1058">
        <v>0</v>
      </c>
      <c r="F25" s="1055"/>
      <c r="G25" s="1058">
        <v>5.3999999999999998E-5</v>
      </c>
      <c r="H25" s="1058">
        <v>0</v>
      </c>
      <c r="I25" s="1058">
        <v>0</v>
      </c>
      <c r="J25" s="1058">
        <v>1.2E-5</v>
      </c>
      <c r="K25" s="1058">
        <v>0</v>
      </c>
      <c r="L25" s="1056">
        <v>0</v>
      </c>
      <c r="M25" s="1045" t="s">
        <v>806</v>
      </c>
      <c r="N25" s="883">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479</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6" t="s">
        <v>195</v>
      </c>
      <c r="B30" s="269" t="s">
        <v>306</v>
      </c>
      <c r="C30" s="880">
        <v>2018</v>
      </c>
      <c r="D30" s="269" t="s">
        <v>307</v>
      </c>
      <c r="E30" s="239" t="s">
        <v>175</v>
      </c>
      <c r="F30" s="266"/>
      <c r="G30" s="239"/>
      <c r="H30" s="239"/>
      <c r="I30" s="239"/>
      <c r="J30" s="239"/>
      <c r="K30" s="239"/>
      <c r="L30" s="267"/>
    </row>
    <row r="31" spans="1:18">
      <c r="A31" s="270" t="s">
        <v>308</v>
      </c>
      <c r="B31" s="271"/>
      <c r="C31" s="272"/>
      <c r="D31" s="271"/>
      <c r="E31" s="911"/>
      <c r="F31" s="53"/>
      <c r="G31" s="43"/>
      <c r="H31" s="43"/>
      <c r="I31" s="43"/>
      <c r="J31" s="43"/>
      <c r="K31" s="43"/>
      <c r="L31" s="171"/>
    </row>
    <row r="32" spans="1:18">
      <c r="A32" s="273" t="s">
        <v>309</v>
      </c>
      <c r="B32" s="274"/>
      <c r="C32" s="275"/>
      <c r="D32" s="274"/>
      <c r="E32" s="911"/>
      <c r="F32" s="53"/>
      <c r="G32" s="43"/>
      <c r="H32" s="43"/>
      <c r="I32" s="43"/>
      <c r="J32" s="43"/>
      <c r="K32" s="43"/>
      <c r="L32" s="171"/>
    </row>
    <row r="33" spans="1:16">
      <c r="A33" s="273" t="s">
        <v>310</v>
      </c>
      <c r="B33" s="276"/>
      <c r="C33" s="277"/>
      <c r="D33" s="58"/>
      <c r="E33" s="910"/>
      <c r="F33" s="53"/>
      <c r="G33" s="43"/>
      <c r="H33" s="43"/>
      <c r="I33" s="43"/>
      <c r="J33" s="43"/>
      <c r="K33" s="43"/>
      <c r="L33" s="171"/>
    </row>
    <row r="34" spans="1:16">
      <c r="A34" s="273" t="s">
        <v>311</v>
      </c>
      <c r="B34" s="276"/>
      <c r="D34" s="58"/>
      <c r="E34" s="911"/>
      <c r="F34" s="53"/>
      <c r="G34" s="43"/>
      <c r="H34" s="43"/>
      <c r="I34" s="43"/>
      <c r="J34" s="43"/>
      <c r="K34" s="43"/>
      <c r="L34" s="171"/>
    </row>
    <row r="35" spans="1:16">
      <c r="A35" s="273" t="s">
        <v>312</v>
      </c>
      <c r="B35" s="276"/>
      <c r="C35" s="278">
        <v>5.4300000000000001E-2</v>
      </c>
      <c r="D35" s="58"/>
      <c r="E35" s="911" t="s">
        <v>813</v>
      </c>
      <c r="F35" s="53"/>
      <c r="G35" s="43"/>
      <c r="H35" s="43"/>
      <c r="I35" s="43"/>
      <c r="J35" s="43"/>
      <c r="K35" s="43"/>
      <c r="L35" s="171"/>
    </row>
    <row r="36" spans="1:16">
      <c r="A36" s="257"/>
      <c r="B36" s="43"/>
      <c r="C36" s="43"/>
      <c r="D36" s="43"/>
      <c r="E36" s="154"/>
      <c r="F36" s="53"/>
      <c r="G36" s="43"/>
      <c r="H36" s="43"/>
      <c r="I36" s="43"/>
      <c r="J36" s="43"/>
      <c r="K36" s="43"/>
      <c r="L36" s="171"/>
    </row>
    <row r="37" spans="1:16">
      <c r="A37" s="416" t="s">
        <v>113</v>
      </c>
      <c r="B37" s="269" t="s">
        <v>306</v>
      </c>
      <c r="C37" s="880">
        <f>C30</f>
        <v>2018</v>
      </c>
      <c r="D37" s="269" t="s">
        <v>307</v>
      </c>
      <c r="E37" s="912" t="s">
        <v>175</v>
      </c>
      <c r="F37" s="281"/>
      <c r="G37" s="263"/>
      <c r="H37" s="263"/>
      <c r="I37" s="263"/>
      <c r="J37" s="263"/>
      <c r="K37" s="263"/>
      <c r="L37" s="264"/>
    </row>
    <row r="38" spans="1:16">
      <c r="A38" s="273" t="s">
        <v>313</v>
      </c>
      <c r="B38" s="274"/>
      <c r="C38" s="275"/>
      <c r="D38" s="274"/>
      <c r="E38" s="911"/>
      <c r="F38" s="277"/>
      <c r="G38" s="58"/>
      <c r="H38" s="58"/>
      <c r="I38" s="58"/>
      <c r="J38" s="58"/>
      <c r="K38" s="58"/>
      <c r="L38" s="279"/>
    </row>
    <row r="39" spans="1:16">
      <c r="A39" s="273" t="s">
        <v>314</v>
      </c>
      <c r="B39" s="274"/>
      <c r="C39" s="275"/>
      <c r="D39" s="274"/>
      <c r="E39" s="911"/>
      <c r="F39" s="277"/>
      <c r="G39" s="58"/>
      <c r="H39" s="58"/>
      <c r="I39" s="58"/>
      <c r="J39" s="58"/>
      <c r="K39" s="58"/>
      <c r="L39" s="279"/>
    </row>
    <row r="40" spans="1:16">
      <c r="A40" s="273" t="s">
        <v>310</v>
      </c>
      <c r="B40" s="276"/>
      <c r="C40" s="277"/>
      <c r="D40" s="277"/>
      <c r="E40" s="911"/>
      <c r="F40" s="58"/>
      <c r="G40" s="58"/>
      <c r="H40" s="58"/>
      <c r="I40" s="58"/>
      <c r="J40" s="58"/>
      <c r="K40" s="58"/>
      <c r="L40" s="279"/>
    </row>
    <row r="41" spans="1:16" ht="15" customHeight="1">
      <c r="A41" s="273" t="s">
        <v>315</v>
      </c>
      <c r="B41" s="276"/>
      <c r="D41" s="277"/>
      <c r="E41" s="911"/>
      <c r="F41" s="58"/>
      <c r="G41" s="58"/>
      <c r="H41" s="58"/>
      <c r="I41" s="58"/>
      <c r="J41" s="58"/>
      <c r="K41" s="58"/>
      <c r="L41" s="279"/>
    </row>
    <row r="42" spans="1:16">
      <c r="A42" s="273" t="s">
        <v>312</v>
      </c>
      <c r="B42" s="276"/>
      <c r="C42" s="278">
        <v>6.6199999999999995E-2</v>
      </c>
      <c r="D42" s="277"/>
      <c r="E42" s="911"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8" t="s">
        <v>477</v>
      </c>
      <c r="B46" s="1229" t="s">
        <v>522</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189</v>
      </c>
      <c r="D47" s="1233" t="s">
        <v>190</v>
      </c>
      <c r="E47" s="1234"/>
      <c r="F47" s="1234"/>
      <c r="G47" s="1234"/>
      <c r="H47" s="1234"/>
      <c r="I47" s="1234"/>
      <c r="J47" s="1234"/>
      <c r="K47" s="1235"/>
      <c r="L47" s="1233" t="s">
        <v>191</v>
      </c>
      <c r="M47" s="1234"/>
      <c r="N47" s="1234"/>
      <c r="O47" s="1234"/>
      <c r="P47" s="1235"/>
    </row>
    <row r="48" spans="1:16" s="15" customFormat="1" ht="45">
      <c r="A48" s="1228"/>
      <c r="B48" s="1232"/>
      <c r="C48" s="123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1.9743020596579801E-5</v>
      </c>
      <c r="C50" s="315">
        <f t="shared" ref="C50:P50" si="2">SUM(C51:C52)</f>
        <v>0</v>
      </c>
      <c r="D50" s="315">
        <f t="shared" si="2"/>
        <v>0</v>
      </c>
      <c r="E50" s="315">
        <f t="shared" si="2"/>
        <v>0</v>
      </c>
      <c r="F50" s="315">
        <f t="shared" si="2"/>
        <v>0</v>
      </c>
      <c r="G50" s="315">
        <f t="shared" si="2"/>
        <v>1.2359727766774406E-3</v>
      </c>
      <c r="H50" s="315">
        <f t="shared" si="2"/>
        <v>0</v>
      </c>
      <c r="I50" s="315">
        <f t="shared" si="2"/>
        <v>0</v>
      </c>
      <c r="J50" s="315">
        <f t="shared" si="2"/>
        <v>0</v>
      </c>
      <c r="K50" s="315">
        <f t="shared" si="2"/>
        <v>0</v>
      </c>
      <c r="L50" s="315">
        <f t="shared" si="2"/>
        <v>0</v>
      </c>
      <c r="M50" s="315">
        <f t="shared" si="2"/>
        <v>7.0966820105302974E-5</v>
      </c>
      <c r="N50" s="315">
        <f t="shared" si="2"/>
        <v>0</v>
      </c>
      <c r="O50" s="315">
        <f t="shared" si="2"/>
        <v>0</v>
      </c>
      <c r="P50" s="316">
        <f t="shared" si="2"/>
        <v>0</v>
      </c>
    </row>
    <row r="51" spans="1:18">
      <c r="A51" s="257" t="s">
        <v>319</v>
      </c>
      <c r="B51" s="1057">
        <f>vkm_bus
*($B$65*(SUMIFS(TableECFTransport[EnergieConsumptieFactor (PJ per km)],TableECFTransport[Index],"BUS_Niet-genummerde wegen_DIESEL HYBRID PHEV_ELECTRIC")*0.5+SUMIFS(TableECFTransport[EnergieConsumptieFactor (PJ per km)],TableECFTransport[Index],"BUS_Genummerde wegen_DIESEL HYBRID PHEV_ELECTRIC")*0.5))</f>
        <v>1.9743020596579801E-5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1.2359727766774406E-3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7.0966820105302974E-5</v>
      </c>
      <c r="N51" s="317"/>
      <c r="O51" s="317"/>
      <c r="P51" s="320"/>
    </row>
    <row r="52" spans="1:18">
      <c r="A52" s="4" t="s">
        <v>318</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5.484172387938834</v>
      </c>
      <c r="C54" s="21">
        <f t="shared" ref="C54:P54" si="3">(C50)*10^9/3600</f>
        <v>0</v>
      </c>
      <c r="D54" s="21">
        <f t="shared" si="3"/>
        <v>0</v>
      </c>
      <c r="E54" s="21">
        <f t="shared" si="3"/>
        <v>0</v>
      </c>
      <c r="F54" s="21">
        <f t="shared" si="3"/>
        <v>0</v>
      </c>
      <c r="G54" s="21">
        <f t="shared" si="3"/>
        <v>343.32577129928904</v>
      </c>
      <c r="H54" s="21">
        <f t="shared" si="3"/>
        <v>0</v>
      </c>
      <c r="I54" s="21">
        <f t="shared" si="3"/>
        <v>0</v>
      </c>
      <c r="J54" s="21">
        <f t="shared" si="3"/>
        <v>0</v>
      </c>
      <c r="K54" s="21">
        <f t="shared" si="3"/>
        <v>0</v>
      </c>
      <c r="L54" s="21">
        <f t="shared" si="3"/>
        <v>0</v>
      </c>
      <c r="M54" s="21">
        <f t="shared" si="3"/>
        <v>19.713005584806382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0.1931502489224394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1.0592692618639548</v>
      </c>
      <c r="C58" s="23">
        <f t="shared" ref="C58:P58" ca="1" si="4">C54*C56</f>
        <v>0</v>
      </c>
      <c r="D58" s="23">
        <f t="shared" si="4"/>
        <v>0</v>
      </c>
      <c r="E58" s="23">
        <f t="shared" si="4"/>
        <v>0</v>
      </c>
      <c r="F58" s="23">
        <f t="shared" si="4"/>
        <v>0</v>
      </c>
      <c r="G58" s="23">
        <f t="shared" si="4"/>
        <v>91.667980936910183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535</v>
      </c>
      <c r="B61" s="260"/>
      <c r="C61" s="261"/>
    </row>
    <row r="62" spans="1:18" s="15" customFormat="1">
      <c r="A62" s="289"/>
      <c r="B62" s="285"/>
      <c r="C62" s="290"/>
    </row>
    <row r="63" spans="1:18">
      <c r="A63" s="291"/>
      <c r="B63" s="133"/>
      <c r="C63" s="292" t="s">
        <v>175</v>
      </c>
    </row>
    <row r="64" spans="1:18">
      <c r="A64" s="283" t="s">
        <v>195</v>
      </c>
      <c r="B64" s="286">
        <f>100%-B65</f>
        <v>0.93620000000000003</v>
      </c>
      <c r="C64" s="171"/>
    </row>
    <row r="65" spans="1:12">
      <c r="A65" s="283" t="s">
        <v>814</v>
      </c>
      <c r="B65" s="1054">
        <v>6.3799999999999996E-2</v>
      </c>
      <c r="C65" s="171" t="s">
        <v>805</v>
      </c>
    </row>
    <row r="66" spans="1:12" s="15" customFormat="1">
      <c r="A66" s="284"/>
      <c r="B66" s="265"/>
      <c r="C66" s="229"/>
    </row>
    <row r="67" spans="1:12">
      <c r="A67" s="287" t="s">
        <v>305</v>
      </c>
      <c r="B67" s="288">
        <f>SUM(B64:B65)</f>
        <v>1</v>
      </c>
      <c r="C67" s="173"/>
    </row>
    <row r="70" spans="1:12">
      <c r="A70" s="258" t="s">
        <v>479</v>
      </c>
      <c r="B70" s="260"/>
      <c r="C70" s="260"/>
      <c r="D70" s="260"/>
      <c r="E70" s="260"/>
      <c r="F70" s="260"/>
      <c r="G70" s="260"/>
      <c r="H70" s="260"/>
      <c r="I70" s="260"/>
      <c r="J70" s="260"/>
      <c r="K70" s="260"/>
      <c r="L70" s="261"/>
    </row>
    <row r="71" spans="1:12">
      <c r="A71" s="414" t="s">
        <v>536</v>
      </c>
    </row>
    <row r="72" spans="1:12">
      <c r="A72" s="257"/>
      <c r="B72" s="262"/>
      <c r="C72" s="262"/>
      <c r="D72" s="262"/>
      <c r="E72" s="262"/>
    </row>
    <row r="73" spans="1:12">
      <c r="A73" s="268"/>
      <c r="B73" s="269" t="s">
        <v>306</v>
      </c>
      <c r="C73" s="880">
        <f>C30</f>
        <v>2018</v>
      </c>
      <c r="D73" s="269" t="s">
        <v>307</v>
      </c>
      <c r="E73" s="239" t="s">
        <v>175</v>
      </c>
    </row>
    <row r="74" spans="1:12">
      <c r="A74" t="str">
        <f t="shared" ref="A74:A75" si="5">A31</f>
        <v>diesel</v>
      </c>
      <c r="B74" s="412"/>
      <c r="C74" s="412"/>
      <c r="D74" s="412"/>
      <c r="E74" s="11"/>
    </row>
    <row r="75" spans="1:12">
      <c r="A75" t="str">
        <f t="shared" si="5"/>
        <v>biodiesel</v>
      </c>
      <c r="B75" s="412"/>
      <c r="C75" s="412"/>
      <c r="D75" s="412"/>
      <c r="E75" s="11"/>
    </row>
    <row r="76" spans="1:12">
      <c r="A76" t="str">
        <f>A33</f>
        <v>vol% liter</v>
      </c>
      <c r="B76" s="412"/>
      <c r="C76" s="413"/>
      <c r="D76" s="412"/>
      <c r="E76" s="11"/>
    </row>
    <row r="77" spans="1:12">
      <c r="A77" t="str">
        <f>A34</f>
        <v>gew% kg</v>
      </c>
      <c r="B77" s="412"/>
      <c r="D77" s="412"/>
      <c r="E77" s="11"/>
    </row>
    <row r="78" spans="1:12">
      <c r="A78" t="str">
        <f>A35</f>
        <v>J%</v>
      </c>
      <c r="B78" s="412"/>
      <c r="C78" s="415">
        <f>C35</f>
        <v>5.4300000000000001E-2</v>
      </c>
      <c r="D78" s="412"/>
      <c r="E78" t="str">
        <f>E35</f>
        <v>Data VMM 2021</v>
      </c>
    </row>
    <row r="79" spans="1:12">
      <c r="B79" s="412"/>
      <c r="C79" s="412"/>
      <c r="D79" s="412"/>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60" t="s">
        <v>230</v>
      </c>
      <c r="B1" s="1248" t="s">
        <v>231</v>
      </c>
      <c r="C1" s="1282" t="s">
        <v>232</v>
      </c>
      <c r="D1" s="1283"/>
      <c r="E1" s="1283"/>
      <c r="F1" s="1283"/>
      <c r="G1" s="1283"/>
      <c r="H1" s="1283"/>
      <c r="I1" s="1283"/>
      <c r="J1" s="1283"/>
      <c r="K1" s="1283"/>
      <c r="L1" s="1283"/>
      <c r="M1" s="1283"/>
      <c r="N1" s="1284"/>
      <c r="O1" s="1249" t="s">
        <v>233</v>
      </c>
      <c r="P1" s="1248" t="s">
        <v>524</v>
      </c>
      <c r="Q1" s="1249"/>
      <c r="S1" s="1247"/>
      <c r="T1" s="1247"/>
      <c r="U1" s="1247"/>
    </row>
    <row r="2" spans="1:21" s="529" customFormat="1" ht="15.75" thickBot="1">
      <c r="A2" s="1261"/>
      <c r="B2" s="1261"/>
      <c r="C2" s="1278" t="s">
        <v>190</v>
      </c>
      <c r="D2" s="1279"/>
      <c r="E2" s="1279"/>
      <c r="F2" s="1279"/>
      <c r="G2" s="1280"/>
      <c r="H2" s="1281" t="s">
        <v>234</v>
      </c>
      <c r="I2" s="1276" t="s">
        <v>235</v>
      </c>
      <c r="J2" s="1276" t="s">
        <v>223</v>
      </c>
      <c r="K2" s="1276" t="s">
        <v>236</v>
      </c>
      <c r="L2" s="1276" t="s">
        <v>120</v>
      </c>
      <c r="M2" s="1276" t="s">
        <v>695</v>
      </c>
      <c r="N2" s="1271" t="s">
        <v>696</v>
      </c>
      <c r="O2" s="1251"/>
      <c r="P2" s="1250"/>
      <c r="Q2" s="1251"/>
      <c r="S2" s="1247"/>
      <c r="T2" s="1247"/>
      <c r="U2" s="1247"/>
    </row>
    <row r="3" spans="1:21" s="529" customFormat="1" ht="53.45" customHeight="1" thickBot="1">
      <c r="A3" s="1262"/>
      <c r="B3" s="1252"/>
      <c r="C3" s="530" t="s">
        <v>192</v>
      </c>
      <c r="D3" s="531" t="s">
        <v>193</v>
      </c>
      <c r="E3" s="532" t="s">
        <v>194</v>
      </c>
      <c r="F3" s="533" t="s">
        <v>196</v>
      </c>
      <c r="G3" s="534" t="s">
        <v>197</v>
      </c>
      <c r="H3" s="1267"/>
      <c r="I3" s="1277"/>
      <c r="J3" s="1277"/>
      <c r="K3" s="1277"/>
      <c r="L3" s="1277"/>
      <c r="M3" s="1277"/>
      <c r="N3" s="1272"/>
      <c r="O3" s="1253"/>
      <c r="P3" s="1252"/>
      <c r="Q3" s="1253"/>
      <c r="S3" s="1247"/>
      <c r="T3" s="1247"/>
      <c r="U3" s="1247"/>
    </row>
    <row r="4" spans="1:21" s="529" customFormat="1" ht="15.75" thickTop="1">
      <c r="A4" s="535" t="s">
        <v>238</v>
      </c>
      <c r="B4" s="536">
        <f>IF(ISERROR(kWh_wind_land),0,kWh_wind_land)</f>
        <v>0</v>
      </c>
      <c r="C4" s="1288"/>
      <c r="D4" s="1273"/>
      <c r="E4" s="1273"/>
      <c r="F4" s="1291"/>
      <c r="G4" s="1294"/>
      <c r="H4" s="1285"/>
      <c r="I4" s="1273"/>
      <c r="J4" s="1273"/>
      <c r="K4" s="1273"/>
      <c r="L4" s="1273"/>
      <c r="M4" s="1273"/>
      <c r="N4" s="949"/>
      <c r="O4" s="537"/>
      <c r="P4" s="1254"/>
      <c r="Q4" s="1255"/>
      <c r="S4" s="538"/>
      <c r="T4" s="1244"/>
      <c r="U4" s="1244"/>
    </row>
    <row r="5" spans="1:21" s="529" customFormat="1">
      <c r="A5" s="539" t="s">
        <v>239</v>
      </c>
      <c r="B5" s="536">
        <f>IF(ISERROR(kWh_waterkracht),0,kWh_waterkracht)</f>
        <v>0</v>
      </c>
      <c r="C5" s="1289"/>
      <c r="D5" s="1274"/>
      <c r="E5" s="1274"/>
      <c r="F5" s="1292"/>
      <c r="G5" s="1295"/>
      <c r="H5" s="1286"/>
      <c r="I5" s="1274"/>
      <c r="J5" s="1274"/>
      <c r="K5" s="1274"/>
      <c r="L5" s="1274"/>
      <c r="M5" s="1274"/>
      <c r="N5" s="949"/>
      <c r="O5" s="540"/>
      <c r="P5" s="1256"/>
      <c r="Q5" s="1257"/>
      <c r="S5" s="538"/>
      <c r="T5" s="1244"/>
      <c r="U5" s="1244"/>
    </row>
    <row r="6" spans="1:21" s="529" customFormat="1">
      <c r="A6" s="539" t="s">
        <v>240</v>
      </c>
      <c r="B6" s="536">
        <f>IF(ISERROR((kWh_PV_kleiner_dan_10kW+kWh_PV_groter_dan_10kW)),0,(kWh_PV_kleiner_dan_10kW+kWh_PV_groter_dan_10kW))</f>
        <v>4614.7525135461801</v>
      </c>
      <c r="C6" s="1289"/>
      <c r="D6" s="1274"/>
      <c r="E6" s="1274"/>
      <c r="F6" s="1292"/>
      <c r="G6" s="1295"/>
      <c r="H6" s="1286"/>
      <c r="I6" s="1274"/>
      <c r="J6" s="1274"/>
      <c r="K6" s="1274"/>
      <c r="L6" s="1274"/>
      <c r="M6" s="1274"/>
      <c r="N6" s="949"/>
      <c r="O6" s="540"/>
      <c r="P6" s="1256"/>
      <c r="Q6" s="1257"/>
      <c r="S6" s="538"/>
      <c r="T6" s="1244"/>
      <c r="U6" s="1244"/>
    </row>
    <row r="7" spans="1:21" s="529" customFormat="1">
      <c r="A7" s="539" t="s">
        <v>693</v>
      </c>
      <c r="B7" s="536"/>
      <c r="C7" s="1290"/>
      <c r="D7" s="1275"/>
      <c r="E7" s="1275"/>
      <c r="F7" s="1293"/>
      <c r="G7" s="1296"/>
      <c r="H7" s="1287"/>
      <c r="I7" s="1275"/>
      <c r="J7" s="1275"/>
      <c r="K7" s="1275"/>
      <c r="L7" s="1275"/>
      <c r="M7" s="1275"/>
      <c r="N7" s="950"/>
      <c r="O7" s="540"/>
      <c r="P7" s="934"/>
      <c r="Q7" s="935"/>
      <c r="S7" s="933"/>
      <c r="T7" s="933"/>
      <c r="U7" s="933"/>
    </row>
    <row r="8" spans="1:21" s="529" customFormat="1">
      <c r="A8" s="541" t="s">
        <v>241</v>
      </c>
      <c r="B8" s="542">
        <f>N29</f>
        <v>0</v>
      </c>
      <c r="C8" s="543">
        <f>B48</f>
        <v>0</v>
      </c>
      <c r="D8" s="544"/>
      <c r="E8" s="544">
        <f>E48</f>
        <v>0</v>
      </c>
      <c r="F8" s="545"/>
      <c r="G8" s="546"/>
      <c r="H8" s="544">
        <f>I48</f>
        <v>0</v>
      </c>
      <c r="I8" s="544">
        <f>G48+F48</f>
        <v>0</v>
      </c>
      <c r="J8" s="544">
        <f>H48+D48+C48</f>
        <v>0</v>
      </c>
      <c r="K8" s="544"/>
      <c r="L8" s="544"/>
      <c r="M8" s="544"/>
      <c r="N8" s="547"/>
      <c r="O8" s="548">
        <f>C8*$C$12+D8*$D$12+E8*$E$12+F8*$F$12+G8*$G$12+H8*$H$12+I8*$I$12+J8*$J$12</f>
        <v>0</v>
      </c>
      <c r="P8" s="1256"/>
      <c r="Q8" s="1257"/>
      <c r="S8" s="538"/>
      <c r="T8" s="1244"/>
      <c r="U8" s="1244"/>
    </row>
    <row r="9" spans="1:21" s="529" customFormat="1" ht="17.45" customHeight="1" thickBot="1">
      <c r="A9" s="549" t="s">
        <v>237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8"/>
      <c r="O9" s="548">
        <f>C9*$C$12+D9*$D$12+E9*$E$12+F9*$F$12+G9*$G$12+H9*$H$12+I9*$I$12+J9*$J$12</f>
        <v>0</v>
      </c>
      <c r="P9" s="1258"/>
      <c r="Q9" s="1259"/>
      <c r="R9" s="555"/>
      <c r="S9" s="538"/>
      <c r="T9" s="1244"/>
      <c r="U9" s="1244"/>
    </row>
    <row r="10" spans="1:21" s="529" customFormat="1" ht="16.5" thickTop="1" thickBot="1">
      <c r="A10" s="556" t="s">
        <v>109</v>
      </c>
      <c r="B10" s="557">
        <f>SUM(B4:B9)</f>
        <v>4614.7525135461801</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59"/>
      <c r="N10" s="959"/>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279</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60" t="s">
        <v>242</v>
      </c>
      <c r="B14" s="1260" t="s">
        <v>243</v>
      </c>
      <c r="C14" s="1268" t="s">
        <v>244</v>
      </c>
      <c r="D14" s="1269"/>
      <c r="E14" s="1269"/>
      <c r="F14" s="1269"/>
      <c r="G14" s="1269"/>
      <c r="H14" s="1269"/>
      <c r="I14" s="1269"/>
      <c r="J14" s="1269"/>
      <c r="K14" s="1269"/>
      <c r="L14" s="1269"/>
      <c r="M14" s="1269"/>
      <c r="N14" s="1270"/>
      <c r="O14" s="1249" t="s">
        <v>233</v>
      </c>
      <c r="P14" s="1248" t="s">
        <v>245</v>
      </c>
      <c r="Q14" s="1249"/>
      <c r="R14" s="1247"/>
      <c r="S14" s="1247"/>
      <c r="T14" s="1247"/>
    </row>
    <row r="15" spans="1:21" s="529" customFormat="1" ht="15.75" customHeight="1" thickBot="1">
      <c r="A15" s="1261"/>
      <c r="B15" s="1261"/>
      <c r="C15" s="1263" t="s">
        <v>190</v>
      </c>
      <c r="D15" s="1264"/>
      <c r="E15" s="1264"/>
      <c r="F15" s="1264"/>
      <c r="G15" s="1265"/>
      <c r="H15" s="1266" t="s">
        <v>234</v>
      </c>
      <c r="I15" s="1266" t="s">
        <v>235</v>
      </c>
      <c r="J15" s="1266" t="s">
        <v>223</v>
      </c>
      <c r="K15" s="1266" t="s">
        <v>246</v>
      </c>
      <c r="L15" s="1266" t="s">
        <v>120</v>
      </c>
      <c r="M15" s="1266" t="s">
        <v>695</v>
      </c>
      <c r="N15" s="1271" t="s">
        <v>696</v>
      </c>
      <c r="O15" s="1251"/>
      <c r="P15" s="1250"/>
      <c r="Q15" s="1251"/>
      <c r="R15" s="1247"/>
      <c r="S15" s="1247"/>
      <c r="T15" s="1247"/>
    </row>
    <row r="16" spans="1:21" s="529" customFormat="1" ht="40.700000000000003" customHeight="1" thickBot="1">
      <c r="A16" s="1262"/>
      <c r="B16" s="1262"/>
      <c r="C16" s="569" t="s">
        <v>192</v>
      </c>
      <c r="D16" s="531" t="s">
        <v>193</v>
      </c>
      <c r="E16" s="570" t="s">
        <v>194</v>
      </c>
      <c r="F16" s="531" t="s">
        <v>196</v>
      </c>
      <c r="G16" s="571" t="s">
        <v>197</v>
      </c>
      <c r="H16" s="1267"/>
      <c r="I16" s="1267"/>
      <c r="J16" s="1267"/>
      <c r="K16" s="1267"/>
      <c r="L16" s="1267"/>
      <c r="M16" s="1267"/>
      <c r="N16" s="1272"/>
      <c r="O16" s="1253"/>
      <c r="P16" s="1252"/>
      <c r="Q16" s="1253"/>
      <c r="R16" s="1247"/>
      <c r="S16" s="1247"/>
      <c r="T16" s="1247"/>
    </row>
    <row r="17" spans="1:26" s="529" customFormat="1" ht="15.75" thickTop="1">
      <c r="A17" s="572" t="s">
        <v>241</v>
      </c>
      <c r="B17" s="573">
        <f>O29</f>
        <v>0</v>
      </c>
      <c r="C17" s="574">
        <f>B49</f>
        <v>0</v>
      </c>
      <c r="D17" s="575"/>
      <c r="E17" s="575">
        <f>E49</f>
        <v>0</v>
      </c>
      <c r="F17" s="576"/>
      <c r="G17" s="577"/>
      <c r="H17" s="574">
        <f>I49</f>
        <v>0</v>
      </c>
      <c r="I17" s="575">
        <f>G49+F49</f>
        <v>0</v>
      </c>
      <c r="J17" s="575">
        <f>H49+D49+C49</f>
        <v>0</v>
      </c>
      <c r="K17" s="575"/>
      <c r="L17" s="575"/>
      <c r="M17" s="575"/>
      <c r="N17" s="960"/>
      <c r="O17" s="578">
        <f>C17*$C$22+E17*$E$22+H17*$H$22+I17*$I$22+J17*$J$22+D17*$D$22+F17*$F$22+G17*$G$22+K17*$K$22+L17*$L$22</f>
        <v>0</v>
      </c>
      <c r="P17" s="1239"/>
      <c r="Q17" s="1240"/>
      <c r="R17" s="579"/>
      <c r="S17" s="1241"/>
      <c r="T17" s="1241"/>
    </row>
    <row r="18" spans="1:26" s="529" customFormat="1">
      <c r="A18" s="580" t="s">
        <v>247</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42"/>
      <c r="Q18" s="1243"/>
      <c r="R18" s="538"/>
      <c r="S18" s="1244"/>
      <c r="T18" s="1244"/>
    </row>
    <row r="19" spans="1:26" s="529" customFormat="1" ht="15.75" thickBot="1">
      <c r="A19" s="549" t="s">
        <v>237</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1"/>
      <c r="O19" s="578">
        <f>C19*$C$22+E19*$E$22+H19*$H$22+I19*$I$22+J19*$J$22+D19*$D$22+F19*$F$22+G19*$G$22+K19*$K$22+L19*$L$22</f>
        <v>0</v>
      </c>
      <c r="P19" s="1245"/>
      <c r="Q19" s="1246"/>
      <c r="R19" s="538"/>
      <c r="S19" s="1244"/>
      <c r="T19" s="1244"/>
    </row>
    <row r="20" spans="1:26" s="529" customFormat="1" ht="16.5" thickTop="1" thickBot="1">
      <c r="A20" s="556" t="s">
        <v>109</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0</v>
      </c>
      <c r="P20" s="1236"/>
      <c r="Q20" s="1237"/>
      <c r="R20" s="538"/>
      <c r="S20" s="1238"/>
      <c r="T20" s="1238"/>
    </row>
    <row r="21" spans="1:26" s="529" customFormat="1" ht="15.75" thickTop="1">
      <c r="A21" s="579"/>
      <c r="B21" s="538"/>
      <c r="C21" s="538"/>
      <c r="D21" s="538"/>
      <c r="E21" s="538"/>
      <c r="F21" s="538"/>
      <c r="G21" s="538"/>
      <c r="H21" s="538"/>
      <c r="I21" s="538"/>
      <c r="J21" s="538"/>
      <c r="K21" s="538"/>
      <c r="L21" s="538"/>
      <c r="M21" s="933"/>
      <c r="N21" s="933"/>
      <c r="O21" s="538"/>
      <c r="P21" s="561"/>
      <c r="Q21" s="561"/>
      <c r="R21" s="538"/>
      <c r="S21" s="561"/>
      <c r="T21" s="561"/>
    </row>
    <row r="22" spans="1:26" s="564" customFormat="1">
      <c r="A22" s="565" t="s">
        <v>279</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268</v>
      </c>
      <c r="B27" s="631" t="s">
        <v>89</v>
      </c>
      <c r="C27" s="631" t="s">
        <v>90</v>
      </c>
      <c r="D27" s="631"/>
      <c r="E27" s="631"/>
      <c r="F27" s="631"/>
      <c r="G27" s="631" t="s">
        <v>91</v>
      </c>
      <c r="H27" s="631" t="s">
        <v>92</v>
      </c>
      <c r="I27" s="631"/>
      <c r="J27" s="631"/>
      <c r="K27" s="631"/>
      <c r="L27" s="631" t="s">
        <v>93</v>
      </c>
      <c r="M27" s="632" t="s">
        <v>287</v>
      </c>
      <c r="N27" s="632" t="s">
        <v>94</v>
      </c>
      <c r="O27" s="632" t="s">
        <v>95</v>
      </c>
      <c r="P27" s="632" t="s">
        <v>511</v>
      </c>
      <c r="Q27" s="632" t="s">
        <v>96</v>
      </c>
      <c r="R27" s="632" t="s">
        <v>97</v>
      </c>
      <c r="S27" s="632" t="s">
        <v>98</v>
      </c>
      <c r="T27" s="632" t="s">
        <v>99</v>
      </c>
      <c r="U27" s="632" t="s">
        <v>100</v>
      </c>
      <c r="V27" s="632" t="s">
        <v>101</v>
      </c>
      <c r="W27" s="631" t="s">
        <v>102</v>
      </c>
      <c r="X27" s="631" t="s">
        <v>288</v>
      </c>
      <c r="Y27" s="631" t="s">
        <v>103</v>
      </c>
      <c r="Z27" s="633" t="s">
        <v>289</v>
      </c>
    </row>
    <row r="28" spans="1:26" s="588" customFormat="1" ht="12.75" hidden="1">
      <c r="A28" s="587"/>
      <c r="B28" s="785"/>
      <c r="C28" s="785"/>
      <c r="D28" s="635"/>
      <c r="E28" s="634"/>
      <c r="F28" s="634"/>
      <c r="G28" s="634"/>
      <c r="H28" s="634"/>
      <c r="I28" s="634"/>
      <c r="J28" s="784"/>
      <c r="K28" s="784"/>
      <c r="L28" s="634"/>
      <c r="M28" s="634"/>
      <c r="N28" s="634"/>
      <c r="O28" s="634"/>
      <c r="P28" s="634"/>
      <c r="Q28" s="634"/>
      <c r="R28" s="634"/>
      <c r="S28" s="634"/>
      <c r="T28" s="634"/>
      <c r="U28" s="634"/>
      <c r="V28" s="634"/>
      <c r="W28" s="634"/>
      <c r="X28" s="634"/>
      <c r="Y28" s="634"/>
      <c r="Z28" s="636"/>
    </row>
    <row r="29" spans="1:26" s="568" customFormat="1" hidden="1">
      <c r="A29" s="590" t="s">
        <v>269</v>
      </c>
      <c r="B29" s="591"/>
      <c r="C29" s="591"/>
      <c r="D29" s="591"/>
      <c r="E29" s="591"/>
      <c r="F29" s="591"/>
      <c r="G29" s="591"/>
      <c r="H29" s="591"/>
      <c r="I29" s="591"/>
      <c r="J29" s="591"/>
      <c r="K29" s="591"/>
      <c r="L29" s="592"/>
      <c r="M29" s="592">
        <f>SUM(M28:M28)</f>
        <v>0</v>
      </c>
      <c r="N29" s="592">
        <f>SUM(N28:N28)</f>
        <v>0</v>
      </c>
      <c r="O29" s="592">
        <f>SUM(O28:O28)</f>
        <v>0</v>
      </c>
      <c r="P29" s="592">
        <f>SUM(P28:P28)</f>
        <v>0</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276</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277</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278</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270</v>
      </c>
      <c r="B34" s="631" t="s">
        <v>89</v>
      </c>
      <c r="C34" s="631" t="s">
        <v>90</v>
      </c>
      <c r="D34" s="631"/>
      <c r="E34" s="631"/>
      <c r="F34" s="631"/>
      <c r="G34" s="631" t="s">
        <v>91</v>
      </c>
      <c r="H34" s="631" t="s">
        <v>92</v>
      </c>
      <c r="I34" s="631"/>
      <c r="J34" s="631"/>
      <c r="K34" s="631"/>
      <c r="L34" s="631" t="s">
        <v>93</v>
      </c>
      <c r="M34" s="632" t="s">
        <v>287</v>
      </c>
      <c r="N34" s="632" t="s">
        <v>94</v>
      </c>
      <c r="O34" s="632" t="s">
        <v>95</v>
      </c>
      <c r="P34" s="632" t="s">
        <v>511</v>
      </c>
      <c r="Q34" s="632" t="s">
        <v>96</v>
      </c>
      <c r="R34" s="632" t="s">
        <v>97</v>
      </c>
      <c r="S34" s="632" t="s">
        <v>98</v>
      </c>
      <c r="T34" s="632" t="s">
        <v>99</v>
      </c>
      <c r="U34" s="632" t="s">
        <v>100</v>
      </c>
      <c r="V34" s="632" t="s">
        <v>101</v>
      </c>
      <c r="W34" s="631" t="s">
        <v>102</v>
      </c>
      <c r="X34" s="631" t="s">
        <v>288</v>
      </c>
      <c r="Y34" s="631" t="s">
        <v>103</v>
      </c>
      <c r="Z34" s="633" t="s">
        <v>289</v>
      </c>
    </row>
    <row r="35" spans="1:27" s="603" customFormat="1" ht="12.75" hidden="1">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hidden="1">
      <c r="A36" s="590" t="s">
        <v>269</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276</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277</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278</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271</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272</v>
      </c>
      <c r="C44" s="614" t="s">
        <v>273</v>
      </c>
      <c r="D44" s="614"/>
      <c r="E44" s="614"/>
      <c r="F44" s="614"/>
      <c r="G44" s="614"/>
      <c r="H44" s="614"/>
      <c r="I44" s="615"/>
      <c r="J44" s="614"/>
      <c r="K44" s="614"/>
      <c r="L44" s="614"/>
      <c r="M44" s="614"/>
      <c r="N44" s="614"/>
      <c r="O44" s="614"/>
      <c r="P44" s="609"/>
    </row>
    <row r="45" spans="1:27">
      <c r="A45" s="611" t="s">
        <v>269</v>
      </c>
      <c r="B45" s="616">
        <f>IF(ISERROR(O29/(O29+N29)),0,O29/(O29+N29))</f>
        <v>0</v>
      </c>
      <c r="C45" s="617">
        <f>IF(ISERROR(N29/(O29+N29)),0,N29/(N29+O29))</f>
        <v>0</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511</v>
      </c>
      <c r="C47" s="624" t="s">
        <v>96</v>
      </c>
      <c r="D47" s="624" t="s">
        <v>97</v>
      </c>
      <c r="E47" s="624" t="s">
        <v>98</v>
      </c>
      <c r="F47" s="624" t="s">
        <v>99</v>
      </c>
      <c r="G47" s="624" t="s">
        <v>100</v>
      </c>
      <c r="H47" s="624" t="s">
        <v>101</v>
      </c>
      <c r="I47" s="625" t="s">
        <v>102</v>
      </c>
      <c r="J47" s="614"/>
      <c r="K47" s="614"/>
      <c r="L47" s="622"/>
      <c r="M47" s="622"/>
      <c r="N47" s="622"/>
      <c r="O47" s="609"/>
      <c r="P47" s="609"/>
    </row>
    <row r="48" spans="1:27">
      <c r="A48" s="613" t="s">
        <v>274</v>
      </c>
      <c r="B48" s="626">
        <f t="shared" ref="B48:I48" si="2">$C$45*P29</f>
        <v>0</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275</v>
      </c>
      <c r="B49" s="629">
        <f t="shared" ref="B49:I49" si="3">$B$45*P29</f>
        <v>0</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391</v>
      </c>
      <c r="B1" s="347" t="s">
        <v>398</v>
      </c>
      <c r="C1" s="347" t="s">
        <v>397</v>
      </c>
      <c r="D1" s="347" t="s">
        <v>396</v>
      </c>
      <c r="E1" s="348" t="s">
        <v>392</v>
      </c>
      <c r="F1" s="349" t="s">
        <v>393</v>
      </c>
      <c r="G1" s="349" t="s">
        <v>394</v>
      </c>
      <c r="H1" s="349" t="s">
        <v>395</v>
      </c>
    </row>
    <row r="2" spans="1:8" s="11" customFormat="1">
      <c r="A2" s="1044" t="s">
        <v>767</v>
      </c>
      <c r="B2" s="1066" t="s">
        <v>819</v>
      </c>
      <c r="C2" s="1044" t="s">
        <v>626</v>
      </c>
      <c r="D2" s="1044" t="s">
        <v>768</v>
      </c>
      <c r="E2" s="343"/>
      <c r="F2" s="891" t="s">
        <v>661</v>
      </c>
      <c r="G2" s="891" t="s">
        <v>660</v>
      </c>
      <c r="H2" s="891" t="s">
        <v>662</v>
      </c>
    </row>
    <row r="3" spans="1:8" s="11" customFormat="1">
      <c r="A3" s="1060" t="s">
        <v>813</v>
      </c>
      <c r="B3" s="1061" t="s">
        <v>815</v>
      </c>
      <c r="C3" s="1060" t="s">
        <v>186</v>
      </c>
      <c r="D3" s="1062" t="s">
        <v>818</v>
      </c>
      <c r="E3" s="343"/>
      <c r="F3" s="891" t="s">
        <v>661</v>
      </c>
      <c r="G3" s="891" t="s">
        <v>660</v>
      </c>
      <c r="H3" s="891" t="s">
        <v>662</v>
      </c>
    </row>
    <row r="4" spans="1:8" s="11" customFormat="1">
      <c r="A4" s="342" t="s">
        <v>384</v>
      </c>
      <c r="B4" s="792">
        <v>2021</v>
      </c>
      <c r="C4" s="342" t="s">
        <v>384</v>
      </c>
      <c r="D4" s="342" t="s">
        <v>668</v>
      </c>
      <c r="E4" s="343"/>
      <c r="F4" s="891" t="s">
        <v>657</v>
      </c>
      <c r="G4" s="891" t="s">
        <v>658</v>
      </c>
      <c r="H4" s="891" t="s">
        <v>659</v>
      </c>
    </row>
    <row r="5" spans="1:8">
      <c r="A5" s="337" t="s">
        <v>757</v>
      </c>
      <c r="B5" s="887" t="s">
        <v>769</v>
      </c>
      <c r="C5" s="337" t="s">
        <v>757</v>
      </c>
      <c r="D5" s="337" t="s">
        <v>669</v>
      </c>
      <c r="E5" s="339"/>
      <c r="F5" s="340"/>
      <c r="G5" s="340"/>
      <c r="H5" s="341"/>
    </row>
    <row r="6" spans="1:8">
      <c r="A6" s="342" t="s">
        <v>408</v>
      </c>
      <c r="B6" s="345" t="s">
        <v>409</v>
      </c>
      <c r="C6" s="342" t="s">
        <v>411</v>
      </c>
      <c r="D6" s="342" t="s">
        <v>407</v>
      </c>
      <c r="E6" s="339" t="s">
        <v>410</v>
      </c>
      <c r="F6" s="340"/>
      <c r="G6" s="340"/>
      <c r="H6" s="341"/>
    </row>
    <row r="7" spans="1:8" s="11" customFormat="1">
      <c r="A7" s="342" t="s">
        <v>663</v>
      </c>
      <c r="B7" s="792">
        <v>2020</v>
      </c>
      <c r="C7" s="342" t="s">
        <v>384</v>
      </c>
      <c r="D7" s="342" t="s">
        <v>820</v>
      </c>
      <c r="E7" s="343" t="s">
        <v>664</v>
      </c>
      <c r="F7" s="891"/>
      <c r="G7" s="891"/>
      <c r="H7" s="1049"/>
    </row>
    <row r="8" spans="1:8" s="881" customFormat="1">
      <c r="A8" s="342" t="s">
        <v>674</v>
      </c>
      <c r="B8" s="792">
        <v>2017</v>
      </c>
      <c r="C8" s="342" t="s">
        <v>676</v>
      </c>
      <c r="D8" s="342" t="s">
        <v>675</v>
      </c>
      <c r="E8" s="344" t="s">
        <v>673</v>
      </c>
      <c r="F8" s="340"/>
      <c r="G8" s="340"/>
      <c r="H8" s="341"/>
    </row>
    <row r="9" spans="1:8" s="11" customFormat="1">
      <c r="A9" s="342" t="s">
        <v>603</v>
      </c>
      <c r="B9" s="792" t="s">
        <v>804</v>
      </c>
      <c r="C9" s="342" t="s">
        <v>604</v>
      </c>
      <c r="D9" s="342" t="s">
        <v>605</v>
      </c>
      <c r="E9" s="343"/>
      <c r="F9" s="891" t="s">
        <v>771</v>
      </c>
      <c r="G9" s="891"/>
      <c r="H9" s="1043" t="s">
        <v>772</v>
      </c>
    </row>
    <row r="10" spans="1:8">
      <c r="A10" s="337" t="s">
        <v>652</v>
      </c>
      <c r="B10" s="887" t="s">
        <v>680</v>
      </c>
      <c r="C10" s="337" t="s">
        <v>653</v>
      </c>
      <c r="D10" s="337" t="s">
        <v>733</v>
      </c>
      <c r="E10" s="680"/>
      <c r="F10" s="340" t="s">
        <v>656</v>
      </c>
      <c r="G10" s="340" t="s">
        <v>654</v>
      </c>
      <c r="H10" s="341" t="s">
        <v>655</v>
      </c>
    </row>
    <row r="11" spans="1:8" s="881" customFormat="1">
      <c r="A11" s="342" t="s">
        <v>667</v>
      </c>
      <c r="B11" s="792">
        <v>2017</v>
      </c>
      <c r="C11" s="342" t="s">
        <v>402</v>
      </c>
      <c r="D11" s="342" t="s">
        <v>666</v>
      </c>
      <c r="E11" s="339"/>
      <c r="F11" s="340" t="s">
        <v>665</v>
      </c>
      <c r="G11" s="340" t="s">
        <v>670</v>
      </c>
      <c r="H11" s="341" t="s">
        <v>671</v>
      </c>
    </row>
    <row r="12" spans="1:8" s="10" customFormat="1">
      <c r="A12" s="342" t="s">
        <v>386</v>
      </c>
      <c r="B12" s="338" t="s">
        <v>401</v>
      </c>
      <c r="C12" s="337"/>
      <c r="D12" s="346" t="s">
        <v>400</v>
      </c>
      <c r="E12" s="339"/>
      <c r="F12" s="340"/>
      <c r="G12" s="340"/>
      <c r="H12" s="341"/>
    </row>
    <row r="13" spans="1:8">
      <c r="A13" s="337" t="s">
        <v>379</v>
      </c>
      <c r="B13" s="338" t="s">
        <v>773</v>
      </c>
      <c r="C13" s="337" t="s">
        <v>650</v>
      </c>
      <c r="D13" s="337" t="s">
        <v>770</v>
      </c>
      <c r="E13" s="344" t="s">
        <v>380</v>
      </c>
      <c r="F13" s="340" t="s">
        <v>381</v>
      </c>
      <c r="G13" s="340" t="s">
        <v>760</v>
      </c>
      <c r="H13" s="340" t="s">
        <v>382</v>
      </c>
    </row>
    <row r="14" spans="1:8" s="888" customFormat="1">
      <c r="A14" s="1068" t="s">
        <v>831</v>
      </c>
      <c r="B14" s="1069" t="s">
        <v>838</v>
      </c>
      <c r="C14" s="1068" t="s">
        <v>385</v>
      </c>
      <c r="D14" s="1068" t="s">
        <v>399</v>
      </c>
      <c r="E14" s="1070"/>
      <c r="F14" s="1071" t="s">
        <v>684</v>
      </c>
      <c r="G14" s="1071" t="s">
        <v>761</v>
      </c>
      <c r="H14" s="1071" t="s">
        <v>688</v>
      </c>
    </row>
    <row r="15" spans="1:8" s="888" customFormat="1">
      <c r="A15" s="1068" t="s">
        <v>484</v>
      </c>
      <c r="B15" s="1072" t="s">
        <v>784</v>
      </c>
      <c r="C15" s="1068" t="s">
        <v>681</v>
      </c>
      <c r="D15" s="1073" t="s">
        <v>783</v>
      </c>
      <c r="E15" s="1070" t="s">
        <v>365</v>
      </c>
      <c r="F15" s="1071" t="s">
        <v>651</v>
      </c>
      <c r="G15" s="1071" t="s">
        <v>839</v>
      </c>
      <c r="H15" s="1074" t="s">
        <v>840</v>
      </c>
    </row>
    <row r="16" spans="1:8" s="888" customFormat="1">
      <c r="A16" s="1068" t="s">
        <v>831</v>
      </c>
      <c r="B16" s="1072" t="s">
        <v>832</v>
      </c>
      <c r="C16" s="1068" t="s">
        <v>681</v>
      </c>
      <c r="D16" s="1073" t="s">
        <v>785</v>
      </c>
      <c r="E16" s="1070"/>
      <c r="F16" s="1071" t="s">
        <v>651</v>
      </c>
      <c r="G16" s="1071" t="s">
        <v>839</v>
      </c>
      <c r="H16" s="1074" t="s">
        <v>840</v>
      </c>
    </row>
    <row r="17" spans="1:8" s="888" customFormat="1">
      <c r="A17" s="1068" t="s">
        <v>836</v>
      </c>
      <c r="B17" s="1072" t="s">
        <v>802</v>
      </c>
      <c r="C17" s="1068" t="s">
        <v>831</v>
      </c>
      <c r="D17" s="1068" t="s">
        <v>837</v>
      </c>
      <c r="E17" s="1075" t="s">
        <v>841</v>
      </c>
      <c r="F17" s="1071" t="s">
        <v>651</v>
      </c>
      <c r="G17" s="1071" t="s">
        <v>839</v>
      </c>
      <c r="H17" s="1074" t="s">
        <v>840</v>
      </c>
    </row>
    <row r="18" spans="1:8" s="888" customFormat="1">
      <c r="A18" s="1068" t="s">
        <v>186</v>
      </c>
      <c r="B18" s="1076" t="s">
        <v>802</v>
      </c>
      <c r="C18" s="1068" t="s">
        <v>403</v>
      </c>
      <c r="D18" s="1068" t="s">
        <v>798</v>
      </c>
      <c r="E18" s="1070"/>
      <c r="F18" s="1071" t="s">
        <v>404</v>
      </c>
      <c r="G18" s="1071" t="s">
        <v>405</v>
      </c>
      <c r="H18" s="1074" t="s">
        <v>406</v>
      </c>
    </row>
    <row r="19" spans="1:8" s="888" customFormat="1">
      <c r="A19" s="1077" t="s">
        <v>816</v>
      </c>
      <c r="B19" s="1078" t="s">
        <v>815</v>
      </c>
      <c r="C19" s="1077" t="s">
        <v>186</v>
      </c>
      <c r="D19" s="1077" t="s">
        <v>817</v>
      </c>
      <c r="E19" s="1070"/>
      <c r="F19" s="1071"/>
      <c r="G19" s="1071"/>
      <c r="H19" s="1074"/>
    </row>
    <row r="20" spans="1:8" s="888" customFormat="1">
      <c r="A20" s="1068" t="s">
        <v>831</v>
      </c>
      <c r="B20" s="1076" t="s">
        <v>830</v>
      </c>
      <c r="C20" s="1068" t="s">
        <v>831</v>
      </c>
      <c r="D20" s="1068" t="s">
        <v>782</v>
      </c>
      <c r="E20" s="1070"/>
      <c r="F20" s="1071" t="s">
        <v>683</v>
      </c>
      <c r="G20" s="1071" t="s">
        <v>762</v>
      </c>
      <c r="H20" s="1074" t="s">
        <v>687</v>
      </c>
    </row>
    <row r="21" spans="1:8" s="888" customFormat="1">
      <c r="A21" s="1068" t="s">
        <v>831</v>
      </c>
      <c r="B21" s="1079" t="s">
        <v>833</v>
      </c>
      <c r="C21" s="1068" t="s">
        <v>831</v>
      </c>
      <c r="D21" s="1068" t="s">
        <v>781</v>
      </c>
      <c r="E21" s="1070"/>
      <c r="F21" s="1071" t="s">
        <v>683</v>
      </c>
      <c r="G21" s="1071" t="s">
        <v>762</v>
      </c>
      <c r="H21" s="1074" t="s">
        <v>687</v>
      </c>
    </row>
    <row r="22" spans="1:8" s="888" customFormat="1">
      <c r="A22" s="1068" t="s">
        <v>831</v>
      </c>
      <c r="B22" s="1076" t="s">
        <v>838</v>
      </c>
      <c r="C22" s="1068" t="s">
        <v>831</v>
      </c>
      <c r="D22" s="1068" t="s">
        <v>682</v>
      </c>
      <c r="E22" s="1070"/>
      <c r="F22" s="1071" t="s">
        <v>758</v>
      </c>
      <c r="G22" s="1071" t="s">
        <v>763</v>
      </c>
      <c r="H22" s="1074" t="s">
        <v>759</v>
      </c>
    </row>
    <row r="23" spans="1:8" s="888" customFormat="1">
      <c r="A23" s="1068" t="s">
        <v>831</v>
      </c>
      <c r="B23" s="1069" t="s">
        <v>834</v>
      </c>
      <c r="C23" s="1068" t="s">
        <v>831</v>
      </c>
      <c r="D23" s="1068" t="s">
        <v>628</v>
      </c>
      <c r="E23" s="1070"/>
      <c r="F23" s="1071" t="s">
        <v>686</v>
      </c>
      <c r="G23" s="1071" t="s">
        <v>764</v>
      </c>
      <c r="H23" s="1071" t="s">
        <v>685</v>
      </c>
    </row>
    <row r="24" spans="1:8" s="888" customFormat="1">
      <c r="A24" s="1068" t="s">
        <v>831</v>
      </c>
      <c r="B24" s="1069" t="s">
        <v>834</v>
      </c>
      <c r="C24" s="1068" t="s">
        <v>831</v>
      </c>
      <c r="D24" s="1073" t="s">
        <v>608</v>
      </c>
      <c r="E24" s="1070"/>
      <c r="F24" s="1071" t="s">
        <v>686</v>
      </c>
      <c r="G24" s="1071" t="s">
        <v>764</v>
      </c>
      <c r="H24" s="1074" t="s">
        <v>685</v>
      </c>
    </row>
    <row r="27" spans="1:8">
      <c r="F27" s="881"/>
    </row>
    <row r="28" spans="1:8">
      <c r="G28" s="881"/>
    </row>
  </sheetData>
  <hyperlinks>
    <hyperlink ref="E13" r:id="rId1" xr:uid="{00000000-0004-0000-1F00-000001000000}"/>
    <hyperlink ref="H11" r:id="rId2" xr:uid="{00000000-0004-0000-1F00-000005000000}"/>
    <hyperlink ref="E8" r:id="rId3" xr:uid="{00000000-0004-0000-1F00-000007000000}"/>
    <hyperlink ref="H14" r:id="rId4" display="mailto:ellen.moons@vea.be" xr:uid="{00000000-0004-0000-1F00-000008000000}"/>
    <hyperlink ref="H22" r:id="rId5" xr:uid="{A9055A9B-BCE6-4D69-8C41-AA9360476766}"/>
    <hyperlink ref="H9" r:id="rId6" xr:uid="{B6B245E2-5237-4B18-80D4-B23FF83155D0}"/>
    <hyperlink ref="H15" r:id="rId7" xr:uid="{7EF80677-1805-4227-B9C3-9984A85DF6DE}"/>
    <hyperlink ref="H16:H17" r:id="rId8" display="kaat.jespers@vlaanderen.be" xr:uid="{4F7662B0-176D-4997-945F-1D8DC7244E59}"/>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2" t="s">
        <v>593</v>
      </c>
      <c r="B1" s="892" t="s">
        <v>594</v>
      </c>
      <c r="C1" s="892" t="s">
        <v>596</v>
      </c>
      <c r="D1" s="892" t="s">
        <v>595</v>
      </c>
    </row>
    <row r="2" spans="1:4" s="882" customFormat="1">
      <c r="A2" s="1012" t="s">
        <v>796</v>
      </c>
      <c r="B2" s="917"/>
      <c r="C2" s="1047" t="s">
        <v>776</v>
      </c>
      <c r="D2" s="1048" t="s">
        <v>777</v>
      </c>
    </row>
    <row r="3" spans="1:4" s="882" customFormat="1">
      <c r="A3" s="1012" t="s">
        <v>796</v>
      </c>
      <c r="B3" s="917"/>
      <c r="C3" s="1047" t="s">
        <v>779</v>
      </c>
      <c r="D3" s="921" t="s">
        <v>778</v>
      </c>
    </row>
    <row r="4" spans="1:4" s="7" customFormat="1">
      <c r="A4" s="1012" t="s">
        <v>796</v>
      </c>
      <c r="B4" s="917"/>
      <c r="C4" s="1050" t="s">
        <v>824</v>
      </c>
      <c r="D4" s="1065" t="s">
        <v>821</v>
      </c>
    </row>
    <row r="5" spans="1:4" s="7" customFormat="1">
      <c r="A5" s="1012" t="s">
        <v>796</v>
      </c>
      <c r="B5" s="902"/>
      <c r="C5" s="1050" t="s">
        <v>823</v>
      </c>
      <c r="D5" s="1065" t="s">
        <v>822</v>
      </c>
    </row>
    <row r="6" spans="1:4" s="1063" customFormat="1">
      <c r="A6" s="1012" t="s">
        <v>796</v>
      </c>
      <c r="B6" s="1064"/>
      <c r="C6" s="1050" t="s">
        <v>826</v>
      </c>
      <c r="D6" s="1065" t="s">
        <v>827</v>
      </c>
    </row>
    <row r="7" spans="1:4" s="7" customFormat="1">
      <c r="A7" s="1012" t="s">
        <v>796</v>
      </c>
      <c r="B7" s="902"/>
      <c r="C7" s="1050" t="s">
        <v>844</v>
      </c>
      <c r="D7" s="1065" t="s">
        <v>828</v>
      </c>
    </row>
    <row r="8" spans="1:4" s="7" customFormat="1">
      <c r="A8" s="1012" t="s">
        <v>796</v>
      </c>
      <c r="B8" s="902"/>
      <c r="C8" s="1050" t="s">
        <v>845</v>
      </c>
      <c r="D8" s="1065" t="s">
        <v>829</v>
      </c>
    </row>
    <row r="9" spans="1:4" s="7" customFormat="1">
      <c r="A9" s="1012" t="s">
        <v>796</v>
      </c>
      <c r="B9" s="902"/>
      <c r="C9" s="1050" t="s">
        <v>846</v>
      </c>
      <c r="D9" s="1065" t="s">
        <v>825</v>
      </c>
    </row>
    <row r="10" spans="1:4" s="7" customFormat="1">
      <c r="A10" s="1012" t="s">
        <v>796</v>
      </c>
      <c r="B10" s="902"/>
      <c r="C10" s="1050" t="s">
        <v>842</v>
      </c>
      <c r="D10" s="1065" t="s">
        <v>843</v>
      </c>
    </row>
    <row r="11" spans="1:4" s="7" customFormat="1">
      <c r="A11" s="1012"/>
      <c r="B11" s="902"/>
      <c r="C11" s="902"/>
      <c r="D11" s="921"/>
    </row>
    <row r="12" spans="1:4" s="7" customFormat="1">
      <c r="A12" s="1012"/>
      <c r="B12" s="1041"/>
      <c r="C12" s="1041"/>
      <c r="D12" s="1040"/>
    </row>
    <row r="13" spans="1:4" s="7" customFormat="1">
      <c r="A13" s="1012"/>
      <c r="B13" s="1041"/>
      <c r="C13" s="1041"/>
      <c r="D13" s="1040"/>
    </row>
    <row r="14" spans="1:4" s="7" customFormat="1">
      <c r="B14" s="889"/>
      <c r="C14" s="902"/>
      <c r="D14" s="918"/>
    </row>
    <row r="15" spans="1:4" s="7" customFormat="1">
      <c r="B15" s="889"/>
      <c r="D15" s="890"/>
    </row>
  </sheetData>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2021-11-11T12:13:35Z</dcterms:modified>
</cp:coreProperties>
</file>