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429F2AE-2874-4223-8E77-1756B7A29F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<sst xmlns="http://schemas.openxmlformats.org/spreadsheetml/2006/main" count="2417" uniqueCount="868">
  <si>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</si>
  <si>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</si>
  <si>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</si>
  <si>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</si>
  <si>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</si>
  <si>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</si>
  <si>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</si>
  <si>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</si>
  <si>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</si>
  <si>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</si>
  <si>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</si>
  <si>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</si>
  <si>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</si>
  <si>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</si>
  <si>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</si>
  <si>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</si>
  <si>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</si>
  <si>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</si>
  <si>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</si>
  <si>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</si>
  <si>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</si>
  <si>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</si>
  <si>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</si>
  <si>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</si>
  <si>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</si>
  <si>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</si>
  <si>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</si>
  <si>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</si>
  <si>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</si>
  <si>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</si>
  <si>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</si>
  <si>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</si>
  <si>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</si>
  <si>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</si>
  <si>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</si>
  <si>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</si>
  <si>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</si>
  <si>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</si>
  <si>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</si>
  <si>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</si>
  <si>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</si>
  <si>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</si>
  <si>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</si>
  <si>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</si>
  <si>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</si>
  <si>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</si>
  <si>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</si>
  <si>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</si>
  <si>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</si>
  <si>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</si>
  <si>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</si>
  <si>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</si>
  <si>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</si>
  <si>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</si>
  <si>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</si>
  <si>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</si>
  <si>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</si>
  <si>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</si>
  <si>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</si>
  <si>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</si>
  <si>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</si>
  <si>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</si>
  <si>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</si>
  <si>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</si>
  <si>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</si>
  <si>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</si>
  <si>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</si>
  <si>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</si>
  <si>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</si>
  <si>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</si>
  <si>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</si>
  <si>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</si>
  <si>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</si>
  <si>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</si>
  <si>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</si>
  <si>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</si>
  <si>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</si>
  <si>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</si>
  <si>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</si>
  <si>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</si>
  <si>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</si>
  <si>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</si>
  <si>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</si>
  <si>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</si>
  <si>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</si>
  <si>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</si>
  <si>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</si>
  <si>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</si>
  <si>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</si>
  <si>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</si>
  <si>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</si>
  <si>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</si>
  <si>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</si>
  <si>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</si>
  <si>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</si>
  <si>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</si>
  <si>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</si>
  <si>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</si>
  <si>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</si>
  <si>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</si>
  <si>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</si>
  <si>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</si>
  <si>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</si>
  <si>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</si>
  <si>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</si>
  <si>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</si>
  <si>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</si>
  <si>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</si>
  <si>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</si>
  <si>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</si>
  <si>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</si>
  <si>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</si>
  <si>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</si>
  <si>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</si>
  <si>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</si>
  <si>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</si>
  <si>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</si>
  <si>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</si>
  <si>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</si>
  <si>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</si>
  <si>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</si>
  <si>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</si>
  <si>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</si>
  <si>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</si>
  <si>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</si>
  <si>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</si>
  <si>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</si>
  <si>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</si>
  <si>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</si>
  <si>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</si>
  <si>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</si>
  <si>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</si>
  <si>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</si>
  <si>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</si>
  <si>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</si>
  <si>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</si>
  <si>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</si>
  <si>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</si>
  <si>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</si>
  <si>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</si>
  <si>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</si>
  <si>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</si>
  <si>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</si>
  <si>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</si>
  <si>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</si>
  <si>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</si>
  <si>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</si>
  <si>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</si>
  <si>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</si>
  <si>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</si>
  <si>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</si>
  <si>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</si>
  <si>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</si>
  <si>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</si>
  <si>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</si>
  <si>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</si>
  <si>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</si>
  <si>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</si>
  <si>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</si>
  <si>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</si>
  <si>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</si>
  <si>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</si>
  <si>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</si>
  <si>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</si>
  <si>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</si>
  <si>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</si>
  <si>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</si>
  <si>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</si>
  <si>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</si>
  <si>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</si>
  <si>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</si>
  <si>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</si>
  <si>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</si>
  <si>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</si>
  <si>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</si>
  <si>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</si>
  <si>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</si>
  <si>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</si>
  <si>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</si>
  <si>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</si>
  <si>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</si>
  <si>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</si>
  <si>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</si>
  <si>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</si>
  <si>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</si>
  <si>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</si>
  <si>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</si>
  <si>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</si>
  <si>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</si>
  <si>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</si>
  <si>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</si>
  <si>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</si>
  <si>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</si>
  <si>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</si>
  <si>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</si>
  <si>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</si>
  <si>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</si>
  <si>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</si>
  <si>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</si>
  <si>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</si>
  <si>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</si>
  <si>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</si>
  <si>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</si>
  <si>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</si>
  <si>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</si>
  <si>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</si>
  <si>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</si>
  <si>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</si>
  <si>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</si>
  <si>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</si>
  <si>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</si>
  <si>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</si>
  <si>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</si>
  <si>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</si>
  <si>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</si>
  <si>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</si>
  <si>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</si>
  <si>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</si>
  <si>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</si>
  <si>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</si>
  <si>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</si>
  <si>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</si>
  <si>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</si>
  <si>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</si>
  <si>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</si>
  <si>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</si>
  <si>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</si>
  <si>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</si>
  <si>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</si>
  <si>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</si>
  <si>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</si>
  <si>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</si>
  <si>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</si>
  <si>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</si>
  <si>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</si>
  <si>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</si>
  <si>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</si>
  <si>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</si>
  <si>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</si>
  <si>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</si>
  <si>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</si>
  <si>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</si>
  <si>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</si>
  <si>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</si>
  <si>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</si>
  <si>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</si>
  <si>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</si>
  <si>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</si>
  <si>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</si>
  <si>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</si>
  <si>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</si>
  <si>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</si>
  <si>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</si>
  <si>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</si>
  <si>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</si>
  <si>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</si>
  <si>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</si>
  <si>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</si>
  <si>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</si>
  <si>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</si>
  <si>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</si>
  <si>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</si>
  <si>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</si>
  <si>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</si>
  <si>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</si>
  <si>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</si>
  <si>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</si>
  <si>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</si>
  <si>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</si>
  <si>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</si>
  <si>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</si>
  <si>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</si>
  <si>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</si>
  <si>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</si>
  <si>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</si>
  <si>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</si>
  <si>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</si>
  <si>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</si>
  <si>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</si>
  <si>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</si>
  <si>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</si>
  <si>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</si>
  <si>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</si>
  <si>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</si>
  <si>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</si>
  <si>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</si>
  <si>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</si>
  <si>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</si>
  <si>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</si>
  <si>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</si>
  <si>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</si>
  <si>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</si>
  <si>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</si>
  <si>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</si>
  <si>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</si>
  <si>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</si>
  <si>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</si>
  <si>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</si>
  <si>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</si>
  <si>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</si>
  <si>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</si>
  <si>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</si>
  <si>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</si>
  <si>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</si>
  <si>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</si>
  <si>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</si>
  <si>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</si>
  <si>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</si>
  <si>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</si>
  <si>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</si>
  <si>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</si>
  <si>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</si>
  <si>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</si>
  <si>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</si>
  <si>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</si>
  <si>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</si>
  <si>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</si>
  <si>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</si>
  <si>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</si>
  <si>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</si>
  <si>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</si>
  <si>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</si>
  <si>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</si>
  <si>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</si>
  <si>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</si>
  <si>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</si>
  <si>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</si>
  <si>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</si>
  <si>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</si>
  <si>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</si>
  <si>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</si>
  <si>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</si>
  <si>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</si>
  <si>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</si>
  <si>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</si>
  <si>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</si>
  <si>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</si>
  <si>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</si>
  <si>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</si>
  <si>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</si>
  <si>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</si>
  <si>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</si>
  <si>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</si>
  <si>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</si>
  <si>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</si>
  <si>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</si>
  <si>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</si>
  <si>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</si>
  <si>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</si>
  <si>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</si>
  <si>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</si>
  <si>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</si>
  <si>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</si>
  <si>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</si>
  <si>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</si>
  <si>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</si>
  <si>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</si>
  <si>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</si>
  <si>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</si>
  <si>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</si>
  <si>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</si>
  <si>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</si>
  <si>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</si>
  <si>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</si>
  <si>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</si>
  <si>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</si>
  <si>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</si>
  <si>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</si>
  <si>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</si>
  <si>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</si>
  <si>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</si>
  <si>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</si>
  <si>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</si>
  <si>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</si>
  <si>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</si>
  <si>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</si>
  <si>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</si>
  <si>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</si>
  <si>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</si>
  <si>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</si>
  <si>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</si>
  <si>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</si>
  <si>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</si>
  <si>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</si>
  <si>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</si>
  <si>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</si>
  <si>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</si>
  <si>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</si>
  <si>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</si>
  <si>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</si>
  <si>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</si>
  <si>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</si>
  <si>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</si>
  <si>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</si>
  <si>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</si>
  <si>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</si>
  <si>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</si>
  <si>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</si>
  <si>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</si>
  <si>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</si>
  <si>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</si>
  <si>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</si>
  <si>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</si>
  <si>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</si>
  <si>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</si>
  <si>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</si>
  <si>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</si>
  <si>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</si>
  <si>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</si>
  <si>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</si>
  <si>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</si>
  <si>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</si>
  <si>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</si>
  <si>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</si>
  <si>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</si>
  <si>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</si>
  <si>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</si>
  <si>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</si>
  <si>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</si>
  <si>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</si>
  <si>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</si>
  <si>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</si>
  <si>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</si>
  <si>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</si>
  <si>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</si>
  <si>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</si>
  <si>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</si>
  <si>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</si>
  <si>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</si>
  <si>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</si>
  <si>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</si>
  <si>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</si>
  <si>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</si>
  <si>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</si>
  <si>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</si>
  <si>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</si>
  <si>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</si>
  <si>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</si>
  <si>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</si>
  <si>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</si>
  <si>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</si>
  <si>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</si>
  <si>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</si>
  <si>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</si>
  <si>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</si>
  <si>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</si>
  <si>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</si>
  <si>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</si>
  <si>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</si>
  <si>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</si>
  <si>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</si>
  <si>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</si>
  <si>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</si>
  <si>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</si>
  <si>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</si>
  <si>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</si>
  <si>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</si>
  <si>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</si>
  <si>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</si>
  <si>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</si>
  <si>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</si>
  <si>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</si>
  <si>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</si>
  <si>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</si>
  <si>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</si>
  <si>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</si>
  <si>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</si>
  <si>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</si>
  <si>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</si>
  <si>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</si>
  <si>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</si>
  <si>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</si>
  <si>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</si>
  <si>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</si>
  <si>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</si>
  <si>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</si>
  <si>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</si>
  <si>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</si>
  <si>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</si>
  <si>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</si>
  <si>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</si>
  <si>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</si>
  <si>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</si>
  <si>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</si>
  <si>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</si>
  <si>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</si>
  <si>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</si>
  <si>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</si>
  <si>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</si>
  <si>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</si>
  <si>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</si>
  <si>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</si>
  <si>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</si>
  <si>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</si>
  <si>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</si>
  <si>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</si>
  <si>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</si>
  <si>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</si>
  <si>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</si>
  <si>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</si>
  <si>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</si>
  <si>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</si>
  <si>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</si>
  <si>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</si>
  <si>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</si>
  <si>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</si>
  <si>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</si>
  <si>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</si>
  <si>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</si>
  <si>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</si>
  <si>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</si>
  <si>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</si>
  <si>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</si>
  <si>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</si>
  <si>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</si>
  <si>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</si>
  <si>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</si>
  <si>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</si>
  <si>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</si>
  <si>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</si>
  <si>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</si>
  <si>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</si>
  <si>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</si>
  <si>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</si>
  <si>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</si>
  <si>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</si>
  <si>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</si>
  <si>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</si>
  <si>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</si>
  <si>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</si>
  <si>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</si>
  <si>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</si>
  <si>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</si>
  <si>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</si>
  <si>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</si>
  <si>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</si>
  <si>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</si>
  <si>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</si>
  <si>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</si>
  <si>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</si>
  <si>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</si>
  <si>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</si>
  <si>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</si>
  <si>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</si>
  <si>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</si>
  <si>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</si>
  <si>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</si>
  <si>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</si>
  <si>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</si>
  <si>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</si>
  <si>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</si>
  <si>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</si>
  <si>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</si>
  <si>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</si>
  <si>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</si>
  <si>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</si>
  <si>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</si>
  <si>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</si>
  <si>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</si>
  <si>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</si>
  <si>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</si>
  <si>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</si>
  <si>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</si>
  <si>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</si>
  <si>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</si>
  <si>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</si>
  <si>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</si>
  <si>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</si>
  <si>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</si>
  <si>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</si>
  <si>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</si>
  <si>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</si>
  <si>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</si>
  <si>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</si>
  <si>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</si>
  <si>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</si>
  <si>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</si>
  <si>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</si>
  <si>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</si>
  <si>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</si>
  <si>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</si>
  <si>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</si>
  <si>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</si>
  <si>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</si>
  <si>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</si>
  <si>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</si>
  <si>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</si>
  <si>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</si>
  <si>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</si>
  <si>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</si>
  <si>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</si>
  <si>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</si>
  <si>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</si>
  <si>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</si>
  <si>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</si>
  <si>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</si>
  <si>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</si>
  <si>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</si>
  <si>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</si>
  <si>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</si>
  <si>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</si>
  <si>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</si>
  <si>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</si>
  <si>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</si>
  <si>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</si>
  <si>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</si>
  <si>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</si>
  <si>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</si>
  <si>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</si>
  <si>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</si>
  <si>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</si>
  <si>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</si>
  <si>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</si>
  <si>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</si>
  <si>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</si>
  <si>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</si>
  <si>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</si>
  <si>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</si>
  <si>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</si>
  <si>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</si>
  <si>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</si>
  <si>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</si>
  <si>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</si>
  <si>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</si>
  <si>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</si>
  <si>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</si>
  <si>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</si>
  <si>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</si>
  <si>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</si>
  <si>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</si>
  <si>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</si>
  <si>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</si>
  <si>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</si>
  <si>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</si>
  <si>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</si>
  <si>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</si>
  <si>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</si>
  <si>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</si>
  <si>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</si>
  <si>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</si>
  <si>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</si>
  <si>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</si>
  <si>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</si>
  <si>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</si>
  <si>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</si>
  <si>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</si>
  <si>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</si>
  <si>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</si>
  <si>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</si>
  <si>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</si>
  <si>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</si>
  <si>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</si>
  <si>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</si>
  <si>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</si>
  <si>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</si>
  <si>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</si>
  <si>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</si>
  <si>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</si>
  <si>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</si>
  <si>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</si>
  <si>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</si>
  <si>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</si>
  <si>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</si>
  <si>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</si>
  <si>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</si>
  <si>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</si>
  <si>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</si>
  <si>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</si>
  <si>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</si>
  <si>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</si>
  <si>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</si>
  <si>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</si>
  <si>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</si>
  <si>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</si>
  <si>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</si>
  <si>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</si>
  <si>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</si>
  <si>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</si>
  <si>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</si>
  <si>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</si>
  <si>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</si>
  <si>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</si>
  <si>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</si>
  <si>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</si>
  <si>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</si>
  <si>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</si>
  <si>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</si>
  <si>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</si>
  <si>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</si>
  <si>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</si>
  <si>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</si>
  <si>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</si>
  <si>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</si>
  <si>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</si>
  <si>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</si>
  <si>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</si>
  <si>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</si>
  <si>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</si>
  <si>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</si>
  <si>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</si>
  <si>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</si>
  <si>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</si>
  <si>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</si>
  <si>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</si>
  <si>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</si>
  <si>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</si>
  <si>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</si>
  <si>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</si>
  <si>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</si>
  <si>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</si>
  <si>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</si>
  <si>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</si>
  <si>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</si>
  <si>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</si>
  <si>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</si>
  <si>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</si>
  <si>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</si>
  <si>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</si>
  <si>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</si>
  <si>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</si>
  <si>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</si>
  <si>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</si>
  <si>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</si>
  <si>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</si>
  <si>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</si>
  <si>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</si>
  <si>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</si>
  <si>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</si>
  <si>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</si>
  <si>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</si>
  <si>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</si>
  <si>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</si>
  <si>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</si>
  <si>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</si>
  <si>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</si>
  <si>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</si>
  <si>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</si>
  <si>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</si>
  <si>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</si>
  <si>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</si>
  <si>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</si>
  <si>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</si>
  <si>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</si>
  <si>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</si>
  <si>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</si>
  <si>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</si>
  <si>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</si>
  <si>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</si>
  <si>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</si>
  <si>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</si>
  <si>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</si>
  <si>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</si>
  <si>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</si>
  <si>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</si>
  <si>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</si>
  <si>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</si>
  <si>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</si>
  <si>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</si>
  <si>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</si>
  <si>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</si>
  <si>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</si>
  <si>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</si>
  <si>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</si>
  <si>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</si>
  <si>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</si>
  <si>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</si>
  <si>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</si>
  <si>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</si>
  <si>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</si>
  <si>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</si>
  <si>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</si>
  <si>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</si>
  <si>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</si>
  <si>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</si>
  <si>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</si>
  <si>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</si>
  <si>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</si>
  <si>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</si>
  <si>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</si>
  <si>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</si>
  <si>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</si>
  <si>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</si>
  <si>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</si>
  <si>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</si>
  <si>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</si>
  <si>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</si>
  <si>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</si>
  <si>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</si>
  <si>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</si>
  <si>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</si>
  <si>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</si>
  <si>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</si>
  <si>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</si>
  <si>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</si>
  <si>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</si>
  <si>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</si>
  <si>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</si>
  <si>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</si>
  <si>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</si>
  <si>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</si>
  <si>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</si>
  <si>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</si>
  <si>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</si>
  <si>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</si>
  <si>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</si>
  <si>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</si>
  <si>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</si>
  <si>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</si>
  <si>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</si>
  <si>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</si>
  <si>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</si>
  <si>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</si>
  <si>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</si>
  <si>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</si>
  <si>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</si>
  <si>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</si>
  <si>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</si>
  <si>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</si>
  <si>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</si>
  <si>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</si>
  <si>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</si>
  <si>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</si>
  <si>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</si>
  <si>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</si>
  <si>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</si>
  <si>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</si>
  <si>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</si>
  <si>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</si>
  <si>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</si>
  <si>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</si>
  <si>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</si>
  <si>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</si>
  <si>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</si>
  <si>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</si>
  <si>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</si>
  <si>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</si>
  <si>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</si>
  <si>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</si>
  <si>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</si>
  <si>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</si>
  <si>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</si>
  <si>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</si>
  <si>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</si>
  <si>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</si>
  <si>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</si>
  <si>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</si>
  <si>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</si>
  <si>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</si>
  <si>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</si>
  <si>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</si>
  <si>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</si>
  <si>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</si>
  <si>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</si>
  <si>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</si>
  <si>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</si>
  <si>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</si>
  <si>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</si>
  <si>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</si>
  <si>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</si>
  <si>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</si>
  <si>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</si>
  <si>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</si>
  <si>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</si>
  <si>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</si>
  <si>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13010</t>
  </si>
  <si>
    <t>GROBBENDONK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</si>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</sst>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0EBE5DE-6911-403B-9D17-79BF99D586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99749.710649740722</c:v>
                </c:pt>
                <c:pt idx="1">
                  <c:v>47947.95031698142</c:v>
                </c:pt>
                <c:pt idx="2">
                  <c:v>573.26499999999999</c:v>
                </c:pt>
                <c:pt idx="3">
                  <c:v>2518.3181678431461</c:v>
                </c:pt>
                <c:pt idx="4">
                  <c:v>71114.025898328284</c:v>
                </c:pt>
                <c:pt idx="5">
                  <c:v>228052.23011428103</c:v>
                </c:pt>
                <c:pt idx="6">
                  <c:v>923.40923095682922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99749.710649740722</c:v>
                </c:pt>
                <c:pt idx="1">
                  <c:v>47947.95031698142</c:v>
                </c:pt>
                <c:pt idx="2">
                  <c:v>573.26499999999999</c:v>
                </c:pt>
                <c:pt idx="3">
                  <c:v>2518.3181678431461</c:v>
                </c:pt>
                <c:pt idx="4">
                  <c:v>71114.025898328284</c:v>
                </c:pt>
                <c:pt idx="5">
                  <c:v>228052.23011428103</c:v>
                </c:pt>
                <c:pt idx="6">
                  <c:v>923.40923095682922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20131.399121789382</c:v>
                </c:pt>
                <c:pt idx="1">
                  <c:v>9527.0423471634695</c:v>
                </c:pt>
                <c:pt idx="2">
                  <c:v>114.51968703796935</c:v>
                </c:pt>
                <c:pt idx="3">
                  <c:v>643.11997502142094</c:v>
                </c:pt>
                <c:pt idx="4">
                  <c:v>13682.762017556597</c:v>
                </c:pt>
                <c:pt idx="5">
                  <c:v>56721.673704445813</c:v>
                </c:pt>
                <c:pt idx="6">
                  <c:v>232.43792378365066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20131.399121789382</c:v>
                </c:pt>
                <c:pt idx="1">
                  <c:v>9527.0423471634695</c:v>
                </c:pt>
                <c:pt idx="2">
                  <c:v>114.51968703796935</c:v>
                </c:pt>
                <c:pt idx="3">
                  <c:v>643.11997502142094</c:v>
                </c:pt>
                <c:pt idx="4">
                  <c:v>13682.762017556597</c:v>
                </c:pt>
                <c:pt idx="5">
                  <c:v>56721.673704445813</c:v>
                </c:pt>
                <c:pt idx="6">
                  <c:v>232.43792378365066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13010</v>
      </c>
      <c r="B6" s="384"/>
      <c r="C6" s="385"/>
    </row>
    <row r="7" spans="1:7" s="382" customFormat="1" ht="15.75" customHeight="1">
      <c r="A7" s="386" t="str">
        <f>txtMunicipality</f>
        <v>GROBBENDONK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22556.882233430977</v>
      </c>
      <c r="D10" s="681">
        <f ca="1">tertiair!C16</f>
        <v>0</v>
      </c>
      <c r="E10" s="681">
        <f ca="1">tertiair!D16</f>
        <v>16107.969812676001</v>
      </c>
      <c r="F10" s="681">
        <f>tertiair!E16</f>
        <v>124.50649181871421</v>
      </c>
      <c r="G10" s="681">
        <f ca="1">tertiair!F16</f>
        <v>6941.3366338362875</v>
      </c>
      <c r="H10" s="681">
        <f>tertiair!G16</f>
        <v>0</v>
      </c>
      <c r="I10" s="681">
        <f>tertiair!H16</f>
        <v>0</v>
      </c>
      <c r="J10" s="681">
        <f>tertiair!I16</f>
        <v>0</v>
      </c>
      <c r="K10" s="681">
        <f>tertiair!J16</f>
        <v>6.0567148941854207E-2</v>
      </c>
      <c r="L10" s="681">
        <f>tertiair!K16</f>
        <v>0</v>
      </c>
      <c r="M10" s="681">
        <f ca="1">tertiair!L16</f>
        <v>0</v>
      </c>
      <c r="N10" s="681">
        <f>tertiair!M16</f>
        <v>0</v>
      </c>
      <c r="O10" s="681">
        <f ca="1">tertiair!N16</f>
        <v>2307.8128117803658</v>
      </c>
      <c r="P10" s="681">
        <f>tertiair!O16</f>
        <v>9.7945215316823084</v>
      </c>
      <c r="Q10" s="682">
        <f>tertiair!P16</f>
        <v>472.85224475845519</v>
      </c>
      <c r="R10" s="684">
        <f ca="1">SUM(C10:Q10)</f>
        <v>48521.215316981419</v>
      </c>
      <c r="S10" s="67"/>
    </row>
    <row r="11" spans="1:19" s="443" customFormat="1">
      <c r="A11" s="802" t="s">
        <v>214</v>
      </c>
      <c r="B11" s="807"/>
      <c r="C11" s="681">
        <f>huishoudens!B8</f>
        <v>20959.550859157898</v>
      </c>
      <c r="D11" s="681">
        <f>huishoudens!C8</f>
        <v>0</v>
      </c>
      <c r="E11" s="681">
        <f>huishoudens!D8</f>
        <v>49009.652106940237</v>
      </c>
      <c r="F11" s="681">
        <f>huishoudens!E8</f>
        <v>987.60731127847134</v>
      </c>
      <c r="G11" s="681">
        <f>huishoudens!F8</f>
        <v>21635.123535383169</v>
      </c>
      <c r="H11" s="681">
        <f>huishoudens!G8</f>
        <v>0</v>
      </c>
      <c r="I11" s="681">
        <f>huishoudens!H8</f>
        <v>0</v>
      </c>
      <c r="J11" s="681">
        <f>huishoudens!I8</f>
        <v>0</v>
      </c>
      <c r="K11" s="681">
        <f>huishoudens!J8</f>
        <v>123.30093534291989</v>
      </c>
      <c r="L11" s="681">
        <f>huishoudens!K8</f>
        <v>0</v>
      </c>
      <c r="M11" s="681">
        <f>huishoudens!L8</f>
        <v>0</v>
      </c>
      <c r="N11" s="681">
        <f>huishoudens!M8</f>
        <v>0</v>
      </c>
      <c r="O11" s="681">
        <f>huishoudens!N8</f>
        <v>6098.702928161385</v>
      </c>
      <c r="P11" s="681">
        <f>huishoudens!O8</f>
        <v>198.39582193870316</v>
      </c>
      <c r="Q11" s="682">
        <f>huishoudens!P8</f>
        <v>737.37715153795159</v>
      </c>
      <c r="R11" s="684">
        <f>SUM(C11:Q11)</f>
        <v>99749.710649740722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24361.6532128576</v>
      </c>
      <c r="D13" s="681">
        <f>industrie!C18</f>
        <v>0</v>
      </c>
      <c r="E13" s="681">
        <f>industrie!D18</f>
        <v>37700.592954885004</v>
      </c>
      <c r="F13" s="681">
        <f>industrie!E18</f>
        <v>1102.3431915896326</v>
      </c>
      <c r="G13" s="681">
        <f>industrie!F18</f>
        <v>3203.1451363105575</v>
      </c>
      <c r="H13" s="681">
        <f>industrie!G18</f>
        <v>0</v>
      </c>
      <c r="I13" s="681">
        <f>industrie!H18</f>
        <v>0</v>
      </c>
      <c r="J13" s="681">
        <f>industrie!I18</f>
        <v>0</v>
      </c>
      <c r="K13" s="681">
        <f>industrie!J18</f>
        <v>268.65890560291967</v>
      </c>
      <c r="L13" s="681">
        <f>industrie!K18</f>
        <v>0</v>
      </c>
      <c r="M13" s="681">
        <f>industrie!L18</f>
        <v>0</v>
      </c>
      <c r="N13" s="681">
        <f>industrie!M18</f>
        <v>0</v>
      </c>
      <c r="O13" s="681">
        <f>industrie!N18</f>
        <v>4477.6324970825672</v>
      </c>
      <c r="P13" s="681">
        <f>industrie!O18</f>
        <v>0</v>
      </c>
      <c r="Q13" s="682">
        <f>industrie!P18</f>
        <v>0</v>
      </c>
      <c r="R13" s="684">
        <f>SUM(C13:Q13)</f>
        <v>71114.025898328284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67878.086305446486</v>
      </c>
      <c r="D16" s="717">
        <f t="shared" ref="D16:R16" ca="1" si="0">SUM(D9:D15)</f>
        <v>0</v>
      </c>
      <c r="E16" s="717">
        <f t="shared" ca="1" si="0"/>
        <v>102818.21487450125</v>
      </c>
      <c r="F16" s="717">
        <f t="shared" si="0"/>
        <v>2214.4569946868182</v>
      </c>
      <c r="G16" s="717">
        <f t="shared" ca="1" si="0"/>
        <v>31779.605305530014</v>
      </c>
      <c r="H16" s="717">
        <f t="shared" si="0"/>
        <v>0</v>
      </c>
      <c r="I16" s="717">
        <f t="shared" si="0"/>
        <v>0</v>
      </c>
      <c r="J16" s="717">
        <f t="shared" si="0"/>
        <v>0</v>
      </c>
      <c r="K16" s="717">
        <f t="shared" si="0"/>
        <v>392.02040809478143</v>
      </c>
      <c r="L16" s="717">
        <f t="shared" si="0"/>
        <v>0</v>
      </c>
      <c r="M16" s="717">
        <f t="shared" ca="1" si="0"/>
        <v>0</v>
      </c>
      <c r="N16" s="717">
        <f t="shared" si="0"/>
        <v>0</v>
      </c>
      <c r="O16" s="717">
        <f t="shared" ca="1" si="0"/>
        <v>12884.148237024317</v>
      </c>
      <c r="P16" s="717">
        <f t="shared" si="0"/>
        <v>208.19034347038547</v>
      </c>
      <c r="Q16" s="717">
        <f t="shared" si="0"/>
        <v>1210.2293962964068</v>
      </c>
      <c r="R16" s="717">
        <f t="shared" ca="1" si="0"/>
        <v>219384.95186505042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13.741709755619752</v>
      </c>
      <c r="D19" s="681">
        <f>transport!C54</f>
        <v>0</v>
      </c>
      <c r="E19" s="681">
        <f>transport!D54</f>
        <v>0</v>
      </c>
      <c r="F19" s="681">
        <f>transport!E54</f>
        <v>0</v>
      </c>
      <c r="G19" s="681">
        <f>transport!F54</f>
        <v>0</v>
      </c>
      <c r="H19" s="681">
        <f>transport!G54</f>
        <v>860.27257479998389</v>
      </c>
      <c r="I19" s="681">
        <f>transport!H54</f>
        <v>0</v>
      </c>
      <c r="J19" s="681">
        <f>transport!I54</f>
        <v>0</v>
      </c>
      <c r="K19" s="681">
        <f>transport!J54</f>
        <v>0</v>
      </c>
      <c r="L19" s="681">
        <f>transport!K54</f>
        <v>0</v>
      </c>
      <c r="M19" s="681">
        <f>transport!L54</f>
        <v>0</v>
      </c>
      <c r="N19" s="681">
        <f>transport!M54</f>
        <v>49.394946401225688</v>
      </c>
      <c r="O19" s="681">
        <f>transport!N54</f>
        <v>0</v>
      </c>
      <c r="P19" s="681">
        <f>transport!O54</f>
        <v>0</v>
      </c>
      <c r="Q19" s="682">
        <f>transport!P54</f>
        <v>0</v>
      </c>
      <c r="R19" s="684">
        <f>SUM(C19:Q19)</f>
        <v>923.40923095682922</v>
      </c>
      <c r="S19" s="67"/>
    </row>
    <row r="20" spans="1:19" s="443" customFormat="1">
      <c r="A20" s="802" t="s">
        <v>296</v>
      </c>
      <c r="B20" s="807"/>
      <c r="C20" s="681">
        <f>transport!B14</f>
        <v>484.10504274061782</v>
      </c>
      <c r="D20" s="681">
        <f>transport!C14</f>
        <v>0</v>
      </c>
      <c r="E20" s="681">
        <f>transport!D14</f>
        <v>730.72642538253012</v>
      </c>
      <c r="F20" s="681">
        <f>transport!E14</f>
        <v>329.75959346974861</v>
      </c>
      <c r="G20" s="681">
        <f>transport!F14</f>
        <v>0</v>
      </c>
      <c r="H20" s="681">
        <f>transport!G14</f>
        <v>176774.05607782415</v>
      </c>
      <c r="I20" s="681">
        <f>transport!H14</f>
        <v>36963.17323798687</v>
      </c>
      <c r="J20" s="681">
        <f>transport!I14</f>
        <v>0</v>
      </c>
      <c r="K20" s="681">
        <f>transport!J14</f>
        <v>0</v>
      </c>
      <c r="L20" s="681">
        <f>transport!K14</f>
        <v>0</v>
      </c>
      <c r="M20" s="681">
        <f>transport!L14</f>
        <v>0</v>
      </c>
      <c r="N20" s="681">
        <f>transport!M14</f>
        <v>12770.409736877142</v>
      </c>
      <c r="O20" s="681">
        <f>transport!N14</f>
        <v>0</v>
      </c>
      <c r="P20" s="681">
        <f>transport!O14</f>
        <v>0</v>
      </c>
      <c r="Q20" s="682">
        <f>transport!P14</f>
        <v>0</v>
      </c>
      <c r="R20" s="684">
        <f>SUM(C20:Q20)</f>
        <v>228052.23011428103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497.84675249623757</v>
      </c>
      <c r="D22" s="805">
        <f t="shared" ref="D22:R22" si="1">SUM(D18:D21)</f>
        <v>0</v>
      </c>
      <c r="E22" s="805">
        <f t="shared" si="1"/>
        <v>730.72642538253012</v>
      </c>
      <c r="F22" s="805">
        <f t="shared" si="1"/>
        <v>329.75959346974861</v>
      </c>
      <c r="G22" s="805">
        <f t="shared" si="1"/>
        <v>0</v>
      </c>
      <c r="H22" s="805">
        <f t="shared" si="1"/>
        <v>177634.32865262413</v>
      </c>
      <c r="I22" s="805">
        <f t="shared" si="1"/>
        <v>36963.17323798687</v>
      </c>
      <c r="J22" s="805">
        <f t="shared" si="1"/>
        <v>0</v>
      </c>
      <c r="K22" s="805">
        <f t="shared" si="1"/>
        <v>0</v>
      </c>
      <c r="L22" s="805">
        <f t="shared" si="1"/>
        <v>0</v>
      </c>
      <c r="M22" s="805">
        <f t="shared" si="1"/>
        <v>0</v>
      </c>
      <c r="N22" s="805">
        <f t="shared" si="1"/>
        <v>12819.804683278368</v>
      </c>
      <c r="O22" s="805">
        <f t="shared" si="1"/>
        <v>0</v>
      </c>
      <c r="P22" s="805">
        <f t="shared" si="1"/>
        <v>0</v>
      </c>
      <c r="Q22" s="805">
        <f t="shared" si="1"/>
        <v>0</v>
      </c>
      <c r="R22" s="805">
        <f t="shared" si="1"/>
        <v>228975.63934523787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553.42089501367002</v>
      </c>
      <c r="D24" s="681">
        <f>+landbouw!C8</f>
        <v>0</v>
      </c>
      <c r="E24" s="681">
        <f>+landbouw!D8</f>
        <v>56.484130017000005</v>
      </c>
      <c r="F24" s="681">
        <f>+landbouw!E8</f>
        <v>15.8509109928107</v>
      </c>
      <c r="G24" s="681">
        <f>+landbouw!F8</f>
        <v>1751.8446769575737</v>
      </c>
      <c r="H24" s="681">
        <f>+landbouw!G8</f>
        <v>0</v>
      </c>
      <c r="I24" s="681">
        <f>+landbouw!H8</f>
        <v>0</v>
      </c>
      <c r="J24" s="681">
        <f>+landbouw!I8</f>
        <v>0</v>
      </c>
      <c r="K24" s="681">
        <f>+landbouw!J8</f>
        <v>140.71755486209179</v>
      </c>
      <c r="L24" s="681">
        <f>+landbouw!K8</f>
        <v>0</v>
      </c>
      <c r="M24" s="681">
        <f>+landbouw!L8</f>
        <v>0</v>
      </c>
      <c r="N24" s="681">
        <f>+landbouw!M8</f>
        <v>0</v>
      </c>
      <c r="O24" s="681">
        <f>+landbouw!N8</f>
        <v>0</v>
      </c>
      <c r="P24" s="681">
        <f>+landbouw!O8</f>
        <v>0</v>
      </c>
      <c r="Q24" s="682">
        <f>+landbouw!P8</f>
        <v>0</v>
      </c>
      <c r="R24" s="684">
        <f>SUM(C24:Q24)</f>
        <v>2518.3181678431461</v>
      </c>
      <c r="S24" s="67"/>
    </row>
    <row r="25" spans="1:19" s="443" customFormat="1" ht="15" thickBot="1">
      <c r="A25" s="824" t="s">
        <v>690</v>
      </c>
      <c r="B25" s="937"/>
      <c r="C25" s="938">
        <f>IF(Onbekend_ele_kWh="---",0,Onbekend_ele_kWh)/1000+IF(REST_rest_ele_kWh="---",0,REST_rest_ele_kWh)/1000</f>
        <v>402.33304881499402</v>
      </c>
      <c r="D25" s="938"/>
      <c r="E25" s="938">
        <f>IF(onbekend_gas_kWh="---",0,onbekend_gas_kWh)/1000+IF(REST_rest_gas_kWh="---",0,REST_rest_gas_kWh)/1000</f>
        <v>1389.7014676481099</v>
      </c>
      <c r="F25" s="938"/>
      <c r="G25" s="938"/>
      <c r="H25" s="938"/>
      <c r="I25" s="938"/>
      <c r="J25" s="938"/>
      <c r="K25" s="938"/>
      <c r="L25" s="938"/>
      <c r="M25" s="938"/>
      <c r="N25" s="938"/>
      <c r="O25" s="938"/>
      <c r="P25" s="938"/>
      <c r="Q25" s="939"/>
      <c r="R25" s="684">
        <f>SUM(C25:Q25)</f>
        <v>1792.034516463104</v>
      </c>
      <c r="S25" s="67"/>
    </row>
    <row r="26" spans="1:19" s="443" customFormat="1" ht="15.75" thickBot="1">
      <c r="A26" s="689" t="s">
        <v>691</v>
      </c>
      <c r="B26" s="810"/>
      <c r="C26" s="805">
        <f>SUM(C24:C25)</f>
        <v>955.75394382866398</v>
      </c>
      <c r="D26" s="805">
        <f t="shared" ref="D26:R26" si="2">SUM(D24:D25)</f>
        <v>0</v>
      </c>
      <c r="E26" s="805">
        <f t="shared" si="2"/>
        <v>1446.18559766511</v>
      </c>
      <c r="F26" s="805">
        <f t="shared" si="2"/>
        <v>15.8509109928107</v>
      </c>
      <c r="G26" s="805">
        <f t="shared" si="2"/>
        <v>1751.8446769575737</v>
      </c>
      <c r="H26" s="805">
        <f t="shared" si="2"/>
        <v>0</v>
      </c>
      <c r="I26" s="805">
        <f t="shared" si="2"/>
        <v>0</v>
      </c>
      <c r="J26" s="805">
        <f t="shared" si="2"/>
        <v>0</v>
      </c>
      <c r="K26" s="805">
        <f t="shared" si="2"/>
        <v>140.71755486209179</v>
      </c>
      <c r="L26" s="805">
        <f t="shared" si="2"/>
        <v>0</v>
      </c>
      <c r="M26" s="805">
        <f t="shared" si="2"/>
        <v>0</v>
      </c>
      <c r="N26" s="805">
        <f t="shared" si="2"/>
        <v>0</v>
      </c>
      <c r="O26" s="805">
        <f t="shared" si="2"/>
        <v>0</v>
      </c>
      <c r="P26" s="805">
        <f t="shared" si="2"/>
        <v>0</v>
      </c>
      <c r="Q26" s="805">
        <f t="shared" si="2"/>
        <v>0</v>
      </c>
      <c r="R26" s="805">
        <f t="shared" si="2"/>
        <v>4310.35268430625</v>
      </c>
      <c r="S26" s="67"/>
    </row>
    <row r="27" spans="1:19" s="443" customFormat="1" ht="17.25" thickTop="1" thickBot="1">
      <c r="A27" s="690" t="s">
        <v>109</v>
      </c>
      <c r="B27" s="797"/>
      <c r="C27" s="691">
        <f ca="1">C22+C16+C26</f>
        <v>69331.687001771381</v>
      </c>
      <c r="D27" s="691">
        <f t="shared" ref="D27:R27" ca="1" si="3">D22+D16+D26</f>
        <v>0</v>
      </c>
      <c r="E27" s="691">
        <f t="shared" ca="1" si="3"/>
        <v>104995.12689754889</v>
      </c>
      <c r="F27" s="691">
        <f t="shared" si="3"/>
        <v>2560.0674991493779</v>
      </c>
      <c r="G27" s="691">
        <f t="shared" ca="1" si="3"/>
        <v>33531.449982487589</v>
      </c>
      <c r="H27" s="691">
        <f t="shared" si="3"/>
        <v>177634.32865262413</v>
      </c>
      <c r="I27" s="691">
        <f t="shared" si="3"/>
        <v>36963.17323798687</v>
      </c>
      <c r="J27" s="691">
        <f t="shared" si="3"/>
        <v>0</v>
      </c>
      <c r="K27" s="691">
        <f t="shared" si="3"/>
        <v>532.73796295687316</v>
      </c>
      <c r="L27" s="691">
        <f t="shared" si="3"/>
        <v>0</v>
      </c>
      <c r="M27" s="691">
        <f t="shared" ca="1" si="3"/>
        <v>0</v>
      </c>
      <c r="N27" s="691">
        <f t="shared" si="3"/>
        <v>12819.804683278368</v>
      </c>
      <c r="O27" s="691">
        <f t="shared" ca="1" si="3"/>
        <v>12884.148237024317</v>
      </c>
      <c r="P27" s="691">
        <f t="shared" si="3"/>
        <v>208.19034347038547</v>
      </c>
      <c r="Q27" s="691">
        <f t="shared" si="3"/>
        <v>1210.2293962964068</v>
      </c>
      <c r="R27" s="691">
        <f t="shared" ca="1" si="3"/>
        <v>452670.94389459456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4506.1308363930239</v>
      </c>
      <c r="D40" s="681">
        <f ca="1">tertiair!C20</f>
        <v>0</v>
      </c>
      <c r="E40" s="681">
        <f ca="1">tertiair!D20</f>
        <v>3253.8099021605526</v>
      </c>
      <c r="F40" s="681">
        <f>tertiair!E20</f>
        <v>28.262973642848127</v>
      </c>
      <c r="G40" s="681">
        <f ca="1">tertiair!F20</f>
        <v>1853.336881234289</v>
      </c>
      <c r="H40" s="681">
        <f>tertiair!G20</f>
        <v>0</v>
      </c>
      <c r="I40" s="681">
        <f>tertiair!H20</f>
        <v>0</v>
      </c>
      <c r="J40" s="681">
        <f>tertiair!I20</f>
        <v>0</v>
      </c>
      <c r="K40" s="681">
        <f>tertiair!J20</f>
        <v>2.1440770725416388E-2</v>
      </c>
      <c r="L40" s="681">
        <f>tertiair!K20</f>
        <v>0</v>
      </c>
      <c r="M40" s="681">
        <f ca="1">tertiair!L20</f>
        <v>0</v>
      </c>
      <c r="N40" s="681">
        <f>tertiair!M20</f>
        <v>0</v>
      </c>
      <c r="O40" s="681">
        <f ca="1">tertiair!N20</f>
        <v>0</v>
      </c>
      <c r="P40" s="681">
        <f>tertiair!O20</f>
        <v>0</v>
      </c>
      <c r="Q40" s="764">
        <f>tertiair!P20</f>
        <v>0</v>
      </c>
      <c r="R40" s="843">
        <f t="shared" ca="1" si="4"/>
        <v>9641.562034201439</v>
      </c>
    </row>
    <row r="41" spans="1:18">
      <c r="A41" s="815" t="s">
        <v>214</v>
      </c>
      <c r="B41" s="822"/>
      <c r="C41" s="681">
        <f ca="1">huishoudens!B12</f>
        <v>4187.0360214685425</v>
      </c>
      <c r="D41" s="681">
        <f ca="1">huishoudens!C12</f>
        <v>0</v>
      </c>
      <c r="E41" s="681">
        <f>huishoudens!D12</f>
        <v>9899.9497256019276</v>
      </c>
      <c r="F41" s="681">
        <f>huishoudens!E12</f>
        <v>224.186859660213</v>
      </c>
      <c r="G41" s="681">
        <f>huishoudens!F12</f>
        <v>5776.5779839473062</v>
      </c>
      <c r="H41" s="681">
        <f>huishoudens!G12</f>
        <v>0</v>
      </c>
      <c r="I41" s="681">
        <f>huishoudens!H12</f>
        <v>0</v>
      </c>
      <c r="J41" s="681">
        <f>huishoudens!I12</f>
        <v>0</v>
      </c>
      <c r="K41" s="681">
        <f>huishoudens!J12</f>
        <v>43.648531111393638</v>
      </c>
      <c r="L41" s="681">
        <f>huishoudens!K12</f>
        <v>0</v>
      </c>
      <c r="M41" s="681">
        <f>huishoudens!L12</f>
        <v>0</v>
      </c>
      <c r="N41" s="681">
        <f>huishoudens!M12</f>
        <v>0</v>
      </c>
      <c r="O41" s="681">
        <f>huishoudens!N12</f>
        <v>0</v>
      </c>
      <c r="P41" s="681">
        <f>huishoudens!O12</f>
        <v>0</v>
      </c>
      <c r="Q41" s="764">
        <f>huishoudens!P12</f>
        <v>0</v>
      </c>
      <c r="R41" s="843">
        <f t="shared" ca="1" si="4"/>
        <v>20131.399121789382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4866.6653322006277</v>
      </c>
      <c r="D43" s="681">
        <f ca="1">industrie!C22</f>
        <v>0</v>
      </c>
      <c r="E43" s="681">
        <f>industrie!D22</f>
        <v>7615.5197768867711</v>
      </c>
      <c r="F43" s="681">
        <f>industrie!E22</f>
        <v>250.2319044908466</v>
      </c>
      <c r="G43" s="681">
        <f>industrie!F22</f>
        <v>855.23975139491893</v>
      </c>
      <c r="H43" s="681">
        <f>industrie!G22</f>
        <v>0</v>
      </c>
      <c r="I43" s="681">
        <f>industrie!H22</f>
        <v>0</v>
      </c>
      <c r="J43" s="681">
        <f>industrie!I22</f>
        <v>0</v>
      </c>
      <c r="K43" s="681">
        <f>industrie!J22</f>
        <v>95.105252583433554</v>
      </c>
      <c r="L43" s="681">
        <f>industrie!K22</f>
        <v>0</v>
      </c>
      <c r="M43" s="681">
        <f>industrie!L22</f>
        <v>0</v>
      </c>
      <c r="N43" s="681">
        <f>industrie!M22</f>
        <v>0</v>
      </c>
      <c r="O43" s="681">
        <f>industrie!N22</f>
        <v>0</v>
      </c>
      <c r="P43" s="681">
        <f>industrie!O22</f>
        <v>0</v>
      </c>
      <c r="Q43" s="764">
        <f>industrie!P22</f>
        <v>0</v>
      </c>
      <c r="R43" s="842">
        <f t="shared" ca="1" si="4"/>
        <v>13682.762017556597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13559.832190062194</v>
      </c>
      <c r="D46" s="717">
        <f t="shared" ref="D46:Q46" ca="1" si="5">SUM(D39:D45)</f>
        <v>0</v>
      </c>
      <c r="E46" s="717">
        <f t="shared" ca="1" si="5"/>
        <v>20769.279404649249</v>
      </c>
      <c r="F46" s="717">
        <f t="shared" si="5"/>
        <v>502.6817377939077</v>
      </c>
      <c r="G46" s="717">
        <f t="shared" ca="1" si="5"/>
        <v>8485.1546165765139</v>
      </c>
      <c r="H46" s="717">
        <f t="shared" si="5"/>
        <v>0</v>
      </c>
      <c r="I46" s="717">
        <f t="shared" si="5"/>
        <v>0</v>
      </c>
      <c r="J46" s="717">
        <f t="shared" si="5"/>
        <v>0</v>
      </c>
      <c r="K46" s="717">
        <f t="shared" si="5"/>
        <v>138.77522446555261</v>
      </c>
      <c r="L46" s="717">
        <f t="shared" si="5"/>
        <v>0</v>
      </c>
      <c r="M46" s="717">
        <f t="shared" ca="1" si="5"/>
        <v>0</v>
      </c>
      <c r="N46" s="717">
        <f t="shared" si="5"/>
        <v>0</v>
      </c>
      <c r="O46" s="717">
        <f t="shared" ca="1" si="5"/>
        <v>0</v>
      </c>
      <c r="P46" s="717">
        <f t="shared" si="5"/>
        <v>0</v>
      </c>
      <c r="Q46" s="717">
        <f t="shared" si="5"/>
        <v>0</v>
      </c>
      <c r="R46" s="717">
        <f ca="1">SUM(R39:R45)</f>
        <v>43455.72317354742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2.7451463120549557</v>
      </c>
      <c r="D49" s="681">
        <f ca="1">transport!C58</f>
        <v>0</v>
      </c>
      <c r="E49" s="681">
        <f>transport!D58</f>
        <v>0</v>
      </c>
      <c r="F49" s="681">
        <f>transport!E58</f>
        <v>0</v>
      </c>
      <c r="G49" s="681">
        <f>transport!F58</f>
        <v>0</v>
      </c>
      <c r="H49" s="681">
        <f>transport!G58</f>
        <v>229.69277747159572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232.43792378365066</v>
      </c>
    </row>
    <row r="50" spans="1:18">
      <c r="A50" s="818" t="s">
        <v>296</v>
      </c>
      <c r="B50" s="828"/>
      <c r="C50" s="687">
        <f ca="1">transport!B18</f>
        <v>96.708429763125835</v>
      </c>
      <c r="D50" s="687">
        <f>transport!C18</f>
        <v>0</v>
      </c>
      <c r="E50" s="687">
        <f>transport!D18</f>
        <v>147.6067379272711</v>
      </c>
      <c r="F50" s="687">
        <f>transport!E18</f>
        <v>74.855427717632935</v>
      </c>
      <c r="G50" s="687">
        <f>transport!F18</f>
        <v>0</v>
      </c>
      <c r="H50" s="687">
        <f>transport!G18</f>
        <v>47198.672972779052</v>
      </c>
      <c r="I50" s="687">
        <f>transport!H18</f>
        <v>9203.8301362587299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56721.673704445813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99.453576075180791</v>
      </c>
      <c r="D52" s="717">
        <f t="shared" ref="D52:Q52" ca="1" si="6">SUM(D48:D51)</f>
        <v>0</v>
      </c>
      <c r="E52" s="717">
        <f t="shared" si="6"/>
        <v>147.6067379272711</v>
      </c>
      <c r="F52" s="717">
        <f t="shared" si="6"/>
        <v>74.855427717632935</v>
      </c>
      <c r="G52" s="717">
        <f t="shared" si="6"/>
        <v>0</v>
      </c>
      <c r="H52" s="717">
        <f t="shared" si="6"/>
        <v>47428.365750250647</v>
      </c>
      <c r="I52" s="717">
        <f t="shared" si="6"/>
        <v>9203.8301362587299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56954.111628229461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110.55548079376621</v>
      </c>
      <c r="D54" s="687">
        <f ca="1">+landbouw!C12</f>
        <v>0</v>
      </c>
      <c r="E54" s="687">
        <f>+landbouw!D12</f>
        <v>11.409794263434001</v>
      </c>
      <c r="F54" s="687">
        <f>+landbouw!E12</f>
        <v>3.5981567953680291</v>
      </c>
      <c r="G54" s="687">
        <f>+landbouw!F12</f>
        <v>467.74252874767222</v>
      </c>
      <c r="H54" s="687">
        <f>+landbouw!G12</f>
        <v>0</v>
      </c>
      <c r="I54" s="687">
        <f>+landbouw!H12</f>
        <v>0</v>
      </c>
      <c r="J54" s="687">
        <f>+landbouw!I12</f>
        <v>0</v>
      </c>
      <c r="K54" s="687">
        <f>+landbouw!J12</f>
        <v>49.814014421180488</v>
      </c>
      <c r="L54" s="687">
        <f>+landbouw!K12</f>
        <v>0</v>
      </c>
      <c r="M54" s="687">
        <f>+landbouw!L12</f>
        <v>0</v>
      </c>
      <c r="N54" s="687">
        <f>+landbouw!M12</f>
        <v>0</v>
      </c>
      <c r="O54" s="687">
        <f>+landbouw!N12</f>
        <v>0</v>
      </c>
      <c r="P54" s="687">
        <f>+landbouw!O12</f>
        <v>0</v>
      </c>
      <c r="Q54" s="688">
        <f>+landbouw!P12</f>
        <v>0</v>
      </c>
      <c r="R54" s="716">
        <f ca="1">SUM(C54:Q54)</f>
        <v>643.11997502142094</v>
      </c>
    </row>
    <row r="55" spans="1:18" ht="15" thickBot="1">
      <c r="A55" s="818" t="s">
        <v>690</v>
      </c>
      <c r="B55" s="828"/>
      <c r="C55" s="687">
        <f ca="1">C25*'EF ele_warmte'!B12</f>
        <v>80.373047081760021</v>
      </c>
      <c r="D55" s="687"/>
      <c r="E55" s="687">
        <f>E25*EF_CO2_aardgas</f>
        <v>280.71969646491823</v>
      </c>
      <c r="F55" s="687"/>
      <c r="G55" s="687"/>
      <c r="H55" s="687"/>
      <c r="I55" s="687"/>
      <c r="J55" s="687"/>
      <c r="K55" s="687"/>
      <c r="L55" s="687"/>
      <c r="M55" s="687"/>
      <c r="N55" s="687"/>
      <c r="O55" s="687"/>
      <c r="P55" s="687"/>
      <c r="Q55" s="688"/>
      <c r="R55" s="716">
        <f ca="1">SUM(C55:Q55)</f>
        <v>361.09274354667826</v>
      </c>
    </row>
    <row r="56" spans="1:18" ht="15.75" thickBot="1">
      <c r="A56" s="816" t="s">
        <v>691</v>
      </c>
      <c r="B56" s="829"/>
      <c r="C56" s="717">
        <f ca="1">SUM(C54:C55)</f>
        <v>190.92852787552624</v>
      </c>
      <c r="D56" s="717">
        <f t="shared" ref="D56:Q56" ca="1" si="7">SUM(D54:D55)</f>
        <v>0</v>
      </c>
      <c r="E56" s="717">
        <f t="shared" si="7"/>
        <v>292.12949072835221</v>
      </c>
      <c r="F56" s="717">
        <f t="shared" si="7"/>
        <v>3.5981567953680291</v>
      </c>
      <c r="G56" s="717">
        <f t="shared" si="7"/>
        <v>467.74252874767222</v>
      </c>
      <c r="H56" s="717">
        <f t="shared" si="7"/>
        <v>0</v>
      </c>
      <c r="I56" s="717">
        <f t="shared" si="7"/>
        <v>0</v>
      </c>
      <c r="J56" s="717">
        <f t="shared" si="7"/>
        <v>0</v>
      </c>
      <c r="K56" s="717">
        <f t="shared" si="7"/>
        <v>49.814014421180488</v>
      </c>
      <c r="L56" s="717">
        <f t="shared" si="7"/>
        <v>0</v>
      </c>
      <c r="M56" s="717">
        <f t="shared" si="7"/>
        <v>0</v>
      </c>
      <c r="N56" s="717">
        <f t="shared" si="7"/>
        <v>0</v>
      </c>
      <c r="O56" s="717">
        <f t="shared" si="7"/>
        <v>0</v>
      </c>
      <c r="P56" s="717">
        <f t="shared" si="7"/>
        <v>0</v>
      </c>
      <c r="Q56" s="718">
        <f t="shared" si="7"/>
        <v>0</v>
      </c>
      <c r="R56" s="719">
        <f ca="1">SUM(R54:R55)</f>
        <v>1004.2127185680993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13850.214294012902</v>
      </c>
      <c r="D61" s="725">
        <f t="shared" ref="D61:Q61" ca="1" si="8">D46+D52+D56</f>
        <v>0</v>
      </c>
      <c r="E61" s="725">
        <f t="shared" ca="1" si="8"/>
        <v>21209.015633304873</v>
      </c>
      <c r="F61" s="725">
        <f t="shared" si="8"/>
        <v>581.13532230690862</v>
      </c>
      <c r="G61" s="725">
        <f t="shared" ca="1" si="8"/>
        <v>8952.8971453241866</v>
      </c>
      <c r="H61" s="725">
        <f t="shared" si="8"/>
        <v>47428.365750250647</v>
      </c>
      <c r="I61" s="725">
        <f t="shared" si="8"/>
        <v>9203.8301362587299</v>
      </c>
      <c r="J61" s="725">
        <f t="shared" si="8"/>
        <v>0</v>
      </c>
      <c r="K61" s="725">
        <f t="shared" si="8"/>
        <v>188.58923888673309</v>
      </c>
      <c r="L61" s="725">
        <f t="shared" si="8"/>
        <v>0</v>
      </c>
      <c r="M61" s="725">
        <f t="shared" ca="1" si="8"/>
        <v>0</v>
      </c>
      <c r="N61" s="725">
        <f t="shared" si="8"/>
        <v>0</v>
      </c>
      <c r="O61" s="725">
        <f t="shared" ca="1" si="8"/>
        <v>0</v>
      </c>
      <c r="P61" s="725">
        <f t="shared" si="8"/>
        <v>0</v>
      </c>
      <c r="Q61" s="725">
        <f t="shared" si="8"/>
        <v>0</v>
      </c>
      <c r="R61" s="725">
        <f ca="1">R46+R52+R56</f>
        <v>101414.04752034499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0.19976744967505317</v>
      </c>
      <c r="D63" s="771">
        <f t="shared" ca="1" si="9"/>
        <v>0</v>
      </c>
      <c r="E63" s="963">
        <f t="shared" ca="1" si="9"/>
        <v>0.20199999999999996</v>
      </c>
      <c r="F63" s="771">
        <f t="shared" si="9"/>
        <v>0.22699999999999992</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6661.0340876858572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6661.0340876858572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20959.550859157898</v>
      </c>
      <c r="C4" s="447">
        <f>huishoudens!C8</f>
        <v>0</v>
      </c>
      <c r="D4" s="447">
        <f>huishoudens!D8</f>
        <v>49009.652106940237</v>
      </c>
      <c r="E4" s="447">
        <f>huishoudens!E8</f>
        <v>987.60731127847134</v>
      </c>
      <c r="F4" s="447">
        <f>huishoudens!F8</f>
        <v>21635.123535383169</v>
      </c>
      <c r="G4" s="447">
        <f>huishoudens!G8</f>
        <v>0</v>
      </c>
      <c r="H4" s="447">
        <f>huishoudens!H8</f>
        <v>0</v>
      </c>
      <c r="I4" s="447">
        <f>huishoudens!I8</f>
        <v>0</v>
      </c>
      <c r="J4" s="447">
        <f>huishoudens!J8</f>
        <v>123.30093534291989</v>
      </c>
      <c r="K4" s="447">
        <f>huishoudens!K8</f>
        <v>0</v>
      </c>
      <c r="L4" s="447">
        <f>huishoudens!L8</f>
        <v>0</v>
      </c>
      <c r="M4" s="447">
        <f>huishoudens!M8</f>
        <v>0</v>
      </c>
      <c r="N4" s="447">
        <f>huishoudens!N8</f>
        <v>6098.702928161385</v>
      </c>
      <c r="O4" s="447">
        <f>huishoudens!O8</f>
        <v>198.39582193870316</v>
      </c>
      <c r="P4" s="448">
        <f>huishoudens!P8</f>
        <v>737.37715153795159</v>
      </c>
      <c r="Q4" s="449">
        <f>SUM(B4:P4)</f>
        <v>99749.710649740722</v>
      </c>
    </row>
    <row r="5" spans="1:17">
      <c r="A5" s="446" t="s">
        <v>149</v>
      </c>
      <c r="B5" s="447">
        <f ca="1">tertiair!B16</f>
        <v>21983.617233430978</v>
      </c>
      <c r="C5" s="447">
        <f ca="1">tertiair!C16</f>
        <v>0</v>
      </c>
      <c r="D5" s="447">
        <f ca="1">tertiair!D16</f>
        <v>16107.969812676001</v>
      </c>
      <c r="E5" s="447">
        <f>tertiair!E16</f>
        <v>124.50649181871421</v>
      </c>
      <c r="F5" s="447">
        <f ca="1">tertiair!F16</f>
        <v>6941.3366338362875</v>
      </c>
      <c r="G5" s="447">
        <f>tertiair!G16</f>
        <v>0</v>
      </c>
      <c r="H5" s="447">
        <f>tertiair!H16</f>
        <v>0</v>
      </c>
      <c r="I5" s="447">
        <f>tertiair!I16</f>
        <v>0</v>
      </c>
      <c r="J5" s="447">
        <f>tertiair!J16</f>
        <v>6.0567148941854207E-2</v>
      </c>
      <c r="K5" s="447">
        <f>tertiair!K16</f>
        <v>0</v>
      </c>
      <c r="L5" s="447">
        <f ca="1">tertiair!L16</f>
        <v>0</v>
      </c>
      <c r="M5" s="447">
        <f>tertiair!M16</f>
        <v>0</v>
      </c>
      <c r="N5" s="447">
        <f ca="1">tertiair!N16</f>
        <v>2307.8128117803658</v>
      </c>
      <c r="O5" s="447">
        <f>tertiair!O16</f>
        <v>9.7945215316823084</v>
      </c>
      <c r="P5" s="448">
        <f>tertiair!P16</f>
        <v>472.85224475845519</v>
      </c>
      <c r="Q5" s="446">
        <f t="shared" ref="Q5:Q14" ca="1" si="0">SUM(B5:P5)</f>
        <v>47947.95031698142</v>
      </c>
    </row>
    <row r="6" spans="1:17">
      <c r="A6" s="446" t="s">
        <v>187</v>
      </c>
      <c r="B6" s="447">
        <f>'openbare verlichting'!B8</f>
        <v>573.26499999999999</v>
      </c>
      <c r="C6" s="447"/>
      <c r="D6" s="447"/>
      <c r="E6" s="447"/>
      <c r="F6" s="447"/>
      <c r="G6" s="447"/>
      <c r="H6" s="447"/>
      <c r="I6" s="447"/>
      <c r="J6" s="447"/>
      <c r="K6" s="447"/>
      <c r="L6" s="447"/>
      <c r="M6" s="447"/>
      <c r="N6" s="447"/>
      <c r="O6" s="447"/>
      <c r="P6" s="448"/>
      <c r="Q6" s="446">
        <f t="shared" si="0"/>
        <v>573.26499999999999</v>
      </c>
    </row>
    <row r="7" spans="1:17">
      <c r="A7" s="446" t="s">
        <v>105</v>
      </c>
      <c r="B7" s="447">
        <f>landbouw!B8</f>
        <v>553.42089501367002</v>
      </c>
      <c r="C7" s="447">
        <f>landbouw!C8</f>
        <v>0</v>
      </c>
      <c r="D7" s="447">
        <f>landbouw!D8</f>
        <v>56.484130017000005</v>
      </c>
      <c r="E7" s="447">
        <f>landbouw!E8</f>
        <v>15.8509109928107</v>
      </c>
      <c r="F7" s="447">
        <f>landbouw!F8</f>
        <v>1751.8446769575737</v>
      </c>
      <c r="G7" s="447">
        <f>landbouw!G8</f>
        <v>0</v>
      </c>
      <c r="H7" s="447">
        <f>landbouw!H8</f>
        <v>0</v>
      </c>
      <c r="I7" s="447">
        <f>landbouw!I8</f>
        <v>0</v>
      </c>
      <c r="J7" s="447">
        <f>landbouw!J8</f>
        <v>140.71755486209179</v>
      </c>
      <c r="K7" s="447">
        <f>landbouw!K8</f>
        <v>0</v>
      </c>
      <c r="L7" s="447">
        <f>landbouw!L8</f>
        <v>0</v>
      </c>
      <c r="M7" s="447">
        <f>landbouw!M8</f>
        <v>0</v>
      </c>
      <c r="N7" s="447">
        <f>landbouw!N8</f>
        <v>0</v>
      </c>
      <c r="O7" s="447">
        <f>landbouw!O8</f>
        <v>0</v>
      </c>
      <c r="P7" s="448">
        <f>landbouw!P8</f>
        <v>0</v>
      </c>
      <c r="Q7" s="446">
        <f t="shared" si="0"/>
        <v>2518.3181678431461</v>
      </c>
    </row>
    <row r="8" spans="1:17">
      <c r="A8" s="446" t="s">
        <v>611</v>
      </c>
      <c r="B8" s="447">
        <f>industrie!B18</f>
        <v>24361.6532128576</v>
      </c>
      <c r="C8" s="447">
        <f>industrie!C18</f>
        <v>0</v>
      </c>
      <c r="D8" s="447">
        <f>industrie!D18</f>
        <v>37700.592954885004</v>
      </c>
      <c r="E8" s="447">
        <f>industrie!E18</f>
        <v>1102.3431915896326</v>
      </c>
      <c r="F8" s="447">
        <f>industrie!F18</f>
        <v>3203.1451363105575</v>
      </c>
      <c r="G8" s="447">
        <f>industrie!G18</f>
        <v>0</v>
      </c>
      <c r="H8" s="447">
        <f>industrie!H18</f>
        <v>0</v>
      </c>
      <c r="I8" s="447">
        <f>industrie!I18</f>
        <v>0</v>
      </c>
      <c r="J8" s="447">
        <f>industrie!J18</f>
        <v>268.65890560291967</v>
      </c>
      <c r="K8" s="447">
        <f>industrie!K18</f>
        <v>0</v>
      </c>
      <c r="L8" s="447">
        <f>industrie!L18</f>
        <v>0</v>
      </c>
      <c r="M8" s="447">
        <f>industrie!M18</f>
        <v>0</v>
      </c>
      <c r="N8" s="447">
        <f>industrie!N18</f>
        <v>4477.6324970825672</v>
      </c>
      <c r="O8" s="447">
        <f>industrie!O18</f>
        <v>0</v>
      </c>
      <c r="P8" s="448">
        <f>industrie!P18</f>
        <v>0</v>
      </c>
      <c r="Q8" s="446">
        <f t="shared" si="0"/>
        <v>71114.025898328284</v>
      </c>
    </row>
    <row r="9" spans="1:17" s="452" customFormat="1">
      <c r="A9" s="450" t="s">
        <v>537</v>
      </c>
      <c r="B9" s="451">
        <f>transport!B14</f>
        <v>484.10504274061782</v>
      </c>
      <c r="C9" s="451">
        <f>transport!C14</f>
        <v>0</v>
      </c>
      <c r="D9" s="451">
        <f>transport!D14</f>
        <v>730.72642538253012</v>
      </c>
      <c r="E9" s="451">
        <f>transport!E14</f>
        <v>329.75959346974861</v>
      </c>
      <c r="F9" s="451">
        <f>transport!F14</f>
        <v>0</v>
      </c>
      <c r="G9" s="451">
        <f>transport!G14</f>
        <v>176774.05607782415</v>
      </c>
      <c r="H9" s="451">
        <f>transport!H14</f>
        <v>36963.17323798687</v>
      </c>
      <c r="I9" s="451">
        <f>transport!I14</f>
        <v>0</v>
      </c>
      <c r="J9" s="451">
        <f>transport!J14</f>
        <v>0</v>
      </c>
      <c r="K9" s="451">
        <f>transport!K14</f>
        <v>0</v>
      </c>
      <c r="L9" s="451">
        <f>transport!L14</f>
        <v>0</v>
      </c>
      <c r="M9" s="451">
        <f>transport!M14</f>
        <v>12770.409736877142</v>
      </c>
      <c r="N9" s="451">
        <f>transport!N14</f>
        <v>0</v>
      </c>
      <c r="O9" s="451">
        <f>transport!O14</f>
        <v>0</v>
      </c>
      <c r="P9" s="451">
        <f>transport!P14</f>
        <v>0</v>
      </c>
      <c r="Q9" s="450">
        <f>SUM(B9:P9)</f>
        <v>228052.23011428103</v>
      </c>
    </row>
    <row r="10" spans="1:17">
      <c r="A10" s="446" t="s">
        <v>527</v>
      </c>
      <c r="B10" s="447">
        <f>transport!B54</f>
        <v>13.741709755619752</v>
      </c>
      <c r="C10" s="447">
        <f>transport!C54</f>
        <v>0</v>
      </c>
      <c r="D10" s="447">
        <f>transport!D54</f>
        <v>0</v>
      </c>
      <c r="E10" s="447">
        <f>transport!E54</f>
        <v>0</v>
      </c>
      <c r="F10" s="447">
        <f>transport!F54</f>
        <v>0</v>
      </c>
      <c r="G10" s="447">
        <f>transport!G54</f>
        <v>860.27257479998389</v>
      </c>
      <c r="H10" s="447">
        <f>transport!H54</f>
        <v>0</v>
      </c>
      <c r="I10" s="447">
        <f>transport!I54</f>
        <v>0</v>
      </c>
      <c r="J10" s="447">
        <f>transport!J54</f>
        <v>0</v>
      </c>
      <c r="K10" s="447">
        <f>transport!K54</f>
        <v>0</v>
      </c>
      <c r="L10" s="447">
        <f>transport!L54</f>
        <v>0</v>
      </c>
      <c r="M10" s="447">
        <f>transport!M54</f>
        <v>49.394946401225688</v>
      </c>
      <c r="N10" s="447">
        <f>transport!N54</f>
        <v>0</v>
      </c>
      <c r="O10" s="447">
        <f>transport!O54</f>
        <v>0</v>
      </c>
      <c r="P10" s="448">
        <f>transport!P54</f>
        <v>0</v>
      </c>
      <c r="Q10" s="446">
        <f t="shared" si="0"/>
        <v>923.40923095682922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402.33304881499402</v>
      </c>
      <c r="C14" s="454"/>
      <c r="D14" s="454">
        <f>'SEAP template'!E25</f>
        <v>1389.7014676481099</v>
      </c>
      <c r="E14" s="454"/>
      <c r="F14" s="454"/>
      <c r="G14" s="454"/>
      <c r="H14" s="454"/>
      <c r="I14" s="454"/>
      <c r="J14" s="454"/>
      <c r="K14" s="454"/>
      <c r="L14" s="454"/>
      <c r="M14" s="454"/>
      <c r="N14" s="454"/>
      <c r="O14" s="454"/>
      <c r="P14" s="455"/>
      <c r="Q14" s="446">
        <f t="shared" si="0"/>
        <v>1792.034516463104</v>
      </c>
    </row>
    <row r="15" spans="1:17" s="458" customFormat="1">
      <c r="A15" s="456" t="s">
        <v>531</v>
      </c>
      <c r="B15" s="457">
        <f ca="1">SUM(B4:B14)</f>
        <v>69331.687001771381</v>
      </c>
      <c r="C15" s="457">
        <f t="shared" ref="C15:Q15" ca="1" si="1">SUM(C4:C14)</f>
        <v>0</v>
      </c>
      <c r="D15" s="457">
        <f t="shared" ca="1" si="1"/>
        <v>104995.12689754888</v>
      </c>
      <c r="E15" s="457">
        <f t="shared" si="1"/>
        <v>2560.0674991493775</v>
      </c>
      <c r="F15" s="457">
        <f t="shared" ca="1" si="1"/>
        <v>33531.449982487589</v>
      </c>
      <c r="G15" s="457">
        <f t="shared" si="1"/>
        <v>177634.32865262413</v>
      </c>
      <c r="H15" s="457">
        <f t="shared" si="1"/>
        <v>36963.17323798687</v>
      </c>
      <c r="I15" s="457">
        <f t="shared" si="1"/>
        <v>0</v>
      </c>
      <c r="J15" s="457">
        <f t="shared" si="1"/>
        <v>532.73796295687316</v>
      </c>
      <c r="K15" s="457">
        <f t="shared" si="1"/>
        <v>0</v>
      </c>
      <c r="L15" s="457">
        <f t="shared" ca="1" si="1"/>
        <v>0</v>
      </c>
      <c r="M15" s="457">
        <f t="shared" si="1"/>
        <v>12819.804683278368</v>
      </c>
      <c r="N15" s="457">
        <f t="shared" ca="1" si="1"/>
        <v>12884.148237024317</v>
      </c>
      <c r="O15" s="457">
        <f t="shared" si="1"/>
        <v>208.19034347038547</v>
      </c>
      <c r="P15" s="457">
        <f t="shared" si="1"/>
        <v>1210.2293962964068</v>
      </c>
      <c r="Q15" s="457">
        <f t="shared" ca="1" si="1"/>
        <v>452670.94389459456</v>
      </c>
    </row>
    <row r="17" spans="1:17">
      <c r="A17" s="459" t="s">
        <v>532</v>
      </c>
      <c r="B17" s="776">
        <f ca="1">huishoudens!B10</f>
        <v>0.19976744967505317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4187.0360214685425</v>
      </c>
      <c r="C22" s="447">
        <f t="shared" ref="C22:C32" ca="1" si="3">C4*$C$17</f>
        <v>0</v>
      </c>
      <c r="D22" s="447">
        <f t="shared" ref="D22:D32" si="4">D4*$D$17</f>
        <v>9899.9497256019276</v>
      </c>
      <c r="E22" s="447">
        <f t="shared" ref="E22:E32" si="5">E4*$E$17</f>
        <v>224.186859660213</v>
      </c>
      <c r="F22" s="447">
        <f t="shared" ref="F22:F32" si="6">F4*$F$17</f>
        <v>5776.5779839473062</v>
      </c>
      <c r="G22" s="447">
        <f t="shared" ref="G22:G32" si="7">G4*$G$17</f>
        <v>0</v>
      </c>
      <c r="H22" s="447">
        <f t="shared" ref="H22:H32" si="8">H4*$H$17</f>
        <v>0</v>
      </c>
      <c r="I22" s="447">
        <f t="shared" ref="I22:I32" si="9">I4*$I$17</f>
        <v>0</v>
      </c>
      <c r="J22" s="447">
        <f t="shared" ref="J22:J32" si="10">J4*$J$17</f>
        <v>43.648531111393638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20131.399121789382</v>
      </c>
    </row>
    <row r="23" spans="1:17">
      <c r="A23" s="446" t="s">
        <v>149</v>
      </c>
      <c r="B23" s="447">
        <f t="shared" ca="1" si="2"/>
        <v>4391.6111493550543</v>
      </c>
      <c r="C23" s="447">
        <f t="shared" ca="1" si="3"/>
        <v>0</v>
      </c>
      <c r="D23" s="447">
        <f t="shared" ca="1" si="4"/>
        <v>3253.8099021605526</v>
      </c>
      <c r="E23" s="447">
        <f t="shared" si="5"/>
        <v>28.262973642848127</v>
      </c>
      <c r="F23" s="447">
        <f t="shared" ca="1" si="6"/>
        <v>1853.336881234289</v>
      </c>
      <c r="G23" s="447">
        <f t="shared" si="7"/>
        <v>0</v>
      </c>
      <c r="H23" s="447">
        <f t="shared" si="8"/>
        <v>0</v>
      </c>
      <c r="I23" s="447">
        <f t="shared" si="9"/>
        <v>0</v>
      </c>
      <c r="J23" s="447">
        <f t="shared" si="10"/>
        <v>2.1440770725416388E-2</v>
      </c>
      <c r="K23" s="447">
        <f t="shared" si="11"/>
        <v>0</v>
      </c>
      <c r="L23" s="447">
        <f t="shared" ca="1" si="12"/>
        <v>0</v>
      </c>
      <c r="M23" s="447">
        <f t="shared" si="13"/>
        <v>0</v>
      </c>
      <c r="N23" s="447">
        <f t="shared" ca="1" si="14"/>
        <v>0</v>
      </c>
      <c r="O23" s="447">
        <f t="shared" si="15"/>
        <v>0</v>
      </c>
      <c r="P23" s="448">
        <f t="shared" si="16"/>
        <v>0</v>
      </c>
      <c r="Q23" s="446">
        <f t="shared" ref="Q23:Q31" ca="1" si="17">SUM(B23:P23)</f>
        <v>9527.0423471634695</v>
      </c>
    </row>
    <row r="24" spans="1:17">
      <c r="A24" s="446" t="s">
        <v>187</v>
      </c>
      <c r="B24" s="447">
        <f t="shared" ca="1" si="2"/>
        <v>114.51968703796935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114.51968703796935</v>
      </c>
    </row>
    <row r="25" spans="1:17">
      <c r="A25" s="446" t="s">
        <v>105</v>
      </c>
      <c r="B25" s="447">
        <f t="shared" ca="1" si="2"/>
        <v>110.55548079376621</v>
      </c>
      <c r="C25" s="447">
        <f t="shared" ca="1" si="3"/>
        <v>0</v>
      </c>
      <c r="D25" s="447">
        <f t="shared" si="4"/>
        <v>11.409794263434001</v>
      </c>
      <c r="E25" s="447">
        <f t="shared" si="5"/>
        <v>3.5981567953680291</v>
      </c>
      <c r="F25" s="447">
        <f t="shared" si="6"/>
        <v>467.74252874767222</v>
      </c>
      <c r="G25" s="447">
        <f t="shared" si="7"/>
        <v>0</v>
      </c>
      <c r="H25" s="447">
        <f t="shared" si="8"/>
        <v>0</v>
      </c>
      <c r="I25" s="447">
        <f t="shared" si="9"/>
        <v>0</v>
      </c>
      <c r="J25" s="447">
        <f t="shared" si="10"/>
        <v>49.814014421180488</v>
      </c>
      <c r="K25" s="447">
        <f t="shared" si="11"/>
        <v>0</v>
      </c>
      <c r="L25" s="447">
        <f t="shared" si="12"/>
        <v>0</v>
      </c>
      <c r="M25" s="447">
        <f t="shared" si="13"/>
        <v>0</v>
      </c>
      <c r="N25" s="447">
        <f t="shared" si="14"/>
        <v>0</v>
      </c>
      <c r="O25" s="447">
        <f t="shared" si="15"/>
        <v>0</v>
      </c>
      <c r="P25" s="448">
        <f t="shared" si="16"/>
        <v>0</v>
      </c>
      <c r="Q25" s="446">
        <f t="shared" ca="1" si="17"/>
        <v>643.11997502142094</v>
      </c>
    </row>
    <row r="26" spans="1:17">
      <c r="A26" s="446" t="s">
        <v>611</v>
      </c>
      <c r="B26" s="447">
        <f t="shared" ca="1" si="2"/>
        <v>4866.6653322006277</v>
      </c>
      <c r="C26" s="447">
        <f t="shared" ca="1" si="3"/>
        <v>0</v>
      </c>
      <c r="D26" s="447">
        <f t="shared" si="4"/>
        <v>7615.5197768867711</v>
      </c>
      <c r="E26" s="447">
        <f t="shared" si="5"/>
        <v>250.2319044908466</v>
      </c>
      <c r="F26" s="447">
        <f t="shared" si="6"/>
        <v>855.23975139491893</v>
      </c>
      <c r="G26" s="447">
        <f t="shared" si="7"/>
        <v>0</v>
      </c>
      <c r="H26" s="447">
        <f t="shared" si="8"/>
        <v>0</v>
      </c>
      <c r="I26" s="447">
        <f t="shared" si="9"/>
        <v>0</v>
      </c>
      <c r="J26" s="447">
        <f t="shared" si="10"/>
        <v>95.105252583433554</v>
      </c>
      <c r="K26" s="447">
        <f t="shared" si="11"/>
        <v>0</v>
      </c>
      <c r="L26" s="447">
        <f t="shared" si="12"/>
        <v>0</v>
      </c>
      <c r="M26" s="447">
        <f t="shared" si="13"/>
        <v>0</v>
      </c>
      <c r="N26" s="447">
        <f t="shared" si="14"/>
        <v>0</v>
      </c>
      <c r="O26" s="447">
        <f t="shared" si="15"/>
        <v>0</v>
      </c>
      <c r="P26" s="448">
        <f t="shared" si="16"/>
        <v>0</v>
      </c>
      <c r="Q26" s="446">
        <f t="shared" ca="1" si="17"/>
        <v>13682.762017556597</v>
      </c>
    </row>
    <row r="27" spans="1:17" s="452" customFormat="1">
      <c r="A27" s="450" t="s">
        <v>537</v>
      </c>
      <c r="B27" s="770">
        <f t="shared" ca="1" si="2"/>
        <v>96.708429763125835</v>
      </c>
      <c r="C27" s="451">
        <f t="shared" ca="1" si="3"/>
        <v>0</v>
      </c>
      <c r="D27" s="451">
        <f t="shared" si="4"/>
        <v>147.6067379272711</v>
      </c>
      <c r="E27" s="451">
        <f t="shared" si="5"/>
        <v>74.855427717632935</v>
      </c>
      <c r="F27" s="451">
        <f t="shared" si="6"/>
        <v>0</v>
      </c>
      <c r="G27" s="451">
        <f t="shared" si="7"/>
        <v>47198.672972779052</v>
      </c>
      <c r="H27" s="451">
        <f t="shared" si="8"/>
        <v>9203.8301362587299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56721.673704445813</v>
      </c>
    </row>
    <row r="28" spans="1:17" ht="16.5" customHeight="1">
      <c r="A28" s="446" t="s">
        <v>527</v>
      </c>
      <c r="B28" s="447">
        <f t="shared" ca="1" si="2"/>
        <v>2.7451463120549557</v>
      </c>
      <c r="C28" s="447">
        <f t="shared" ca="1" si="3"/>
        <v>0</v>
      </c>
      <c r="D28" s="447">
        <f t="shared" si="4"/>
        <v>0</v>
      </c>
      <c r="E28" s="447">
        <f t="shared" si="5"/>
        <v>0</v>
      </c>
      <c r="F28" s="447">
        <f t="shared" si="6"/>
        <v>0</v>
      </c>
      <c r="G28" s="447">
        <f t="shared" si="7"/>
        <v>229.69277747159572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232.43792378365066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80.373047081760021</v>
      </c>
      <c r="C32" s="447">
        <f t="shared" ca="1" si="3"/>
        <v>0</v>
      </c>
      <c r="D32" s="447">
        <f t="shared" si="4"/>
        <v>280.71969646491823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361.09274354667826</v>
      </c>
    </row>
    <row r="33" spans="1:17" s="458" customFormat="1">
      <c r="A33" s="456" t="s">
        <v>531</v>
      </c>
      <c r="B33" s="457">
        <f ca="1">SUM(B22:B32)</f>
        <v>13850.214294012902</v>
      </c>
      <c r="C33" s="457">
        <f t="shared" ref="C33:Q33" ca="1" si="19">SUM(C22:C32)</f>
        <v>0</v>
      </c>
      <c r="D33" s="457">
        <f t="shared" ca="1" si="19"/>
        <v>21209.015633304876</v>
      </c>
      <c r="E33" s="457">
        <f t="shared" si="19"/>
        <v>581.13532230690873</v>
      </c>
      <c r="F33" s="457">
        <f t="shared" ca="1" si="19"/>
        <v>8952.8971453241866</v>
      </c>
      <c r="G33" s="457">
        <f t="shared" si="19"/>
        <v>47428.365750250647</v>
      </c>
      <c r="H33" s="457">
        <f t="shared" si="19"/>
        <v>9203.8301362587299</v>
      </c>
      <c r="I33" s="457">
        <f t="shared" si="19"/>
        <v>0</v>
      </c>
      <c r="J33" s="457">
        <f t="shared" si="19"/>
        <v>188.58923888673309</v>
      </c>
      <c r="K33" s="457">
        <f t="shared" si="19"/>
        <v>0</v>
      </c>
      <c r="L33" s="457">
        <f t="shared" ca="1" si="19"/>
        <v>0</v>
      </c>
      <c r="M33" s="457">
        <f t="shared" si="19"/>
        <v>0</v>
      </c>
      <c r="N33" s="457">
        <f t="shared" ca="1" si="19"/>
        <v>0</v>
      </c>
      <c r="O33" s="457">
        <f t="shared" si="19"/>
        <v>0</v>
      </c>
      <c r="P33" s="457">
        <f t="shared" si="19"/>
        <v>0</v>
      </c>
      <c r="Q33" s="457">
        <f t="shared" ca="1" si="19"/>
        <v>101414.04752034498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6661.0340876858572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6661.0340876858572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0.19976744967505317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0.19976744967505317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0.19976744967505317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0.19976744967505317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758.54</v>
      </c>
      <c r="C14" s="326"/>
      <c r="D14" s="326"/>
      <c r="E14" s="326"/>
      <c r="F14" s="326"/>
    </row>
    <row r="15" spans="1:6">
      <c r="A15" s="1310" t="s">
        <v>177</v>
      </c>
      <c r="B15" s="1311">
        <v>264</v>
      </c>
      <c r="C15" s="326"/>
      <c r="D15" s="326"/>
      <c r="E15" s="326"/>
      <c r="F15" s="326"/>
    </row>
    <row r="16" spans="1:6">
      <c r="A16" s="1310" t="s">
        <v>6</v>
      </c>
      <c r="B16" s="1311">
        <v>798</v>
      </c>
      <c r="C16" s="326"/>
      <c r="D16" s="326"/>
      <c r="E16" s="326"/>
      <c r="F16" s="326"/>
    </row>
    <row r="17" spans="1:6">
      <c r="A17" s="1310" t="s">
        <v>7</v>
      </c>
      <c r="B17" s="1311">
        <v>6</v>
      </c>
      <c r="C17" s="326"/>
      <c r="D17" s="326"/>
      <c r="E17" s="326"/>
      <c r="F17" s="326"/>
    </row>
    <row r="18" spans="1:6">
      <c r="A18" s="1310" t="s">
        <v>8</v>
      </c>
      <c r="B18" s="1311">
        <v>388</v>
      </c>
      <c r="C18" s="326"/>
      <c r="D18" s="326"/>
      <c r="E18" s="326"/>
      <c r="F18" s="326"/>
    </row>
    <row r="19" spans="1:6">
      <c r="A19" s="1310" t="s">
        <v>9</v>
      </c>
      <c r="B19" s="1311">
        <v>322</v>
      </c>
      <c r="C19" s="326"/>
      <c r="D19" s="326"/>
      <c r="E19" s="326"/>
      <c r="F19" s="326"/>
    </row>
    <row r="20" spans="1:6">
      <c r="A20" s="1310" t="s">
        <v>10</v>
      </c>
      <c r="B20" s="1311">
        <v>220</v>
      </c>
      <c r="C20" s="326"/>
      <c r="D20" s="326"/>
      <c r="E20" s="326"/>
      <c r="F20" s="326"/>
    </row>
    <row r="21" spans="1:6">
      <c r="A21" s="1310" t="s">
        <v>11</v>
      </c>
      <c r="B21" s="1311">
        <v>834</v>
      </c>
      <c r="C21" s="326"/>
      <c r="D21" s="326"/>
      <c r="E21" s="326"/>
      <c r="F21" s="326"/>
    </row>
    <row r="22" spans="1:6">
      <c r="A22" s="1310" t="s">
        <v>12</v>
      </c>
      <c r="B22" s="1311">
        <v>3220</v>
      </c>
      <c r="C22" s="326"/>
      <c r="D22" s="326"/>
      <c r="E22" s="326"/>
      <c r="F22" s="326"/>
    </row>
    <row r="23" spans="1:6">
      <c r="A23" s="1310" t="s">
        <v>13</v>
      </c>
      <c r="B23" s="1311">
        <v>9</v>
      </c>
      <c r="C23" s="326"/>
      <c r="D23" s="326"/>
      <c r="E23" s="326"/>
      <c r="F23" s="326"/>
    </row>
    <row r="24" spans="1:6">
      <c r="A24" s="1310" t="s">
        <v>14</v>
      </c>
      <c r="B24" s="1311">
        <v>1</v>
      </c>
      <c r="C24" s="326"/>
      <c r="D24" s="326"/>
      <c r="E24" s="326"/>
      <c r="F24" s="326"/>
    </row>
    <row r="25" spans="1:6">
      <c r="A25" s="1310" t="s">
        <v>15</v>
      </c>
      <c r="B25" s="1311">
        <v>135</v>
      </c>
      <c r="C25" s="326"/>
      <c r="D25" s="326"/>
      <c r="E25" s="326"/>
      <c r="F25" s="326"/>
    </row>
    <row r="26" spans="1:6">
      <c r="A26" s="1310" t="s">
        <v>16</v>
      </c>
      <c r="B26" s="1311">
        <v>34</v>
      </c>
      <c r="C26" s="326"/>
      <c r="D26" s="326"/>
      <c r="E26" s="326"/>
      <c r="F26" s="326"/>
    </row>
    <row r="27" spans="1:6">
      <c r="A27" s="1310" t="s">
        <v>17</v>
      </c>
      <c r="B27" s="1311">
        <v>2</v>
      </c>
      <c r="C27" s="326"/>
      <c r="D27" s="326"/>
      <c r="E27" s="326"/>
      <c r="F27" s="326"/>
    </row>
    <row r="28" spans="1:6">
      <c r="A28" s="1310" t="s">
        <v>18</v>
      </c>
      <c r="B28" s="1312">
        <v>10</v>
      </c>
      <c r="C28" s="326"/>
      <c r="D28" s="326"/>
      <c r="E28" s="326"/>
      <c r="F28" s="326"/>
    </row>
    <row r="29" spans="1:6">
      <c r="A29" s="1310" t="s">
        <v>678</v>
      </c>
      <c r="B29" s="1312">
        <v>281</v>
      </c>
      <c r="C29" s="326"/>
      <c r="D29" s="326"/>
      <c r="E29" s="326"/>
      <c r="F29" s="326"/>
    </row>
    <row r="30" spans="1:6">
      <c r="A30" s="1305" t="s">
        <v>679</v>
      </c>
      <c r="B30" s="1313">
        <v>48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3932031.6359999999</v>
      </c>
      <c r="E36" s="1311">
        <v>7</v>
      </c>
      <c r="F36" s="1311">
        <v>48629.372368463002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3217</v>
      </c>
      <c r="D39" s="1311">
        <v>54274254.824961498</v>
      </c>
      <c r="E39" s="1311">
        <v>4639</v>
      </c>
      <c r="F39" s="1311">
        <v>17483944.581060499</v>
      </c>
    </row>
    <row r="40" spans="1:6">
      <c r="A40" s="1310" t="s">
        <v>29</v>
      </c>
      <c r="B40" s="1310" t="s">
        <v>28</v>
      </c>
      <c r="C40" s="1311">
        <v>0</v>
      </c>
      <c r="D40" s="1311">
        <v>0</v>
      </c>
      <c r="E40" s="1311">
        <v>0</v>
      </c>
      <c r="F40" s="1311">
        <v>0</v>
      </c>
    </row>
    <row r="41" spans="1:6">
      <c r="A41" s="1310" t="s">
        <v>31</v>
      </c>
      <c r="B41" s="1310" t="s">
        <v>32</v>
      </c>
      <c r="C41" s="1311">
        <v>70</v>
      </c>
      <c r="D41" s="1311">
        <v>15186061.023</v>
      </c>
      <c r="E41" s="1311">
        <v>127</v>
      </c>
      <c r="F41" s="1311">
        <v>2547998.6048880401</v>
      </c>
    </row>
    <row r="42" spans="1:6">
      <c r="A42" s="1310" t="s">
        <v>31</v>
      </c>
      <c r="B42" s="1310" t="s">
        <v>33</v>
      </c>
      <c r="C42" s="1311">
        <v>3</v>
      </c>
      <c r="D42" s="1311">
        <v>12318319.794</v>
      </c>
      <c r="E42" s="1311">
        <v>4</v>
      </c>
      <c r="F42" s="1311">
        <v>4387143.1099159298</v>
      </c>
    </row>
    <row r="43" spans="1:6">
      <c r="A43" s="1310" t="s">
        <v>31</v>
      </c>
      <c r="B43" s="1310" t="s">
        <v>34</v>
      </c>
      <c r="C43" s="1311">
        <v>0</v>
      </c>
      <c r="D43" s="1311">
        <v>0</v>
      </c>
      <c r="E43" s="1311">
        <v>0</v>
      </c>
      <c r="F43" s="1311">
        <v>0</v>
      </c>
    </row>
    <row r="44" spans="1:6">
      <c r="A44" s="1310" t="s">
        <v>31</v>
      </c>
      <c r="B44" s="1310" t="s">
        <v>35</v>
      </c>
      <c r="C44" s="1311">
        <v>9</v>
      </c>
      <c r="D44" s="1311">
        <v>1824630.206</v>
      </c>
      <c r="E44" s="1311">
        <v>14</v>
      </c>
      <c r="F44" s="1311">
        <v>3269731.7851379402</v>
      </c>
    </row>
    <row r="45" spans="1:6">
      <c r="A45" s="1310" t="s">
        <v>31</v>
      </c>
      <c r="B45" s="1310" t="s">
        <v>36</v>
      </c>
      <c r="C45" s="1311">
        <v>0</v>
      </c>
      <c r="D45" s="1311">
        <v>0</v>
      </c>
      <c r="E45" s="1311">
        <v>10</v>
      </c>
      <c r="F45" s="1311">
        <v>7364646.4612690797</v>
      </c>
    </row>
    <row r="46" spans="1:6">
      <c r="A46" s="1310" t="s">
        <v>31</v>
      </c>
      <c r="B46" s="1310" t="s">
        <v>37</v>
      </c>
      <c r="C46" s="1311">
        <v>0</v>
      </c>
      <c r="D46" s="1311">
        <v>0</v>
      </c>
      <c r="E46" s="1311">
        <v>0</v>
      </c>
      <c r="F46" s="1311">
        <v>0</v>
      </c>
    </row>
    <row r="47" spans="1:6">
      <c r="A47" s="1310" t="s">
        <v>31</v>
      </c>
      <c r="B47" s="1310" t="s">
        <v>38</v>
      </c>
      <c r="C47" s="1311">
        <v>3</v>
      </c>
      <c r="D47" s="1311">
        <v>489933.522</v>
      </c>
      <c r="E47" s="1311">
        <v>0</v>
      </c>
      <c r="F47" s="1311">
        <v>0</v>
      </c>
    </row>
    <row r="48" spans="1:6">
      <c r="A48" s="1310" t="s">
        <v>31</v>
      </c>
      <c r="B48" s="1310" t="s">
        <v>28</v>
      </c>
      <c r="C48" s="1311">
        <v>4</v>
      </c>
      <c r="D48" s="1311">
        <v>9622727.6909999996</v>
      </c>
      <c r="E48" s="1311">
        <v>4</v>
      </c>
      <c r="F48" s="1311">
        <v>446668.09085031971</v>
      </c>
    </row>
    <row r="49" spans="1:6">
      <c r="A49" s="1310" t="s">
        <v>31</v>
      </c>
      <c r="B49" s="1310" t="s">
        <v>39</v>
      </c>
      <c r="C49" s="1311">
        <v>0</v>
      </c>
      <c r="D49" s="1311">
        <v>0</v>
      </c>
      <c r="E49" s="1311">
        <v>0</v>
      </c>
      <c r="F49" s="1311">
        <v>0</v>
      </c>
    </row>
    <row r="50" spans="1:6">
      <c r="A50" s="1310" t="s">
        <v>31</v>
      </c>
      <c r="B50" s="1310" t="s">
        <v>40</v>
      </c>
      <c r="C50" s="1311">
        <v>9</v>
      </c>
      <c r="D50" s="1311">
        <v>2308707.5589999999</v>
      </c>
      <c r="E50" s="1311">
        <v>13</v>
      </c>
      <c r="F50" s="1311">
        <v>6345465.1607962903</v>
      </c>
    </row>
    <row r="51" spans="1:6">
      <c r="A51" s="1310" t="s">
        <v>41</v>
      </c>
      <c r="B51" s="1310" t="s">
        <v>42</v>
      </c>
      <c r="C51" s="1311">
        <v>3</v>
      </c>
      <c r="D51" s="1311">
        <v>62551.639000000003</v>
      </c>
      <c r="E51" s="1311">
        <v>31</v>
      </c>
      <c r="F51" s="1311">
        <v>553420.89501366997</v>
      </c>
    </row>
    <row r="52" spans="1:6">
      <c r="A52" s="1310" t="s">
        <v>41</v>
      </c>
      <c r="B52" s="1310" t="s">
        <v>28</v>
      </c>
      <c r="C52" s="1311">
        <v>0</v>
      </c>
      <c r="D52" s="1311">
        <v>0</v>
      </c>
      <c r="E52" s="1311">
        <v>0</v>
      </c>
      <c r="F52" s="1311">
        <v>0</v>
      </c>
    </row>
    <row r="53" spans="1:6">
      <c r="A53" s="1310" t="s">
        <v>43</v>
      </c>
      <c r="B53" s="1310" t="s">
        <v>44</v>
      </c>
      <c r="C53" s="1311">
        <v>41</v>
      </c>
      <c r="D53" s="1311">
        <v>1389701.4676481099</v>
      </c>
      <c r="E53" s="1311">
        <v>121</v>
      </c>
      <c r="F53" s="1311">
        <v>402333.04881499399</v>
      </c>
    </row>
    <row r="54" spans="1:6">
      <c r="A54" s="1310" t="s">
        <v>45</v>
      </c>
      <c r="B54" s="1310" t="s">
        <v>46</v>
      </c>
      <c r="C54" s="1311">
        <v>0</v>
      </c>
      <c r="D54" s="1311">
        <v>0</v>
      </c>
      <c r="E54" s="1311">
        <v>1</v>
      </c>
      <c r="F54" s="1311">
        <v>573265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44</v>
      </c>
      <c r="D57" s="1311">
        <v>4049232.6710000001</v>
      </c>
      <c r="E57" s="1311">
        <v>84</v>
      </c>
      <c r="F57" s="1311">
        <v>5988344.6946922997</v>
      </c>
    </row>
    <row r="58" spans="1:6">
      <c r="A58" s="1310" t="s">
        <v>48</v>
      </c>
      <c r="B58" s="1310" t="s">
        <v>50</v>
      </c>
      <c r="C58" s="1311">
        <v>29</v>
      </c>
      <c r="D58" s="1311">
        <v>1520996.6089999999</v>
      </c>
      <c r="E58" s="1311">
        <v>31</v>
      </c>
      <c r="F58" s="1311">
        <v>576173.00959056197</v>
      </c>
    </row>
    <row r="59" spans="1:6">
      <c r="A59" s="1310" t="s">
        <v>48</v>
      </c>
      <c r="B59" s="1310" t="s">
        <v>51</v>
      </c>
      <c r="C59" s="1311">
        <v>72</v>
      </c>
      <c r="D59" s="1311">
        <v>4832870.4129999997</v>
      </c>
      <c r="E59" s="1311">
        <v>126</v>
      </c>
      <c r="F59" s="1311">
        <v>5627580.1472510602</v>
      </c>
    </row>
    <row r="60" spans="1:6">
      <c r="A60" s="1310" t="s">
        <v>48</v>
      </c>
      <c r="B60" s="1310" t="s">
        <v>52</v>
      </c>
      <c r="C60" s="1311">
        <v>49</v>
      </c>
      <c r="D60" s="1311">
        <v>2734284.5240000002</v>
      </c>
      <c r="E60" s="1311">
        <v>68</v>
      </c>
      <c r="F60" s="1311">
        <v>1810413.5700318699</v>
      </c>
    </row>
    <row r="61" spans="1:6">
      <c r="A61" s="1310" t="s">
        <v>48</v>
      </c>
      <c r="B61" s="1310" t="s">
        <v>53</v>
      </c>
      <c r="C61" s="1311">
        <v>110</v>
      </c>
      <c r="D61" s="1311">
        <v>4653832.6390000004</v>
      </c>
      <c r="E61" s="1311">
        <v>249</v>
      </c>
      <c r="F61" s="1311">
        <v>7914783.4385267003</v>
      </c>
    </row>
    <row r="62" spans="1:6">
      <c r="A62" s="1310" t="s">
        <v>48</v>
      </c>
      <c r="B62" s="1310" t="s">
        <v>54</v>
      </c>
      <c r="C62" s="1311">
        <v>0</v>
      </c>
      <c r="D62" s="1311">
        <v>0</v>
      </c>
      <c r="E62" s="1311">
        <v>6</v>
      </c>
      <c r="F62" s="1311">
        <v>66322.373338482605</v>
      </c>
    </row>
    <row r="63" spans="1:6">
      <c r="A63" s="1310" t="s">
        <v>48</v>
      </c>
      <c r="B63" s="1310" t="s">
        <v>28</v>
      </c>
      <c r="C63" s="1311">
        <v>2</v>
      </c>
      <c r="D63" s="1311">
        <v>47066.436000000002</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36306.535136446699</v>
      </c>
    </row>
    <row r="66" spans="1:6">
      <c r="A66" s="1310" t="s">
        <v>55</v>
      </c>
      <c r="B66" s="1310" t="s">
        <v>57</v>
      </c>
      <c r="C66" s="1311">
        <v>0</v>
      </c>
      <c r="D66" s="1311">
        <v>0</v>
      </c>
      <c r="E66" s="1311">
        <v>8</v>
      </c>
      <c r="F66" s="1311">
        <v>287395.92465381802</v>
      </c>
    </row>
    <row r="67" spans="1:6">
      <c r="A67" s="1310" t="s">
        <v>55</v>
      </c>
      <c r="B67" s="1310" t="s">
        <v>58</v>
      </c>
      <c r="C67" s="1311">
        <v>0</v>
      </c>
      <c r="D67" s="1311">
        <v>0</v>
      </c>
      <c r="E67" s="1311">
        <v>0</v>
      </c>
      <c r="F67" s="1311">
        <v>0</v>
      </c>
    </row>
    <row r="68" spans="1:6">
      <c r="A68" s="1305" t="s">
        <v>55</v>
      </c>
      <c r="B68" s="1305" t="s">
        <v>59</v>
      </c>
      <c r="C68" s="1313">
        <v>5</v>
      </c>
      <c r="D68" s="1313">
        <v>61535.909</v>
      </c>
      <c r="E68" s="1313">
        <v>12</v>
      </c>
      <c r="F68" s="1313">
        <v>1112276.68753222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70137340</v>
      </c>
      <c r="E73" s="445"/>
      <c r="F73" s="326"/>
    </row>
    <row r="74" spans="1:6">
      <c r="A74" s="1310" t="s">
        <v>63</v>
      </c>
      <c r="B74" s="1310" t="s">
        <v>632</v>
      </c>
      <c r="C74" s="1323" t="s">
        <v>634</v>
      </c>
      <c r="D74" s="1311">
        <v>4060816.5913174381</v>
      </c>
      <c r="E74" s="445"/>
      <c r="F74" s="326"/>
    </row>
    <row r="75" spans="1:6">
      <c r="A75" s="1310" t="s">
        <v>64</v>
      </c>
      <c r="B75" s="1310" t="s">
        <v>631</v>
      </c>
      <c r="C75" s="1323" t="s">
        <v>635</v>
      </c>
      <c r="D75" s="1311">
        <v>6421368</v>
      </c>
      <c r="E75" s="445"/>
      <c r="F75" s="326"/>
    </row>
    <row r="76" spans="1:6">
      <c r="A76" s="1310" t="s">
        <v>64</v>
      </c>
      <c r="B76" s="1310" t="s">
        <v>632</v>
      </c>
      <c r="C76" s="1323" t="s">
        <v>636</v>
      </c>
      <c r="D76" s="1311">
        <v>181719.591317438</v>
      </c>
      <c r="E76" s="445"/>
      <c r="F76" s="326"/>
    </row>
    <row r="77" spans="1:6">
      <c r="A77" s="1310" t="s">
        <v>65</v>
      </c>
      <c r="B77" s="1310" t="s">
        <v>631</v>
      </c>
      <c r="C77" s="1323" t="s">
        <v>637</v>
      </c>
      <c r="D77" s="1311">
        <v>143210569</v>
      </c>
      <c r="E77" s="445"/>
      <c r="F77" s="326"/>
    </row>
    <row r="78" spans="1:6">
      <c r="A78" s="1305" t="s">
        <v>65</v>
      </c>
      <c r="B78" s="1305" t="s">
        <v>632</v>
      </c>
      <c r="C78" s="1305" t="s">
        <v>638</v>
      </c>
      <c r="D78" s="1313">
        <v>28878298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256312.81736512401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3475.6062780973989</v>
      </c>
      <c r="C91" s="326"/>
      <c r="D91" s="326"/>
      <c r="E91" s="326"/>
      <c r="F91" s="326"/>
    </row>
    <row r="92" spans="1:6">
      <c r="A92" s="1305" t="s">
        <v>68</v>
      </c>
      <c r="B92" s="1306">
        <v>3185.4278095884588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1931</v>
      </c>
      <c r="C97" s="326"/>
      <c r="D97" s="326"/>
      <c r="E97" s="326"/>
      <c r="F97" s="326"/>
    </row>
    <row r="98" spans="1:6">
      <c r="A98" s="1310" t="s">
        <v>71</v>
      </c>
      <c r="B98" s="1311">
        <v>5</v>
      </c>
      <c r="C98" s="326"/>
      <c r="D98" s="326"/>
      <c r="E98" s="326"/>
      <c r="F98" s="326"/>
    </row>
    <row r="99" spans="1:6">
      <c r="A99" s="1310" t="s">
        <v>72</v>
      </c>
      <c r="B99" s="1311">
        <v>68</v>
      </c>
      <c r="C99" s="326"/>
      <c r="D99" s="326"/>
      <c r="E99" s="326"/>
      <c r="F99" s="326"/>
    </row>
    <row r="100" spans="1:6">
      <c r="A100" s="1310" t="s">
        <v>73</v>
      </c>
      <c r="B100" s="1311">
        <v>364</v>
      </c>
      <c r="C100" s="326"/>
      <c r="D100" s="326"/>
      <c r="E100" s="326"/>
      <c r="F100" s="326"/>
    </row>
    <row r="101" spans="1:6">
      <c r="A101" s="1310" t="s">
        <v>74</v>
      </c>
      <c r="B101" s="1311">
        <v>85</v>
      </c>
      <c r="C101" s="326"/>
      <c r="D101" s="326"/>
      <c r="E101" s="326"/>
      <c r="F101" s="326"/>
    </row>
    <row r="102" spans="1:6">
      <c r="A102" s="1310" t="s">
        <v>75</v>
      </c>
      <c r="B102" s="1311">
        <v>45</v>
      </c>
      <c r="C102" s="326"/>
      <c r="D102" s="326"/>
      <c r="E102" s="326"/>
      <c r="F102" s="326"/>
    </row>
    <row r="103" spans="1:6">
      <c r="A103" s="1310" t="s">
        <v>76</v>
      </c>
      <c r="B103" s="1311">
        <v>135</v>
      </c>
      <c r="C103" s="326"/>
      <c r="D103" s="326"/>
      <c r="E103" s="326"/>
      <c r="F103" s="326"/>
    </row>
    <row r="104" spans="1:6">
      <c r="A104" s="1310" t="s">
        <v>77</v>
      </c>
      <c r="B104" s="1311">
        <v>1349</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9</v>
      </c>
      <c r="C121" s="1311">
        <v>0</v>
      </c>
      <c r="D121" s="326"/>
      <c r="E121" s="326"/>
      <c r="F121" s="326"/>
    </row>
    <row r="122" spans="1:6">
      <c r="A122" s="1310" t="s">
        <v>86</v>
      </c>
      <c r="B122" s="1311">
        <v>0</v>
      </c>
      <c r="C122" s="1311">
        <v>0</v>
      </c>
      <c r="D122" s="326"/>
      <c r="E122" s="326"/>
      <c r="F122" s="326"/>
    </row>
    <row r="123" spans="1:6">
      <c r="A123" s="1310" t="s">
        <v>87</v>
      </c>
      <c r="B123" s="1311">
        <v>40</v>
      </c>
      <c r="C123" s="1311">
        <v>17</v>
      </c>
      <c r="D123" s="326"/>
      <c r="E123" s="326"/>
      <c r="F123" s="326"/>
    </row>
    <row r="124" spans="1:6">
      <c r="A124" s="1310" t="s">
        <v>88</v>
      </c>
      <c r="B124" s="1311">
        <v>4</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83</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69331.687001771381</v>
      </c>
      <c r="C3" s="43" t="s">
        <v>163</v>
      </c>
      <c r="D3" s="43"/>
      <c r="E3" s="154"/>
      <c r="F3" s="43"/>
      <c r="G3" s="43"/>
      <c r="H3" s="43"/>
      <c r="I3" s="43"/>
      <c r="J3" s="43"/>
      <c r="K3" s="96"/>
    </row>
    <row r="4" spans="1:11">
      <c r="A4" s="352" t="s">
        <v>164</v>
      </c>
      <c r="B4" s="49">
        <f>IF(ISERROR('SEAP template'!B78+'SEAP template'!C78),0,'SEAP template'!B78+'SEAP template'!C78)</f>
        <v>6661.0340876858572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0.19976744967505317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573.26499999999999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573.26499999999999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0.19976744967505317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114.51968703796935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17483.944581060499</v>
      </c>
      <c r="C5" s="17">
        <f>IF(ISERROR('Eigen informatie GS &amp; warmtenet'!B59),0,'Eigen informatie GS &amp; warmtenet'!B59)</f>
        <v>0</v>
      </c>
      <c r="D5" s="30">
        <f>(SUM(HH_hh_gas_kWh,HH_rest_gas_kWh)/1000)*0.903</f>
        <v>49009.652106940237</v>
      </c>
      <c r="E5" s="17">
        <f>B32*B41</f>
        <v>987.60731127847134</v>
      </c>
      <c r="F5" s="17">
        <f>B36*B45</f>
        <v>21635.123535383169</v>
      </c>
      <c r="G5" s="18"/>
      <c r="H5" s="17"/>
      <c r="I5" s="17"/>
      <c r="J5" s="17">
        <f>B35*B44+C35*C44</f>
        <v>123.30093534291989</v>
      </c>
      <c r="K5" s="17"/>
      <c r="L5" s="17"/>
      <c r="M5" s="17"/>
      <c r="N5" s="17">
        <f>B34*B43+C34*C43</f>
        <v>6098.702928161385</v>
      </c>
      <c r="O5" s="17">
        <f>B52*B53*B54</f>
        <v>198.39582193870316</v>
      </c>
      <c r="P5" s="17">
        <f>B60*B61*B62/1000-B60*B61*B62/1000/B63</f>
        <v>737.37715153795159</v>
      </c>
    </row>
    <row r="6" spans="1:16">
      <c r="A6" s="16" t="s">
        <v>597</v>
      </c>
      <c r="B6" s="778">
        <f>kWh_PV_kleiner_dan_10kW</f>
        <v>3475.6062780973989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20959.550859157898</v>
      </c>
      <c r="C8" s="21">
        <f>C5</f>
        <v>0</v>
      </c>
      <c r="D8" s="21">
        <f>D5</f>
        <v>49009.652106940237</v>
      </c>
      <c r="E8" s="21">
        <f>E5</f>
        <v>987.60731127847134</v>
      </c>
      <c r="F8" s="21">
        <f>F5</f>
        <v>21635.123535383169</v>
      </c>
      <c r="G8" s="21"/>
      <c r="H8" s="21"/>
      <c r="I8" s="21"/>
      <c r="J8" s="21">
        <f>J5</f>
        <v>123.30093534291989</v>
      </c>
      <c r="K8" s="21"/>
      <c r="L8" s="21">
        <f>L5</f>
        <v>0</v>
      </c>
      <c r="M8" s="21">
        <f>M5</f>
        <v>0</v>
      </c>
      <c r="N8" s="21">
        <f>N5</f>
        <v>6098.702928161385</v>
      </c>
      <c r="O8" s="21">
        <f>O5</f>
        <v>198.39582193870316</v>
      </c>
      <c r="P8" s="21">
        <f>P5</f>
        <v>737.37715153795159</v>
      </c>
    </row>
    <row r="9" spans="1:16">
      <c r="B9" s="19"/>
      <c r="C9" s="19"/>
      <c r="D9" s="254"/>
      <c r="E9" s="19"/>
      <c r="F9" s="19"/>
      <c r="G9" s="19"/>
      <c r="H9" s="19"/>
      <c r="I9" s="19"/>
      <c r="J9" s="19"/>
      <c r="K9" s="19"/>
      <c r="L9" s="19"/>
      <c r="M9" s="19"/>
      <c r="N9" s="19"/>
      <c r="O9" s="19"/>
      <c r="P9" s="19"/>
    </row>
    <row r="10" spans="1:16">
      <c r="A10" s="24" t="s">
        <v>207</v>
      </c>
      <c r="B10" s="25">
        <f ca="1">'EF ele_warmte'!B12</f>
        <v>0.19976744967505317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4187.0360214685425</v>
      </c>
      <c r="C12" s="23">
        <f ca="1">C10*C8</f>
        <v>0</v>
      </c>
      <c r="D12" s="23">
        <f>D8*D10</f>
        <v>9899.9497256019276</v>
      </c>
      <c r="E12" s="23">
        <f>E10*E8</f>
        <v>224.186859660213</v>
      </c>
      <c r="F12" s="23">
        <f>F10*F8</f>
        <v>5776.5779839473062</v>
      </c>
      <c r="G12" s="23"/>
      <c r="H12" s="23"/>
      <c r="I12" s="23"/>
      <c r="J12" s="23">
        <f>J10*J8</f>
        <v>43.648531111393638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4682</v>
      </c>
      <c r="C26" s="36"/>
      <c r="D26" s="225"/>
    </row>
    <row r="27" spans="1:5" s="15" customFormat="1">
      <c r="A27" s="227" t="s">
        <v>860</v>
      </c>
      <c r="B27" s="37">
        <f>SUM(HH_hh_gas_aantal,HH_rest_gas_aantal)</f>
        <v>3217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3056.15</v>
      </c>
      <c r="C31" s="34" t="s">
        <v>104</v>
      </c>
      <c r="D31" s="171"/>
    </row>
    <row r="32" spans="1:5">
      <c r="A32" s="168" t="s">
        <v>72</v>
      </c>
      <c r="B32" s="33">
        <f>IF((B21*($B$26-($B$27-0.05*$B$27)-$B$60))&lt;0,0,(B21*($B$26-($B$27-0.05*$B$27)-$B$60)))</f>
        <v>24.699427887958297</v>
      </c>
      <c r="C32" s="34" t="s">
        <v>104</v>
      </c>
      <c r="D32" s="171"/>
    </row>
    <row r="33" spans="1:6">
      <c r="A33" s="168" t="s">
        <v>73</v>
      </c>
      <c r="B33" s="33">
        <f>IF((B22*($B$26-($B$27-0.05*$B$27)-$B$60))&lt;0,0,B22*($B$26-($B$27-0.05*$B$27)-$B$60))</f>
        <v>401.06979114659487</v>
      </c>
      <c r="C33" s="34" t="s">
        <v>104</v>
      </c>
      <c r="D33" s="171"/>
    </row>
    <row r="34" spans="1:6">
      <c r="A34" s="168" t="s">
        <v>74</v>
      </c>
      <c r="B34" s="33">
        <f>IF((B24*($B$26-($B$27-0.05*$B$27)-$B$60))&lt;0,0,B24*($B$26-($B$27-0.05*$B$27)-$B$60))</f>
        <v>76.890446264882215</v>
      </c>
      <c r="C34" s="33">
        <f>B26*C24</f>
        <v>959.36961017423982</v>
      </c>
      <c r="D34" s="230"/>
    </row>
    <row r="35" spans="1:6">
      <c r="A35" s="168" t="s">
        <v>76</v>
      </c>
      <c r="B35" s="33">
        <f>IF((B19*($B$26-($B$27-0.05*$B$27)-$B$60))&lt;0,0,B19*($B$26-($B$27-0.05*$B$27)-$B$60))</f>
        <v>10.736782417847621</v>
      </c>
      <c r="C35" s="33">
        <f>B35/2</f>
        <v>5.3683912089238106</v>
      </c>
      <c r="D35" s="230"/>
    </row>
    <row r="36" spans="1:6">
      <c r="A36" s="168" t="s">
        <v>77</v>
      </c>
      <c r="B36" s="33">
        <f>IF((B18*($B$26-($B$27-0.05*$B$27)-$B$60))&lt;0,0,B18*($B$26-($B$27-0.05*$B$27)-$B$60))</f>
        <v>1042.4535522827166</v>
      </c>
      <c r="C36" s="34" t="s">
        <v>104</v>
      </c>
      <c r="D36" s="171"/>
    </row>
    <row r="37" spans="1:6">
      <c r="A37" s="168" t="s">
        <v>78</v>
      </c>
      <c r="B37" s="33">
        <f>B60</f>
        <v>70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21983.617233430978</v>
      </c>
      <c r="C5" s="17">
        <f>IF(ISERROR('Eigen informatie GS &amp; warmtenet'!B60),0,'Eigen informatie GS &amp; warmtenet'!B60)</f>
        <v>0</v>
      </c>
      <c r="D5" s="30">
        <f>SUM(D6:D12)</f>
        <v>16107.969812676001</v>
      </c>
      <c r="E5" s="17">
        <f>SUM(E6:E12)</f>
        <v>124.50649181871421</v>
      </c>
      <c r="F5" s="17">
        <f>SUM(F6:F12)</f>
        <v>6941.3366338362875</v>
      </c>
      <c r="G5" s="18"/>
      <c r="H5" s="17"/>
      <c r="I5" s="17"/>
      <c r="J5" s="17">
        <f>SUM(J6:J12)</f>
        <v>6.0567148941854207E-2</v>
      </c>
      <c r="K5" s="17"/>
      <c r="L5" s="17"/>
      <c r="M5" s="17"/>
      <c r="N5" s="17">
        <f>SUM(N6:N12)</f>
        <v>2307.8128117803658</v>
      </c>
      <c r="O5" s="17">
        <f>B38*B39*B40</f>
        <v>9.7945215316823084</v>
      </c>
      <c r="P5" s="17">
        <f>B46*B47*B48/1000-B46*B47*B48/1000/B49</f>
        <v>472.85224475845519</v>
      </c>
      <c r="R5" s="32"/>
    </row>
    <row r="6" spans="1:18">
      <c r="A6" s="32" t="s">
        <v>53</v>
      </c>
      <c r="B6" s="37">
        <f>B26</f>
        <v>7914.7834385267006</v>
      </c>
      <c r="C6" s="33"/>
      <c r="D6" s="37">
        <f>IF(ISERROR(TER_kantoor_gas_kWh/1000),0,TER_kantoor_gas_kWh/1000)*0.903</f>
        <v>4202.4108730170001</v>
      </c>
      <c r="E6" s="33">
        <f>$C$26*'E Balans VL '!I12/100/3.6*1000000</f>
        <v>1.8858596077098706</v>
      </c>
      <c r="F6" s="33">
        <f>$C$26*('E Balans VL '!L12+'E Balans VL '!N12)/100/3.6*1000000</f>
        <v>687.47647603351129</v>
      </c>
      <c r="G6" s="34"/>
      <c r="H6" s="33"/>
      <c r="I6" s="33"/>
      <c r="J6" s="33">
        <f>$C$26*('E Balans VL '!D12+'E Balans VL '!E12)/100/3.6*1000000</f>
        <v>0</v>
      </c>
      <c r="K6" s="33"/>
      <c r="L6" s="33"/>
      <c r="M6" s="33"/>
      <c r="N6" s="33">
        <f>$C$26*'E Balans VL '!Y12/100/3.6*1000000</f>
        <v>10.57921534536943</v>
      </c>
      <c r="O6" s="33"/>
      <c r="P6" s="33"/>
      <c r="R6" s="32"/>
    </row>
    <row r="7" spans="1:18">
      <c r="A7" s="32" t="s">
        <v>52</v>
      </c>
      <c r="B7" s="37">
        <f t="shared" ref="B7:B12" si="0">B27</f>
        <v>1810.41357003187</v>
      </c>
      <c r="C7" s="33"/>
      <c r="D7" s="37">
        <f>IF(ISERROR(TER_horeca_gas_kWh/1000),0,TER_horeca_gas_kWh/1000)*0.903</f>
        <v>2469.0589251720003</v>
      </c>
      <c r="E7" s="33">
        <f>$C$27*'E Balans VL '!I9/100/3.6*1000000</f>
        <v>0</v>
      </c>
      <c r="F7" s="33">
        <f>$C$27*('E Balans VL '!L9+'E Balans VL '!N9)/100/3.6*1000000</f>
        <v>147.51594215218319</v>
      </c>
      <c r="G7" s="34"/>
      <c r="H7" s="33"/>
      <c r="I7" s="33"/>
      <c r="J7" s="33">
        <f>$C$27*('E Balans VL '!D9+'E Balans VL '!E9)/100/3.6*1000000</f>
        <v>0</v>
      </c>
      <c r="K7" s="33"/>
      <c r="L7" s="33"/>
      <c r="M7" s="33"/>
      <c r="N7" s="33">
        <f>$C$27*'E Balans VL '!Y9/100/3.6*1000000</f>
        <v>0.50145085379435095</v>
      </c>
      <c r="O7" s="33"/>
      <c r="P7" s="33"/>
      <c r="R7" s="32"/>
    </row>
    <row r="8" spans="1:18">
      <c r="A8" s="6" t="s">
        <v>51</v>
      </c>
      <c r="B8" s="37">
        <f t="shared" si="0"/>
        <v>5627.5801472510602</v>
      </c>
      <c r="C8" s="33"/>
      <c r="D8" s="37">
        <f>IF(ISERROR(TER_handel_gas_kWh/1000),0,TER_handel_gas_kWh/1000)*0.903</f>
        <v>4364.0819829390002</v>
      </c>
      <c r="E8" s="33">
        <f>$C$28*'E Balans VL '!I13/100/3.6*1000000</f>
        <v>44.984706819967442</v>
      </c>
      <c r="F8" s="33">
        <f>$C$28*('E Balans VL '!L13+'E Balans VL '!N13)/100/3.6*1000000</f>
        <v>559.06510455011619</v>
      </c>
      <c r="G8" s="34"/>
      <c r="H8" s="33"/>
      <c r="I8" s="33"/>
      <c r="J8" s="33">
        <f>$C$28*('E Balans VL '!D13+'E Balans VL '!E13)/100/3.6*1000000</f>
        <v>0</v>
      </c>
      <c r="K8" s="33"/>
      <c r="L8" s="33"/>
      <c r="M8" s="33"/>
      <c r="N8" s="33">
        <f>$C$28*'E Balans VL '!Y13/100/3.6*1000000</f>
        <v>2.1022361608658007</v>
      </c>
      <c r="O8" s="33"/>
      <c r="P8" s="33"/>
      <c r="R8" s="32"/>
    </row>
    <row r="9" spans="1:18">
      <c r="A9" s="32" t="s">
        <v>50</v>
      </c>
      <c r="B9" s="37">
        <f t="shared" si="0"/>
        <v>576.17300959056195</v>
      </c>
      <c r="C9" s="33"/>
      <c r="D9" s="37">
        <f>IF(ISERROR(TER_gezond_gas_kWh/1000),0,TER_gezond_gas_kWh/1000)*0.903</f>
        <v>1373.4599379270001</v>
      </c>
      <c r="E9" s="33">
        <f>$C$29*'E Balans VL '!I10/100/3.6*1000000</f>
        <v>0</v>
      </c>
      <c r="F9" s="33">
        <f>$C$29*('E Balans VL '!L10+'E Balans VL '!N10)/100/3.6*1000000</f>
        <v>52.527558964764033</v>
      </c>
      <c r="G9" s="34"/>
      <c r="H9" s="33"/>
      <c r="I9" s="33"/>
      <c r="J9" s="33">
        <f>$C$29*('E Balans VL '!D10+'E Balans VL '!E10)/100/3.6*1000000</f>
        <v>0</v>
      </c>
      <c r="K9" s="33"/>
      <c r="L9" s="33"/>
      <c r="M9" s="33"/>
      <c r="N9" s="33">
        <f>$C$29*'E Balans VL '!Y10/100/3.6*1000000</f>
        <v>4.2113083568775309</v>
      </c>
      <c r="O9" s="33"/>
      <c r="P9" s="33"/>
      <c r="R9" s="32"/>
    </row>
    <row r="10" spans="1:18">
      <c r="A10" s="32" t="s">
        <v>49</v>
      </c>
      <c r="B10" s="37">
        <f t="shared" si="0"/>
        <v>5988.3446946922995</v>
      </c>
      <c r="C10" s="33"/>
      <c r="D10" s="37">
        <f>IF(ISERROR(TER_ander_gas_kWh/1000),0,TER_ander_gas_kWh/1000)*0.903</f>
        <v>3656.4571019130003</v>
      </c>
      <c r="E10" s="33">
        <f>$C$30*'E Balans VL '!I14/100/3.6*1000000</f>
        <v>77.635925391036892</v>
      </c>
      <c r="F10" s="33">
        <f>$C$30*('E Balans VL '!L14+'E Balans VL '!N14)/100/3.6*1000000</f>
        <v>5492.1528645920298</v>
      </c>
      <c r="G10" s="34"/>
      <c r="H10" s="33"/>
      <c r="I10" s="33"/>
      <c r="J10" s="33">
        <f>$C$30*('E Balans VL '!D14+'E Balans VL '!E14)/100/3.6*1000000</f>
        <v>6.0567148941854207E-2</v>
      </c>
      <c r="K10" s="33"/>
      <c r="L10" s="33"/>
      <c r="M10" s="33"/>
      <c r="N10" s="33">
        <f>$C$30*'E Balans VL '!Y14/100/3.6*1000000</f>
        <v>2290.2097355233595</v>
      </c>
      <c r="O10" s="33"/>
      <c r="P10" s="33"/>
      <c r="R10" s="32"/>
    </row>
    <row r="11" spans="1:18">
      <c r="A11" s="32" t="s">
        <v>54</v>
      </c>
      <c r="B11" s="37">
        <f t="shared" si="0"/>
        <v>66.322373338482606</v>
      </c>
      <c r="C11" s="33"/>
      <c r="D11" s="37">
        <f>IF(ISERROR(TER_onderwijs_gas_kWh/1000),0,TER_onderwijs_gas_kWh/1000)*0.903</f>
        <v>0</v>
      </c>
      <c r="E11" s="33">
        <f>$C$31*'E Balans VL '!I11/100/3.6*1000000</f>
        <v>0</v>
      </c>
      <c r="F11" s="33">
        <f>$C$31*('E Balans VL '!L11+'E Balans VL '!N11)/100/3.6*1000000</f>
        <v>2.5986875436830728</v>
      </c>
      <c r="G11" s="34"/>
      <c r="H11" s="33"/>
      <c r="I11" s="33"/>
      <c r="J11" s="33">
        <f>$C$31*('E Balans VL '!D11+'E Balans VL '!E11)/100/3.6*1000000</f>
        <v>0</v>
      </c>
      <c r="K11" s="33"/>
      <c r="L11" s="33"/>
      <c r="M11" s="33"/>
      <c r="N11" s="33">
        <f>$C$31*'E Balans VL '!Y11/100/3.6*1000000</f>
        <v>0.20886554009911576</v>
      </c>
      <c r="O11" s="33"/>
      <c r="P11" s="33"/>
      <c r="R11" s="32"/>
    </row>
    <row r="12" spans="1:18">
      <c r="A12" s="32" t="s">
        <v>249</v>
      </c>
      <c r="B12" s="37">
        <f t="shared" si="0"/>
        <v>0</v>
      </c>
      <c r="C12" s="33"/>
      <c r="D12" s="37">
        <f>IF(ISERROR(TER_rest_gas_kWh/1000),0,TER_rest_gas_kWh/1000)*0.903</f>
        <v>42.500991708000001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21983.617233430978</v>
      </c>
      <c r="C16" s="21">
        <f t="shared" ca="1" si="1"/>
        <v>0</v>
      </c>
      <c r="D16" s="21">
        <f t="shared" ca="1" si="1"/>
        <v>16107.969812676001</v>
      </c>
      <c r="E16" s="21">
        <f t="shared" si="1"/>
        <v>124.50649181871421</v>
      </c>
      <c r="F16" s="21">
        <f t="shared" ca="1" si="1"/>
        <v>6941.3366338362875</v>
      </c>
      <c r="G16" s="21">
        <f t="shared" si="1"/>
        <v>0</v>
      </c>
      <c r="H16" s="21">
        <f t="shared" si="1"/>
        <v>0</v>
      </c>
      <c r="I16" s="21">
        <f t="shared" si="1"/>
        <v>0</v>
      </c>
      <c r="J16" s="21">
        <f t="shared" si="1"/>
        <v>6.0567148941854207E-2</v>
      </c>
      <c r="K16" s="21">
        <f t="shared" si="1"/>
        <v>0</v>
      </c>
      <c r="L16" s="21">
        <f t="shared" ca="1" si="1"/>
        <v>0</v>
      </c>
      <c r="M16" s="21">
        <f t="shared" si="1"/>
        <v>0</v>
      </c>
      <c r="N16" s="21">
        <f t="shared" ca="1" si="1"/>
        <v>2307.8128117803658</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0.19976744967505317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4391.6111493550543</v>
      </c>
      <c r="C20" s="23">
        <f t="shared" ref="C20:P20" ca="1" si="2">C16*C18</f>
        <v>0</v>
      </c>
      <c r="D20" s="23">
        <f t="shared" ca="1" si="2"/>
        <v>3253.8099021605526</v>
      </c>
      <c r="E20" s="23">
        <f t="shared" si="2"/>
        <v>28.262973642848127</v>
      </c>
      <c r="F20" s="23">
        <f t="shared" ca="1" si="2"/>
        <v>1853.336881234289</v>
      </c>
      <c r="G20" s="23">
        <f t="shared" si="2"/>
        <v>0</v>
      </c>
      <c r="H20" s="23">
        <f t="shared" si="2"/>
        <v>0</v>
      </c>
      <c r="I20" s="23">
        <f t="shared" si="2"/>
        <v>0</v>
      </c>
      <c r="J20" s="23">
        <f t="shared" si="2"/>
        <v>2.1440770725416388E-2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7914.7834385267006</v>
      </c>
      <c r="C26" s="39">
        <f>IF(ISERROR(B26*3.6/1000000/'E Balans VL '!Z12*100),0,B26*3.6/1000000/'E Balans VL '!Z12*100)</f>
        <v>0.22707439202979385</v>
      </c>
      <c r="D26" s="233" t="s">
        <v>835</v>
      </c>
      <c r="F26" s="6"/>
    </row>
    <row r="27" spans="1:18" ht="30">
      <c r="A27" s="228" t="s">
        <v>52</v>
      </c>
      <c r="B27" s="33">
        <f>IF(ISERROR(TER_horeca_ele_kWh/1000),0,TER_horeca_ele_kWh/1000)</f>
        <v>1810.41357003187</v>
      </c>
      <c r="C27" s="39">
        <f>IF(ISERROR(B27*3.6/1000000/'E Balans VL '!Z9*100),0,B27*3.6/1000000/'E Balans VL '!Z9*100)</f>
        <v>0.13263153909131697</v>
      </c>
      <c r="D27" s="233" t="s">
        <v>835</v>
      </c>
      <c r="F27" s="6"/>
    </row>
    <row r="28" spans="1:18" ht="30">
      <c r="A28" s="168" t="s">
        <v>51</v>
      </c>
      <c r="B28" s="33">
        <f>IF(ISERROR(TER_handel_ele_kWh/1000),0,TER_handel_ele_kWh/1000)</f>
        <v>5627.5801472510602</v>
      </c>
      <c r="C28" s="39">
        <f>IF(ISERROR(B28*3.6/1000000/'E Balans VL '!Z13*100),0,B28*3.6/1000000/'E Balans VL '!Z13*100)</f>
        <v>0.17389697314005534</v>
      </c>
      <c r="D28" s="233" t="s">
        <v>835</v>
      </c>
      <c r="F28" s="6"/>
    </row>
    <row r="29" spans="1:18" ht="30">
      <c r="A29" s="228" t="s">
        <v>50</v>
      </c>
      <c r="B29" s="33">
        <f>IF(ISERROR(TER_gezond_ele_kWh/1000),0,TER_gezond_ele_kWh/1000)</f>
        <v>576.17300959056195</v>
      </c>
      <c r="C29" s="39">
        <f>IF(ISERROR(B29*3.6/1000000/'E Balans VL '!Z10*100),0,B29*3.6/1000000/'E Balans VL '!Z10*100)</f>
        <v>5.6468497801782536E-2</v>
      </c>
      <c r="D29" s="233" t="s">
        <v>835</v>
      </c>
      <c r="F29" s="6"/>
    </row>
    <row r="30" spans="1:18" ht="30">
      <c r="A30" s="228" t="s">
        <v>49</v>
      </c>
      <c r="B30" s="33">
        <f>IF(ISERROR(TER_ander_ele_kWh/1000),0,TER_ander_ele_kWh/1000)</f>
        <v>5988.3446946922995</v>
      </c>
      <c r="C30" s="39">
        <f>IF(ISERROR(B30*3.6/1000000/'E Balans VL '!Z14*100),0,B30*3.6/1000000/'E Balans VL '!Z14*100)</f>
        <v>0.24805658269701378</v>
      </c>
      <c r="D30" s="233" t="s">
        <v>835</v>
      </c>
      <c r="F30" s="6"/>
    </row>
    <row r="31" spans="1:18" ht="30">
      <c r="A31" s="228" t="s">
        <v>54</v>
      </c>
      <c r="B31" s="33">
        <f>IF(ISERROR(TER_onderwijs_ele_kWh/1000),0,TER_onderwijs_ele_kWh/1000)</f>
        <v>66.322373338482606</v>
      </c>
      <c r="C31" s="39">
        <f>IF(ISERROR(B31*3.6/1000000/'E Balans VL '!Z11*100),0,B31*3.6/1000000/'E Balans VL '!Z11*100)</f>
        <v>2.0378848952995934E-2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24361.6532128576</v>
      </c>
      <c r="C5" s="17">
        <f>IF(ISERROR('Eigen informatie GS &amp; warmtenet'!B61),0,'Eigen informatie GS &amp; warmtenet'!B61)</f>
        <v>0</v>
      </c>
      <c r="D5" s="30">
        <f>SUM(D6:D15)</f>
        <v>37700.592954885004</v>
      </c>
      <c r="E5" s="17">
        <f>SUM(E6:E15)</f>
        <v>1102.3431915896326</v>
      </c>
      <c r="F5" s="17">
        <f>SUM(F6:F15)</f>
        <v>3203.1451363105575</v>
      </c>
      <c r="G5" s="18"/>
      <c r="H5" s="17"/>
      <c r="I5" s="17"/>
      <c r="J5" s="17">
        <f>SUM(J6:J15)</f>
        <v>268.65890560291967</v>
      </c>
      <c r="K5" s="17"/>
      <c r="L5" s="17"/>
      <c r="M5" s="17"/>
      <c r="N5" s="17">
        <f>SUM(N6:N15)</f>
        <v>4477.6324970825672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3269.7317851379403</v>
      </c>
      <c r="C8" s="33"/>
      <c r="D8" s="37">
        <f>IF( ISERROR(IND_metaal_Gas_kWH/1000),0,IND_metaal_Gas_kWH/1000)*0.903</f>
        <v>1647.6410760180001</v>
      </c>
      <c r="E8" s="33">
        <f>C30*'E Balans VL '!I18/100/3.6*1000000</f>
        <v>17.823817899890315</v>
      </c>
      <c r="F8" s="33">
        <f>C30*'E Balans VL '!L18/100/3.6*1000000+C30*'E Balans VL '!N18/100/3.6*1000000</f>
        <v>210.57097671383039</v>
      </c>
      <c r="G8" s="34"/>
      <c r="H8" s="33"/>
      <c r="I8" s="33"/>
      <c r="J8" s="40">
        <f>C30*'E Balans VL '!D18/100/3.6*1000000+C30*'E Balans VL '!E18/100/3.6*1000000</f>
        <v>2.6783091687057512</v>
      </c>
      <c r="K8" s="33"/>
      <c r="L8" s="33"/>
      <c r="M8" s="33"/>
      <c r="N8" s="33">
        <f>C30*'E Balans VL '!Y18/100/3.6*1000000</f>
        <v>70.640394589286004</v>
      </c>
      <c r="O8" s="33"/>
      <c r="P8" s="33"/>
      <c r="R8" s="32"/>
    </row>
    <row r="9" spans="1:18">
      <c r="A9" s="6" t="s">
        <v>32</v>
      </c>
      <c r="B9" s="37">
        <f t="shared" si="0"/>
        <v>2547.9986048880401</v>
      </c>
      <c r="C9" s="33"/>
      <c r="D9" s="37">
        <f>IF( ISERROR(IND_andere_gas_kWh/1000),0,IND_andere_gas_kWh/1000)*0.903</f>
        <v>13713.013103769001</v>
      </c>
      <c r="E9" s="33">
        <f>C31*'E Balans VL '!I19/100/3.6*1000000</f>
        <v>8.2253734221567711</v>
      </c>
      <c r="F9" s="33">
        <f>C31*'E Balans VL '!L19/100/3.6*1000000+C31*'E Balans VL '!N19/100/3.6*1000000</f>
        <v>1647.55589986615</v>
      </c>
      <c r="G9" s="34"/>
      <c r="H9" s="33"/>
      <c r="I9" s="33"/>
      <c r="J9" s="40">
        <f>C31*'E Balans VL '!D19/100/3.6*1000000+C31*'E Balans VL '!E19/100/3.6*1000000</f>
        <v>0</v>
      </c>
      <c r="K9" s="33"/>
      <c r="L9" s="33"/>
      <c r="M9" s="33"/>
      <c r="N9" s="33">
        <f>C31*'E Balans VL '!Y19/100/3.6*1000000</f>
        <v>102.961680427019</v>
      </c>
      <c r="O9" s="33"/>
      <c r="P9" s="33"/>
      <c r="R9" s="32"/>
    </row>
    <row r="10" spans="1:18">
      <c r="A10" s="6" t="s">
        <v>40</v>
      </c>
      <c r="B10" s="37">
        <f t="shared" si="0"/>
        <v>6345.4651607962905</v>
      </c>
      <c r="C10" s="33"/>
      <c r="D10" s="37">
        <f>IF( ISERROR(IND_voed_gas_kWh/1000),0,IND_voed_gas_kWh/1000)*0.903</f>
        <v>2084.762925777</v>
      </c>
      <c r="E10" s="33">
        <f>C32*'E Balans VL '!I20/100/3.6*1000000</f>
        <v>13.301650082761686</v>
      </c>
      <c r="F10" s="33">
        <f>C32*'E Balans VL '!L20/100/3.6*1000000+C32*'E Balans VL '!N20/100/3.6*1000000</f>
        <v>123.63159048040698</v>
      </c>
      <c r="G10" s="34"/>
      <c r="H10" s="33"/>
      <c r="I10" s="33"/>
      <c r="J10" s="40">
        <f>C32*'E Balans VL '!D20/100/3.6*1000000+C32*'E Balans VL '!E20/100/3.6*1000000</f>
        <v>0</v>
      </c>
      <c r="K10" s="33"/>
      <c r="L10" s="33"/>
      <c r="M10" s="33"/>
      <c r="N10" s="33">
        <f>C32*'E Balans VL '!Y20/100/3.6*1000000</f>
        <v>252.40501188877289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7364.6464612690797</v>
      </c>
      <c r="C12" s="33"/>
      <c r="D12" s="37">
        <f>IF( ISERROR(IND_min_gas_kWh/1000),0,IND_min_gas_kWh/1000)*0.903</f>
        <v>0</v>
      </c>
      <c r="E12" s="33">
        <f>C34*'E Balans VL '!I22/100/3.6*1000000</f>
        <v>120.52287301470088</v>
      </c>
      <c r="F12" s="33">
        <f>C34*'E Balans VL '!L22/100/3.6*1000000+C34*'E Balans VL '!N22/100/3.6*1000000</f>
        <v>1124.0978652905519</v>
      </c>
      <c r="G12" s="34"/>
      <c r="H12" s="33"/>
      <c r="I12" s="33"/>
      <c r="J12" s="40">
        <f>C34*'E Balans VL '!D22/100/3.6*1000000+C34*'E Balans VL '!E22/100/3.6*1000000</f>
        <v>263.55540408085221</v>
      </c>
      <c r="K12" s="33"/>
      <c r="L12" s="33"/>
      <c r="M12" s="33"/>
      <c r="N12" s="33">
        <f>C34*'E Balans VL '!Y22/100/3.6*1000000</f>
        <v>4035.9825670265468</v>
      </c>
      <c r="O12" s="33"/>
      <c r="P12" s="33"/>
      <c r="R12" s="32"/>
    </row>
    <row r="13" spans="1:18">
      <c r="A13" s="6" t="s">
        <v>38</v>
      </c>
      <c r="B13" s="37">
        <f t="shared" si="0"/>
        <v>0</v>
      </c>
      <c r="C13" s="33"/>
      <c r="D13" s="37">
        <f>IF( ISERROR(IND_papier_gas_kWh/1000),0,IND_papier_gas_kWh/1000)*0.903</f>
        <v>442.40997036599998</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4387.1431099159299</v>
      </c>
      <c r="C14" s="33"/>
      <c r="D14" s="37">
        <f>IF( ISERROR(IND_chemie_gas_kWh/1000),0,IND_chemie_gas_kWh/1000)*0.903</f>
        <v>11123.442773982</v>
      </c>
      <c r="E14" s="33">
        <f>C36*'E Balans VL '!I24/100/3.6*1000000</f>
        <v>916.1730150838365</v>
      </c>
      <c r="F14" s="33">
        <f>C36*'E Balans VL '!L24/100/3.6*1000000+C36*'E Balans VL '!N24/100/3.6*1000000</f>
        <v>29.148009902326404</v>
      </c>
      <c r="G14" s="34"/>
      <c r="H14" s="33"/>
      <c r="I14" s="33"/>
      <c r="J14" s="40">
        <f>C36*'E Balans VL '!D24/100/3.6*1000000+C36*'E Balans VL '!E24/100/3.6*1000000</f>
        <v>0</v>
      </c>
      <c r="K14" s="33"/>
      <c r="L14" s="33"/>
      <c r="M14" s="33"/>
      <c r="N14" s="33">
        <f>C36*'E Balans VL '!Y24/100/3.6*1000000</f>
        <v>1.5309080350886932</v>
      </c>
      <c r="O14" s="33"/>
      <c r="P14" s="33"/>
      <c r="R14" s="32"/>
    </row>
    <row r="15" spans="1:18">
      <c r="A15" s="6" t="s">
        <v>259</v>
      </c>
      <c r="B15" s="37">
        <f t="shared" si="0"/>
        <v>446.66809085031969</v>
      </c>
      <c r="C15" s="33"/>
      <c r="D15" s="37">
        <f>IF( ISERROR(IND_rest_gas_kWh/1000),0,IND_rest_gas_kWh/1000)*0.903</f>
        <v>8689.3231049730002</v>
      </c>
      <c r="E15" s="33">
        <f>C37*'E Balans VL '!I15/100/3.6*1000000</f>
        <v>26.296462086286496</v>
      </c>
      <c r="F15" s="33">
        <f>C37*'E Balans VL '!L15/100/3.6*1000000+C37*'E Balans VL '!N15/100/3.6*1000000</f>
        <v>68.140794057292098</v>
      </c>
      <c r="G15" s="34"/>
      <c r="H15" s="33"/>
      <c r="I15" s="33"/>
      <c r="J15" s="40">
        <f>C37*'E Balans VL '!D15/100/3.6*1000000+C37*'E Balans VL '!E15/100/3.6*1000000</f>
        <v>2.4251923533617203</v>
      </c>
      <c r="K15" s="33"/>
      <c r="L15" s="33"/>
      <c r="M15" s="33"/>
      <c r="N15" s="33">
        <f>C37*'E Balans VL '!Y15/100/3.6*1000000</f>
        <v>14.111935115853546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24361.6532128576</v>
      </c>
      <c r="C18" s="21">
        <f>C5+C16</f>
        <v>0</v>
      </c>
      <c r="D18" s="21">
        <f>MAX((D5+D16),0)</f>
        <v>37700.592954885004</v>
      </c>
      <c r="E18" s="21">
        <f>MAX((E5+E16),0)</f>
        <v>1102.3431915896326</v>
      </c>
      <c r="F18" s="21">
        <f>MAX((F5+F16),0)</f>
        <v>3203.1451363105575</v>
      </c>
      <c r="G18" s="21"/>
      <c r="H18" s="21"/>
      <c r="I18" s="21"/>
      <c r="J18" s="21">
        <f>MAX((J5+J16),0)</f>
        <v>268.65890560291967</v>
      </c>
      <c r="K18" s="21"/>
      <c r="L18" s="21">
        <f>MAX((L5+L16),0)</f>
        <v>0</v>
      </c>
      <c r="M18" s="21"/>
      <c r="N18" s="21">
        <f>MAX((N5+N16),0)</f>
        <v>4477.6324970825672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0.19976744967505317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4866.6653322006277</v>
      </c>
      <c r="C22" s="23">
        <f ca="1">C18*C20</f>
        <v>0</v>
      </c>
      <c r="D22" s="23">
        <f>D18*D20</f>
        <v>7615.5197768867711</v>
      </c>
      <c r="E22" s="23">
        <f>E18*E20</f>
        <v>250.2319044908466</v>
      </c>
      <c r="F22" s="23">
        <f>F18*F20</f>
        <v>855.23975139491893</v>
      </c>
      <c r="G22" s="23"/>
      <c r="H22" s="23"/>
      <c r="I22" s="23"/>
      <c r="J22" s="23">
        <f>J18*J20</f>
        <v>95.105252583433554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3269.7317851379403</v>
      </c>
      <c r="C30" s="39">
        <f>IF(ISERROR(B30*3.6/1000000/'E Balans VL '!Z18*100),0,B30*3.6/1000000/'E Balans VL '!Z18*100)</f>
        <v>0.19689428236350287</v>
      </c>
      <c r="D30" s="233" t="s">
        <v>835</v>
      </c>
    </row>
    <row r="31" spans="1:18" ht="30">
      <c r="A31" s="6" t="s">
        <v>32</v>
      </c>
      <c r="B31" s="37">
        <f>IF( ISERROR(IND_ander_ele_kWh/1000),0,IND_ander_ele_kWh/1000)</f>
        <v>2547.9986048880401</v>
      </c>
      <c r="C31" s="39">
        <f>IF(ISERROR(B31*3.6/1000000/'E Balans VL '!Z19*100),0,B31*3.6/1000000/'E Balans VL '!Z19*100)</f>
        <v>0.10381073812730049</v>
      </c>
      <c r="D31" s="233" t="s">
        <v>835</v>
      </c>
    </row>
    <row r="32" spans="1:18" ht="30">
      <c r="A32" s="168" t="s">
        <v>40</v>
      </c>
      <c r="B32" s="37">
        <f>IF( ISERROR(IND_voed_ele_kWh/1000),0,IND_voed_ele_kWh/1000)</f>
        <v>6345.4651607962905</v>
      </c>
      <c r="C32" s="39">
        <f>IF(ISERROR(B32*3.6/1000000/'E Balans VL '!Z20*100),0,B32*3.6/1000000/'E Balans VL '!Z20*100)</f>
        <v>0.18347293385855301</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7364.6464612690797</v>
      </c>
      <c r="C34" s="39">
        <f>IF(ISERROR(B34*3.6/1000000/'E Balans VL '!Z22*100),0,B34*3.6/1000000/'E Balans VL '!Z22*100)</f>
        <v>3.1446356048358313</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4387.1431099159299</v>
      </c>
      <c r="C36" s="39">
        <f>IF(ISERROR(B36*3.6/1000000/'E Balans VL '!Z24*100),0,B36*3.6/1000000/'E Balans VL '!Z24*100)</f>
        <v>0.13312243783380015</v>
      </c>
      <c r="D36" s="233" t="s">
        <v>835</v>
      </c>
    </row>
    <row r="37" spans="1:5" ht="30">
      <c r="A37" s="168" t="s">
        <v>259</v>
      </c>
      <c r="B37" s="37">
        <f>IF( ISERROR(IND_rest_ele_kWh/1000),0,IND_rest_ele_kWh/1000)</f>
        <v>446.66809085031969</v>
      </c>
      <c r="C37" s="39">
        <f>IF(ISERROR(B37*3.6/1000000/'E Balans VL '!Z15*100),0,B37*3.6/1000000/'E Balans VL '!Z15*100)</f>
        <v>3.667483341928309E-3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553.42089501367002</v>
      </c>
      <c r="C5" s="17">
        <f>'Eigen informatie GS &amp; warmtenet'!B62</f>
        <v>0</v>
      </c>
      <c r="D5" s="30">
        <f>IF(ISERROR(SUM(LB_lb_gas_kWh,LB_rest_gas_kWh)/1000),0,SUM(LB_lb_gas_kWh,LB_rest_gas_kWh)/1000)*0.903</f>
        <v>56.484130017000005</v>
      </c>
      <c r="E5" s="17">
        <f>B17*'E Balans VL '!I25/3.6*1000000/100</f>
        <v>15.8509109928107</v>
      </c>
      <c r="F5" s="17">
        <f>B17*('E Balans VL '!L25/3.6*1000000+'E Balans VL '!N25/3.6*1000000)/100</f>
        <v>1751.8446769575737</v>
      </c>
      <c r="G5" s="18"/>
      <c r="H5" s="17"/>
      <c r="I5" s="17"/>
      <c r="J5" s="17">
        <f>('E Balans VL '!D25+'E Balans VL '!E25)/3.6*1000000*landbouw!B17/100</f>
        <v>140.71755486209179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553.42089501367002</v>
      </c>
      <c r="C8" s="21">
        <f>C5+C6</f>
        <v>0</v>
      </c>
      <c r="D8" s="21">
        <f>MAX((D5+D6),0)</f>
        <v>56.484130017000005</v>
      </c>
      <c r="E8" s="21">
        <f>MAX((E5+E6),0)</f>
        <v>15.8509109928107</v>
      </c>
      <c r="F8" s="21">
        <f>MAX((F5+F6),0)</f>
        <v>1751.8446769575737</v>
      </c>
      <c r="G8" s="21"/>
      <c r="H8" s="21"/>
      <c r="I8" s="21"/>
      <c r="J8" s="21">
        <f>MAX((J5+J6),0)</f>
        <v>140.71755486209179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0.19976744967505317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110.55548079376621</v>
      </c>
      <c r="C12" s="23">
        <f ca="1">C8*C10</f>
        <v>0</v>
      </c>
      <c r="D12" s="23">
        <f>D8*D10</f>
        <v>11.409794263434001</v>
      </c>
      <c r="E12" s="23">
        <f>E8*E10</f>
        <v>3.5981567953680291</v>
      </c>
      <c r="F12" s="23">
        <f>F8*F10</f>
        <v>467.74252874767222</v>
      </c>
      <c r="G12" s="23"/>
      <c r="H12" s="23"/>
      <c r="I12" s="23"/>
      <c r="J12" s="23">
        <f>J8*J10</f>
        <v>49.814014421180488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7.6636239329815045E-2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157.94393735818252</v>
      </c>
      <c r="C26" s="243">
        <f>B26*'GWP N2O_CH4'!B5</f>
        <v>3316.8226845218328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49.747843851323886</v>
      </c>
      <c r="C27" s="243">
        <f>B27*'GWP N2O_CH4'!B5</f>
        <v>1044.7047208778015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1.9821199199429307</v>
      </c>
      <c r="C28" s="243">
        <f>B28*'GWP N2O_CH4'!B4</f>
        <v>614.45717518230856</v>
      </c>
      <c r="D28" s="50"/>
    </row>
    <row r="29" spans="1:4">
      <c r="A29" s="41" t="s">
        <v>266</v>
      </c>
      <c r="B29" s="243">
        <f>B34*'ha_N2O bodem landbouw'!B4</f>
        <v>4.9469721915615921</v>
      </c>
      <c r="C29" s="243">
        <f>B29*'GWP N2O_CH4'!B4</f>
        <v>1533.5613793840935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1.1238635445877459E-3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1.7427781538662242E-3</v>
      </c>
      <c r="C5" s="432" t="s">
        <v>204</v>
      </c>
      <c r="D5" s="417">
        <f>SUM(D6:D11)</f>
        <v>2.6306151313771082E-3</v>
      </c>
      <c r="E5" s="417">
        <f>SUM(E6:E11)</f>
        <v>1.1871345364910951E-3</v>
      </c>
      <c r="F5" s="430" t="s">
        <v>204</v>
      </c>
      <c r="G5" s="417">
        <f>SUM(G6:G11)</f>
        <v>0.63638660188016694</v>
      </c>
      <c r="H5" s="417">
        <f>SUM(H6:H11)</f>
        <v>0.13306742365675273</v>
      </c>
      <c r="I5" s="432" t="s">
        <v>204</v>
      </c>
      <c r="J5" s="432" t="s">
        <v>204</v>
      </c>
      <c r="K5" s="432" t="s">
        <v>204</v>
      </c>
      <c r="L5" s="432" t="s">
        <v>204</v>
      </c>
      <c r="M5" s="417">
        <f>SUM(M6:M11)</f>
        <v>4.5973475052757708E-2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4.9181743510818502E-4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8.2000045583438368E-4</v>
      </c>
      <c r="E6" s="884">
        <f>vkm_GW_PW*SUMIFS(TableVerdeelsleutelVkm[LPG],TableVerdeelsleutelVkm[Voertuigtype],"Lichte voertuigen")*SUMIFS(TableECFTransport[EnergieConsumptieFactor (PJ per km)],TableECFTransport[Index],CONCATENATE($A6,"_LPG_LPG"))</f>
        <v>3.2509682953192257E-4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9.7699763849821181E-2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4.0214257556751121E-2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8.46061849260063E-3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9.8798970134316155E-7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3.9164534501755048E-2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2.8897757587447848E-7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2.2487613382155551E-3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5.6186548940000274E-5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1.2829935612026637E-4</v>
      </c>
      <c r="E8" s="420">
        <f>vkm_NGW_PW*SUMIFS(TableVerdeelsleutelVkm[LPG],TableVerdeelsleutelVkm[Voertuigtype],"Lichte voertuigen")*SUMIFS(TableECFTransport[EnergieConsumptieFactor (PJ per km)],TableECFTransport[Index],CONCATENATE($A8,"_LPG_LPG"))</f>
        <v>4.8703096110369268E-5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1.3406992267575777E-2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6.2332749677584971E-3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1.2116961504158689E-3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4.421206442511857E-8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2.2569293572723796E-3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1.5608780252302025E-8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1.2958899288267937E-4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1.1867159277535477E-3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1.6823153194224579E-3</v>
      </c>
      <c r="E10" s="420">
        <f>vkm_SW_PW*SUMIFS(TableVerdeelsleutelVkm[LPG],TableVerdeelsleutelVkm[Voertuigtype],"Lichte voertuigen")*SUMIFS(TableECFTransport[EnergieConsumptieFactor (PJ per km)],TableECFTransport[Index],CONCATENATE($A10,"_LPG_LPG"))</f>
        <v>8.1333461084880326E-4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0.22175323138121295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8.6617471339243787E-2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1.8873162743863366E-2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7.0260402987228846E-6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0.26210515052252953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2.1152066432124491E-6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1.5049647334779611E-2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484.10504274061782</v>
      </c>
      <c r="C14" s="21"/>
      <c r="D14" s="21">
        <f t="shared" ref="D14:M14" si="0">((D5)*10^9/3600)+D12</f>
        <v>730.72642538253012</v>
      </c>
      <c r="E14" s="21">
        <f t="shared" si="0"/>
        <v>329.75959346974861</v>
      </c>
      <c r="F14" s="21"/>
      <c r="G14" s="21">
        <f t="shared" si="0"/>
        <v>176774.05607782415</v>
      </c>
      <c r="H14" s="21">
        <f t="shared" si="0"/>
        <v>36963.17323798687</v>
      </c>
      <c r="I14" s="21"/>
      <c r="J14" s="21"/>
      <c r="K14" s="21"/>
      <c r="L14" s="21"/>
      <c r="M14" s="21">
        <f t="shared" si="0"/>
        <v>12770.409736877142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0.19976744967505317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96.708429763125835</v>
      </c>
      <c r="C18" s="23"/>
      <c r="D18" s="23">
        <f t="shared" ref="D18:M18" si="1">D14*D16</f>
        <v>147.6067379272711</v>
      </c>
      <c r="E18" s="23">
        <f t="shared" si="1"/>
        <v>74.855427717632935</v>
      </c>
      <c r="F18" s="23"/>
      <c r="G18" s="23">
        <f t="shared" si="1"/>
        <v>47198.672972779052</v>
      </c>
      <c r="H18" s="23">
        <f t="shared" si="1"/>
        <v>9203.8301362587299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4.9470155120231112E-5</v>
      </c>
      <c r="C50" s="315">
        <f t="shared" ref="C50:P50" si="2">SUM(C51:C52)</f>
        <v>0</v>
      </c>
      <c r="D50" s="315">
        <f t="shared" si="2"/>
        <v>0</v>
      </c>
      <c r="E50" s="315">
        <f t="shared" si="2"/>
        <v>0</v>
      </c>
      <c r="F50" s="315">
        <f t="shared" si="2"/>
        <v>0</v>
      </c>
      <c r="G50" s="315">
        <f t="shared" si="2"/>
        <v>3.096981269279942E-3</v>
      </c>
      <c r="H50" s="315">
        <f t="shared" si="2"/>
        <v>0</v>
      </c>
      <c r="I50" s="315">
        <f t="shared" si="2"/>
        <v>0</v>
      </c>
      <c r="J50" s="315">
        <f t="shared" si="2"/>
        <v>0</v>
      </c>
      <c r="K50" s="315">
        <f t="shared" si="2"/>
        <v>0</v>
      </c>
      <c r="L50" s="315">
        <f t="shared" si="2"/>
        <v>0</v>
      </c>
      <c r="M50" s="315">
        <f t="shared" si="2"/>
        <v>1.7782180704441246E-4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4.9470155120231112E-5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3.096981269279942E-3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1.7782180704441246E-4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13.741709755619752</v>
      </c>
      <c r="C54" s="21">
        <f t="shared" ref="C54:P54" si="3">(C50)*10^9/3600</f>
        <v>0</v>
      </c>
      <c r="D54" s="21">
        <f t="shared" si="3"/>
        <v>0</v>
      </c>
      <c r="E54" s="21">
        <f t="shared" si="3"/>
        <v>0</v>
      </c>
      <c r="F54" s="21">
        <f t="shared" si="3"/>
        <v>0</v>
      </c>
      <c r="G54" s="21">
        <f t="shared" si="3"/>
        <v>860.27257479998389</v>
      </c>
      <c r="H54" s="21">
        <f t="shared" si="3"/>
        <v>0</v>
      </c>
      <c r="I54" s="21">
        <f t="shared" si="3"/>
        <v>0</v>
      </c>
      <c r="J54" s="21">
        <f t="shared" si="3"/>
        <v>0</v>
      </c>
      <c r="K54" s="21">
        <f t="shared" si="3"/>
        <v>0</v>
      </c>
      <c r="L54" s="21">
        <f t="shared" si="3"/>
        <v>0</v>
      </c>
      <c r="M54" s="21">
        <f t="shared" si="3"/>
        <v>49.394946401225688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0.19976744967505317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2.7451463120549557</v>
      </c>
      <c r="C58" s="23">
        <f t="shared" ref="C58:P58" ca="1" si="4">C54*C56</f>
        <v>0</v>
      </c>
      <c r="D58" s="23">
        <f t="shared" si="4"/>
        <v>0</v>
      </c>
      <c r="E58" s="23">
        <f t="shared" si="4"/>
        <v>0</v>
      </c>
      <c r="F58" s="23">
        <f t="shared" si="4"/>
        <v>0</v>
      </c>
      <c r="G58" s="23">
        <f t="shared" si="4"/>
        <v>229.69277747159572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6661.0340876858572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6661.0340876858572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2021-11-11T12:13:25Z</dcterms:modified>
</cp:coreProperties>
</file>