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5AEC10F-1625-4B0F-AA84-CA23FF3555F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6"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F6" i="17" s="1"/>
  <c r="R37" i="18"/>
  <c r="Q37" i="18"/>
  <c r="P37" i="18"/>
  <c r="D6" i="17" s="1"/>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<sst xmlns="http://schemas.openxmlformats.org/spreadsheetml/2006/main" count="2447" uniqueCount="873">
  <si>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</si>
  <si>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</si>
  <si>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</si>
  <si>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</si>
  <si>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</si>
  <si>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</si>
  <si>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</si>
  <si>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</si>
  <si>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</si>
  <si>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</si>
  <si>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</si>
  <si>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</si>
  <si>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</si>
  <si>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</si>
  <si>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</si>
  <si>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</si>
  <si>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</si>
  <si>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</si>
  <si>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</si>
  <si>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</si>
  <si>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</si>
  <si>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</si>
  <si>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</si>
  <si>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</si>
  <si>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</si>
  <si>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</si>
  <si>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</si>
  <si>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</si>
  <si>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</si>
  <si>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</si>
  <si>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</si>
  <si>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</si>
  <si>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</si>
  <si>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</si>
  <si>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</si>
  <si>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</si>
  <si>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</si>
  <si>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</si>
  <si>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</si>
  <si>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</si>
  <si>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</si>
  <si>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</si>
  <si>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</si>
  <si>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</si>
  <si>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</si>
  <si>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</si>
  <si>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</si>
  <si>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</si>
  <si>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</si>
  <si>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</si>
  <si>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</si>
  <si>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</si>
  <si>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</si>
  <si>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</si>
  <si>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</si>
  <si>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</si>
  <si>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</si>
  <si>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</si>
  <si>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</si>
  <si>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</si>
  <si>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</si>
  <si>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</si>
  <si>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</si>
  <si>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</si>
  <si>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</si>
  <si>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</si>
  <si>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</si>
  <si>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</si>
  <si>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</si>
  <si>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</si>
  <si>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</si>
  <si>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</si>
  <si>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</si>
  <si>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</si>
  <si>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</si>
  <si>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</si>
  <si>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</si>
  <si>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</si>
  <si>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</si>
  <si>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</si>
  <si>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</si>
  <si>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</si>
  <si>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</si>
  <si>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</si>
  <si>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</si>
  <si>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</si>
  <si>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</si>
  <si>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</si>
  <si>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</si>
  <si>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</si>
  <si>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</si>
  <si>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</si>
  <si>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</si>
  <si>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</si>
  <si>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</si>
  <si>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</si>
  <si>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</si>
  <si>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</si>
  <si>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</si>
  <si>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</si>
  <si>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</si>
  <si>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</si>
  <si>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</si>
  <si>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</si>
  <si>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</si>
  <si>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</si>
  <si>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</si>
  <si>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</si>
  <si>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</si>
  <si>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</si>
  <si>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</si>
  <si>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</si>
  <si>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</si>
  <si>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</si>
  <si>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</si>
  <si>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</si>
  <si>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</si>
  <si>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</si>
  <si>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</si>
  <si>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</si>
  <si>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</si>
  <si>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</si>
  <si>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</si>
  <si>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</si>
  <si>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</si>
  <si>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</si>
  <si>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</si>
  <si>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</si>
  <si>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</si>
  <si>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</si>
  <si>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</si>
  <si>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</si>
  <si>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</si>
  <si>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</si>
  <si>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</si>
  <si>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</si>
  <si>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</si>
  <si>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</si>
  <si>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</si>
  <si>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</si>
  <si>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</si>
  <si>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</si>
  <si>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</si>
  <si>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</si>
  <si>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</si>
  <si>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</si>
  <si>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</si>
  <si>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</si>
  <si>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</si>
  <si>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</si>
  <si>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</si>
  <si>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</si>
  <si>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</si>
  <si>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</si>
  <si>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</si>
  <si>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</si>
  <si>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</si>
  <si>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</si>
  <si>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</si>
  <si>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</si>
  <si>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</si>
  <si>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</si>
  <si>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</si>
  <si>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</si>
  <si>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</si>
  <si>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</si>
  <si>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</si>
  <si>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</si>
  <si>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</si>
  <si>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</si>
  <si>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</si>
  <si>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</si>
  <si>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</si>
  <si>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</si>
  <si>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</si>
  <si>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</si>
  <si>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</si>
  <si>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</si>
  <si>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</si>
  <si>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</si>
  <si>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</si>
  <si>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</si>
  <si>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</si>
  <si>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</si>
  <si>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</si>
  <si>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</si>
  <si>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</si>
  <si>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</si>
  <si>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</si>
  <si>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</si>
  <si>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</si>
  <si>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</si>
  <si>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</si>
  <si>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</si>
  <si>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</si>
  <si>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</si>
  <si>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</si>
  <si>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</si>
  <si>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</si>
  <si>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</si>
  <si>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</si>
  <si>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</si>
  <si>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</si>
  <si>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</si>
  <si>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</si>
  <si>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</si>
  <si>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</si>
  <si>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</si>
  <si>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</si>
  <si>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</si>
  <si>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</si>
  <si>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</si>
  <si>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</si>
  <si>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</si>
  <si>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</si>
  <si>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</si>
  <si>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</si>
  <si>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</si>
  <si>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</si>
  <si>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</si>
  <si>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</si>
  <si>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</si>
  <si>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</si>
  <si>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</si>
  <si>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</si>
  <si>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</si>
  <si>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</si>
  <si>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</si>
  <si>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</si>
  <si>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</si>
  <si>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</si>
  <si>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</si>
  <si>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</si>
  <si>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</si>
  <si>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</si>
  <si>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</si>
  <si>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</si>
  <si>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</si>
  <si>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</si>
  <si>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</si>
  <si>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</si>
  <si>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</si>
  <si>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</si>
  <si>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</si>
  <si>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</si>
  <si>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</si>
  <si>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</si>
  <si>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</si>
  <si>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</si>
  <si>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</si>
  <si>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</si>
  <si>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</si>
  <si>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</si>
  <si>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</si>
  <si>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</si>
  <si>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</si>
  <si>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</si>
  <si>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</si>
  <si>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</si>
  <si>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</si>
  <si>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</si>
  <si>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</si>
  <si>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</si>
  <si>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</si>
  <si>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</si>
  <si>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</si>
  <si>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</si>
  <si>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</si>
  <si>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</si>
  <si>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</si>
  <si>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</si>
  <si>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</si>
  <si>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</si>
  <si>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</si>
  <si>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</si>
  <si>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</si>
  <si>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</si>
  <si>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</si>
  <si>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</si>
  <si>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</si>
  <si>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</si>
  <si>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</si>
  <si>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</si>
  <si>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</si>
  <si>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</si>
  <si>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</si>
  <si>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</si>
  <si>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</si>
  <si>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</si>
  <si>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</si>
  <si>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</si>
  <si>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</si>
  <si>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</si>
  <si>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</si>
  <si>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</si>
  <si>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</si>
  <si>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</si>
  <si>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</si>
  <si>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</si>
  <si>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</si>
  <si>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</si>
  <si>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</si>
  <si>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</si>
  <si>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</si>
  <si>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</si>
  <si>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</si>
  <si>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</si>
  <si>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</si>
  <si>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</si>
  <si>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</si>
  <si>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</si>
  <si>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</si>
  <si>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</si>
  <si>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</si>
  <si>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</si>
  <si>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</si>
  <si>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</si>
  <si>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</si>
  <si>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</si>
  <si>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</si>
  <si>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</si>
  <si>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</si>
  <si>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</si>
  <si>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</si>
  <si>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</si>
  <si>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</si>
  <si>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</si>
  <si>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</si>
  <si>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</si>
  <si>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</si>
  <si>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</si>
  <si>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</si>
  <si>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</si>
  <si>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</si>
  <si>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</si>
  <si>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</si>
  <si>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</si>
  <si>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</si>
  <si>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</si>
  <si>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</si>
  <si>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</si>
  <si>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</si>
  <si>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</si>
  <si>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</si>
  <si>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</si>
  <si>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</si>
  <si>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</si>
  <si>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</si>
  <si>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</si>
  <si>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</si>
  <si>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</si>
  <si>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</si>
  <si>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</si>
  <si>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</si>
  <si>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</si>
  <si>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</si>
  <si>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</si>
  <si>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</si>
  <si>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</si>
  <si>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</si>
  <si>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</si>
  <si>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</si>
  <si>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</si>
  <si>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</si>
  <si>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</si>
  <si>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</si>
  <si>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</si>
  <si>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</si>
  <si>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</si>
  <si>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</si>
  <si>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</si>
  <si>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</si>
  <si>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</si>
  <si>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</si>
  <si>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</si>
  <si>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</si>
  <si>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</si>
  <si>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</si>
  <si>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</si>
  <si>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</si>
  <si>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</si>
  <si>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</si>
  <si>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</si>
  <si>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</si>
  <si>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</si>
  <si>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</si>
  <si>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</si>
  <si>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</si>
  <si>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</si>
  <si>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</si>
  <si>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</si>
  <si>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</si>
  <si>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</si>
  <si>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</si>
  <si>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</si>
  <si>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</si>
  <si>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</si>
  <si>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</si>
  <si>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</si>
  <si>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</si>
  <si>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</si>
  <si>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</si>
  <si>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</si>
  <si>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</si>
  <si>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</si>
  <si>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</si>
  <si>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</si>
  <si>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</si>
  <si>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</si>
  <si>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</si>
  <si>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</si>
  <si>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</si>
  <si>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</si>
  <si>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</si>
  <si>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</si>
  <si>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</si>
  <si>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</si>
  <si>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</si>
  <si>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</si>
  <si>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</si>
  <si>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</si>
  <si>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</si>
  <si>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</si>
  <si>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</si>
  <si>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</si>
  <si>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</si>
  <si>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</si>
  <si>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</si>
  <si>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</si>
  <si>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</si>
  <si>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</si>
  <si>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</si>
  <si>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</si>
  <si>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</si>
  <si>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</si>
  <si>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</si>
  <si>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</si>
  <si>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</si>
  <si>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</si>
  <si>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</si>
  <si>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</si>
  <si>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</si>
  <si>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</si>
  <si>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</si>
  <si>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</si>
  <si>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</si>
  <si>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</si>
  <si>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</si>
  <si>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</si>
  <si>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</si>
  <si>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</si>
  <si>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</si>
  <si>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</si>
  <si>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</si>
  <si>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</si>
  <si>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</si>
  <si>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</si>
  <si>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</si>
  <si>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</si>
  <si>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</si>
  <si>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</si>
  <si>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</si>
  <si>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</si>
  <si>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</si>
  <si>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</si>
  <si>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</si>
  <si>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</si>
  <si>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</si>
  <si>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</si>
  <si>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</si>
  <si>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</si>
  <si>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</si>
  <si>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</si>
  <si>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</si>
  <si>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</si>
  <si>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</si>
  <si>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</si>
  <si>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</si>
  <si>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</si>
  <si>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</si>
  <si>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</si>
  <si>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</si>
  <si>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</si>
  <si>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</si>
  <si>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</si>
  <si>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</si>
  <si>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</si>
  <si>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</si>
  <si>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</si>
  <si>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</si>
  <si>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</si>
  <si>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</si>
  <si>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</si>
  <si>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</si>
  <si>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</si>
  <si>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</si>
  <si>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</si>
  <si>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</si>
  <si>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</si>
  <si>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</si>
  <si>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</si>
  <si>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</si>
  <si>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</si>
  <si>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</si>
  <si>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</si>
  <si>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</si>
  <si>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</si>
  <si>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</si>
  <si>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</si>
  <si>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</si>
  <si>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</si>
  <si>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</si>
  <si>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</si>
  <si>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</si>
  <si>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</si>
  <si>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</si>
  <si>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</si>
  <si>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</si>
  <si>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</si>
  <si>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</si>
  <si>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</si>
  <si>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</si>
  <si>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</si>
  <si>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</si>
  <si>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</si>
  <si>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</si>
  <si>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</si>
  <si>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</si>
  <si>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</si>
  <si>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</si>
  <si>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</si>
  <si>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</si>
  <si>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</si>
  <si>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</si>
  <si>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</si>
  <si>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</si>
  <si>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</si>
  <si>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</si>
  <si>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</si>
  <si>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</si>
  <si>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</si>
  <si>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</si>
  <si>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</si>
  <si>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</si>
  <si>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</si>
  <si>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</si>
  <si>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</si>
  <si>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</si>
  <si>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</si>
  <si>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</si>
  <si>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</si>
  <si>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</si>
  <si>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</si>
  <si>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</si>
  <si>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</si>
  <si>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</si>
  <si>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</si>
  <si>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</si>
  <si>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</si>
  <si>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</si>
  <si>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</si>
  <si>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</si>
  <si>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</si>
  <si>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</si>
  <si>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</si>
  <si>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</si>
  <si>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</si>
  <si>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</si>
  <si>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</si>
  <si>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</si>
  <si>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</si>
  <si>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</si>
  <si>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</si>
  <si>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</si>
  <si>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</si>
  <si>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</si>
  <si>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</si>
  <si>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</si>
  <si>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</si>
  <si>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</si>
  <si>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</si>
  <si>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</si>
  <si>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</si>
  <si>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</si>
  <si>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</si>
  <si>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</si>
  <si>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</si>
  <si>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</si>
  <si>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</si>
  <si>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</si>
  <si>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</si>
  <si>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</si>
  <si>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</si>
  <si>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</si>
  <si>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</si>
  <si>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</si>
  <si>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</si>
  <si>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</si>
  <si>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</si>
  <si>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</si>
  <si>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</si>
  <si>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</si>
  <si>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</si>
  <si>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</si>
  <si>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</si>
  <si>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</si>
  <si>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</si>
  <si>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</si>
  <si>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</si>
  <si>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</si>
  <si>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</si>
  <si>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</si>
  <si>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</si>
  <si>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</si>
  <si>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</si>
  <si>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</si>
  <si>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</si>
  <si>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</si>
  <si>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</si>
  <si>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</si>
  <si>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</si>
  <si>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</si>
  <si>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</si>
  <si>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</si>
  <si>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</si>
  <si>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</si>
  <si>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</si>
  <si>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</si>
  <si>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</si>
  <si>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</si>
  <si>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</si>
  <si>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</si>
  <si>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</si>
  <si>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</si>
  <si>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</si>
  <si>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</si>
  <si>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</si>
  <si>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</si>
  <si>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</si>
  <si>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</si>
  <si>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</si>
  <si>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</si>
  <si>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</si>
  <si>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</si>
  <si>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</si>
  <si>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</si>
  <si>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</si>
  <si>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</si>
  <si>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</si>
  <si>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</si>
  <si>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</si>
  <si>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</si>
  <si>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</si>
  <si>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</si>
  <si>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</si>
  <si>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</si>
  <si>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</si>
  <si>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</si>
  <si>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</si>
  <si>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</si>
  <si>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</si>
  <si>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</si>
  <si>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</si>
  <si>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</si>
  <si>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</si>
  <si>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</si>
  <si>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</si>
  <si>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</si>
  <si>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</si>
  <si>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</si>
  <si>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</si>
  <si>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</si>
  <si>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</si>
  <si>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</si>
  <si>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</si>
  <si>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</si>
  <si>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</si>
  <si>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</si>
  <si>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</si>
  <si>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</si>
  <si>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</si>
  <si>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</si>
  <si>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</si>
  <si>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</si>
  <si>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</si>
  <si>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</si>
  <si>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</si>
  <si>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</si>
  <si>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</si>
  <si>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</si>
  <si>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</si>
  <si>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</si>
  <si>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</si>
  <si>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</si>
  <si>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</si>
  <si>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</si>
  <si>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</si>
  <si>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</si>
  <si>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</si>
  <si>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</si>
  <si>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</si>
  <si>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</si>
  <si>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</si>
  <si>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</si>
  <si>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</si>
  <si>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</si>
  <si>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</si>
  <si>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</si>
  <si>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</si>
  <si>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</si>
  <si>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</si>
  <si>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</si>
  <si>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</si>
  <si>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</si>
  <si>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</si>
  <si>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</si>
  <si>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</si>
  <si>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</si>
  <si>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</si>
  <si>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</si>
  <si>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</si>
  <si>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</si>
  <si>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</si>
  <si>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</si>
  <si>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</si>
  <si>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</si>
  <si>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</si>
  <si>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</si>
  <si>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</si>
  <si>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</si>
  <si>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</si>
  <si>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</si>
  <si>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</si>
  <si>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</si>
  <si>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</si>
  <si>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</si>
  <si>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</si>
  <si>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</si>
  <si>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</si>
  <si>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</si>
  <si>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</si>
  <si>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</si>
  <si>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</si>
  <si>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</si>
  <si>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</si>
  <si>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</si>
  <si>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</si>
  <si>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</si>
  <si>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</si>
  <si>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</si>
  <si>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</si>
  <si>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</si>
  <si>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</si>
  <si>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</si>
  <si>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</si>
  <si>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</si>
  <si>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</si>
  <si>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</si>
  <si>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</si>
  <si>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</si>
  <si>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</si>
  <si>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</si>
  <si>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</si>
  <si>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</si>
  <si>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</si>
  <si>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</si>
  <si>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</si>
  <si>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</si>
  <si>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</si>
  <si>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</si>
  <si>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</si>
  <si>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</si>
  <si>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</si>
  <si>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</si>
  <si>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</si>
  <si>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</si>
  <si>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</si>
  <si>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</si>
  <si>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</si>
  <si>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</si>
  <si>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</si>
  <si>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</si>
  <si>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</si>
  <si>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</si>
  <si>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</si>
  <si>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</si>
  <si>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</si>
  <si>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</si>
  <si>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</si>
  <si>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</si>
  <si>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</si>
  <si>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</si>
  <si>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</si>
  <si>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</si>
  <si>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</si>
  <si>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</si>
  <si>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</si>
  <si>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</si>
  <si>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</si>
  <si>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</si>
  <si>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</si>
  <si>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</si>
  <si>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</si>
  <si>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</si>
  <si>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</si>
  <si>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</si>
  <si>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</si>
  <si>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</si>
  <si>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</si>
  <si>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</si>
  <si>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</si>
  <si>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</si>
  <si>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</si>
  <si>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</si>
  <si>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</si>
  <si>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</si>
  <si>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</si>
  <si>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</si>
  <si>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</si>
  <si>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</si>
  <si>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</si>
  <si>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</si>
  <si>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</si>
  <si>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</si>
  <si>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</si>
  <si>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</si>
  <si>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</si>
  <si>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</si>
  <si>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</si>
  <si>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</si>
  <si>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</si>
  <si>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</si>
  <si>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</si>
  <si>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</si>
  <si>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</si>
  <si>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</si>
  <si>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</si>
  <si>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</si>
  <si>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</si>
  <si>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</si>
  <si>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</si>
  <si>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</si>
  <si>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</si>
  <si>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</si>
  <si>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</si>
  <si>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</si>
  <si>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</si>
  <si>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</si>
  <si>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</si>
  <si>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</si>
  <si>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</si>
  <si>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</si>
  <si>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</si>
  <si>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</si>
  <si>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</si>
  <si>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</si>
  <si>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</si>
  <si>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</si>
  <si>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</si>
  <si>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</si>
  <si>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</si>
  <si>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</si>
  <si>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</si>
  <si>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</si>
  <si>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13008</t>
  </si>
  <si>
    <t>GEEL</t>
  </si>
  <si>
    <t>referentietaak LNE (2017); Jaarverslag De Lijn</t>
  </si>
  <si>
    <t>waterkracht</t>
  </si>
  <si>
    <t>interne verbrandingsmotor</t>
  </si>
  <si>
    <t>WKK interne verbrandinsgmotor (gas)</t>
  </si>
  <si>
    <t>IVEKA</t>
  </si>
  <si>
    <t>brandstofcel</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</si>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</sst>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6F9544B-DFCB-40A8-96E0-2F84E3D7FC0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331346.92852414388</c:v>
                </c:pt>
                <c:pt idx="1">
                  <c:v>204636.10127642436</c:v>
                </c:pt>
                <c:pt idx="2">
                  <c:v>1370.6469999999999</c:v>
                </c:pt>
                <c:pt idx="3">
                  <c:v>48978.436158832548</c:v>
                </c:pt>
                <c:pt idx="4">
                  <c:v>257067.84100053646</c:v>
                </c:pt>
                <c:pt idx="5">
                  <c:v>387178.61405548465</c:v>
                </c:pt>
                <c:pt idx="6">
                  <c:v>3384.3460750254685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331346.92852414388</c:v>
                </c:pt>
                <c:pt idx="1">
                  <c:v>204636.10127642436</c:v>
                </c:pt>
                <c:pt idx="2">
                  <c:v>1370.6469999999999</c:v>
                </c:pt>
                <c:pt idx="3">
                  <c:v>48978.436158832548</c:v>
                </c:pt>
                <c:pt idx="4">
                  <c:v>257067.84100053646</c:v>
                </c:pt>
                <c:pt idx="5">
                  <c:v>387178.61405548465</c:v>
                </c:pt>
                <c:pt idx="6">
                  <c:v>3384.3460750254685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61778.869949425811</c:v>
                </c:pt>
                <c:pt idx="1">
                  <c:v>34088.784125384169</c:v>
                </c:pt>
                <c:pt idx="2">
                  <c:v>171.8702319410767</c:v>
                </c:pt>
                <c:pt idx="3">
                  <c:v>5652.0432415005653</c:v>
                </c:pt>
                <c:pt idx="4">
                  <c:v>45052.033669536359</c:v>
                </c:pt>
                <c:pt idx="5">
                  <c:v>96021.398826024815</c:v>
                </c:pt>
                <c:pt idx="6">
                  <c:v>848.15211063777895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61778.869949425811</c:v>
                </c:pt>
                <c:pt idx="1">
                  <c:v>34088.784125384169</c:v>
                </c:pt>
                <c:pt idx="2">
                  <c:v>171.8702319410767</c:v>
                </c:pt>
                <c:pt idx="3">
                  <c:v>5652.0432415005653</c:v>
                </c:pt>
                <c:pt idx="4">
                  <c:v>45052.033669536359</c:v>
                </c:pt>
                <c:pt idx="5">
                  <c:v>96021.398826024815</c:v>
                </c:pt>
                <c:pt idx="6">
                  <c:v>848.15211063777895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13008</v>
      </c>
      <c r="B6" s="384"/>
      <c r="C6" s="385"/>
    </row>
    <row r="7" spans="1:7" s="382" customFormat="1" ht="15.75" customHeight="1">
      <c r="A7" s="386" t="str">
        <f>txtMunicipality</f>
        <v>GEEL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87980.177328092919</v>
      </c>
      <c r="D10" s="681">
        <f ca="1">tertiair!C16</f>
        <v>3862.8899613899616</v>
      </c>
      <c r="E10" s="681">
        <f ca="1">tertiair!D16</f>
        <v>90937.008359932341</v>
      </c>
      <c r="F10" s="681">
        <f>tertiair!E16</f>
        <v>356.63767786709843</v>
      </c>
      <c r="G10" s="681">
        <f ca="1">tertiair!F16</f>
        <v>17487.199691134389</v>
      </c>
      <c r="H10" s="681">
        <f>tertiair!G16</f>
        <v>0</v>
      </c>
      <c r="I10" s="681">
        <f>tertiair!H16</f>
        <v>0</v>
      </c>
      <c r="J10" s="681">
        <f>tertiair!I16</f>
        <v>0</v>
      </c>
      <c r="K10" s="681">
        <f>tertiair!J16</f>
        <v>0.12283152391739842</v>
      </c>
      <c r="L10" s="681">
        <f>tertiair!K16</f>
        <v>0</v>
      </c>
      <c r="M10" s="681">
        <f ca="1">tertiair!L16</f>
        <v>0</v>
      </c>
      <c r="N10" s="681">
        <f>tertiair!M16</f>
        <v>0</v>
      </c>
      <c r="O10" s="681">
        <f ca="1">tertiair!N16</f>
        <v>4780.2956012830773</v>
      </c>
      <c r="P10" s="681">
        <f>tertiair!O16</f>
        <v>24.486303829205774</v>
      </c>
      <c r="Q10" s="682">
        <f>tertiair!P16</f>
        <v>577.93052137144514</v>
      </c>
      <c r="R10" s="684">
        <f ca="1">SUM(C10:Q10)</f>
        <v>206006.74827642436</v>
      </c>
      <c r="S10" s="67"/>
    </row>
    <row r="11" spans="1:19" s="443" customFormat="1">
      <c r="A11" s="802" t="s">
        <v>214</v>
      </c>
      <c r="B11" s="807"/>
      <c r="C11" s="681">
        <f>huishoudens!B8</f>
        <v>65367.385310232683</v>
      </c>
      <c r="D11" s="681">
        <f>huishoudens!C8</f>
        <v>0</v>
      </c>
      <c r="E11" s="681">
        <f>huishoudens!D8</f>
        <v>151862.93158892085</v>
      </c>
      <c r="F11" s="681">
        <f>huishoudens!E8</f>
        <v>3742.6372000279148</v>
      </c>
      <c r="G11" s="681">
        <f>huishoudens!F8</f>
        <v>81988.475830443756</v>
      </c>
      <c r="H11" s="681">
        <f>huishoudens!G8</f>
        <v>0</v>
      </c>
      <c r="I11" s="681">
        <f>huishoudens!H8</f>
        <v>0</v>
      </c>
      <c r="J11" s="681">
        <f>huishoudens!I8</f>
        <v>0</v>
      </c>
      <c r="K11" s="681">
        <f>huishoudens!J8</f>
        <v>467.26129114543352</v>
      </c>
      <c r="L11" s="681">
        <f>huishoudens!K8</f>
        <v>0</v>
      </c>
      <c r="M11" s="681">
        <f>huishoudens!L8</f>
        <v>0</v>
      </c>
      <c r="N11" s="681">
        <f>huishoudens!M8</f>
        <v>0</v>
      </c>
      <c r="O11" s="681">
        <f>huishoudens!N8</f>
        <v>22729.539919470331</v>
      </c>
      <c r="P11" s="681">
        <f>huishoudens!O8</f>
        <v>1196.3268062903803</v>
      </c>
      <c r="Q11" s="682">
        <f>huishoudens!P8</f>
        <v>3992.3705776126235</v>
      </c>
      <c r="R11" s="684">
        <f>SUM(C11:Q11)</f>
        <v>331346.92852414388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96930.333679976698</v>
      </c>
      <c r="D13" s="681">
        <f>industrie!C18</f>
        <v>0</v>
      </c>
      <c r="E13" s="681">
        <f>industrie!D18</f>
        <v>137767.14464988551</v>
      </c>
      <c r="F13" s="681">
        <f>industrie!E18</f>
        <v>13950.53567544689</v>
      </c>
      <c r="G13" s="681">
        <f>industrie!F18</f>
        <v>7030.2644948836723</v>
      </c>
      <c r="H13" s="681">
        <f>industrie!G18</f>
        <v>0</v>
      </c>
      <c r="I13" s="681">
        <f>industrie!H18</f>
        <v>0</v>
      </c>
      <c r="J13" s="681">
        <f>industrie!I18</f>
        <v>0</v>
      </c>
      <c r="K13" s="681">
        <f>industrie!J18</f>
        <v>70.011062030525679</v>
      </c>
      <c r="L13" s="681">
        <f>industrie!K18</f>
        <v>0</v>
      </c>
      <c r="M13" s="681">
        <f>industrie!L18</f>
        <v>0</v>
      </c>
      <c r="N13" s="681">
        <f>industrie!M18</f>
        <v>0</v>
      </c>
      <c r="O13" s="681">
        <f>industrie!N18</f>
        <v>1319.5514383131465</v>
      </c>
      <c r="P13" s="681">
        <f>industrie!O18</f>
        <v>0</v>
      </c>
      <c r="Q13" s="682">
        <f>industrie!P18</f>
        <v>0</v>
      </c>
      <c r="R13" s="684">
        <f>SUM(C13:Q13)</f>
        <v>257067.84100053646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250277.89631830232</v>
      </c>
      <c r="D16" s="717">
        <f t="shared" ref="D16:R16" ca="1" si="0">SUM(D9:D15)</f>
        <v>3862.8899613899616</v>
      </c>
      <c r="E16" s="717">
        <f t="shared" ca="1" si="0"/>
        <v>380567.0845987387</v>
      </c>
      <c r="F16" s="717">
        <f t="shared" si="0"/>
        <v>18049.810553341904</v>
      </c>
      <c r="G16" s="717">
        <f t="shared" ca="1" si="0"/>
        <v>106505.94001646181</v>
      </c>
      <c r="H16" s="717">
        <f t="shared" si="0"/>
        <v>0</v>
      </c>
      <c r="I16" s="717">
        <f t="shared" si="0"/>
        <v>0</v>
      </c>
      <c r="J16" s="717">
        <f t="shared" si="0"/>
        <v>0</v>
      </c>
      <c r="K16" s="717">
        <f t="shared" si="0"/>
        <v>537.39518469987661</v>
      </c>
      <c r="L16" s="717">
        <f t="shared" si="0"/>
        <v>0</v>
      </c>
      <c r="M16" s="717">
        <f t="shared" ca="1" si="0"/>
        <v>0</v>
      </c>
      <c r="N16" s="717">
        <f t="shared" si="0"/>
        <v>0</v>
      </c>
      <c r="O16" s="717">
        <f t="shared" ca="1" si="0"/>
        <v>28829.386959066553</v>
      </c>
      <c r="P16" s="717">
        <f t="shared" si="0"/>
        <v>1220.8131101195861</v>
      </c>
      <c r="Q16" s="717">
        <f t="shared" si="0"/>
        <v>4570.3010989840686</v>
      </c>
      <c r="R16" s="717">
        <f t="shared" ca="1" si="0"/>
        <v>794421.5178011047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50.364128835252188</v>
      </c>
      <c r="D19" s="681">
        <f>transport!C54</f>
        <v>0</v>
      </c>
      <c r="E19" s="681">
        <f>transport!D54</f>
        <v>0</v>
      </c>
      <c r="F19" s="681">
        <f>transport!E54</f>
        <v>0</v>
      </c>
      <c r="G19" s="681">
        <f>transport!F54</f>
        <v>0</v>
      </c>
      <c r="H19" s="681">
        <f>transport!G54</f>
        <v>3152.9467265120875</v>
      </c>
      <c r="I19" s="681">
        <f>transport!H54</f>
        <v>0</v>
      </c>
      <c r="J19" s="681">
        <f>transport!I54</f>
        <v>0</v>
      </c>
      <c r="K19" s="681">
        <f>transport!J54</f>
        <v>0</v>
      </c>
      <c r="L19" s="681">
        <f>transport!K54</f>
        <v>0</v>
      </c>
      <c r="M19" s="681">
        <f>transport!L54</f>
        <v>0</v>
      </c>
      <c r="N19" s="681">
        <f>transport!M54</f>
        <v>181.03521967812873</v>
      </c>
      <c r="O19" s="681">
        <f>transport!N54</f>
        <v>0</v>
      </c>
      <c r="P19" s="681">
        <f>transport!O54</f>
        <v>0</v>
      </c>
      <c r="Q19" s="682">
        <f>transport!P54</f>
        <v>0</v>
      </c>
      <c r="R19" s="684">
        <f>SUM(C19:Q19)</f>
        <v>3384.3460750254685</v>
      </c>
      <c r="S19" s="67"/>
    </row>
    <row r="20" spans="1:19" s="443" customFormat="1">
      <c r="A20" s="802" t="s">
        <v>296</v>
      </c>
      <c r="B20" s="807"/>
      <c r="C20" s="681">
        <f>transport!B14</f>
        <v>855.40353173810763</v>
      </c>
      <c r="D20" s="681">
        <f>transport!C14</f>
        <v>0</v>
      </c>
      <c r="E20" s="681">
        <f>transport!D14</f>
        <v>1460.8376099788181</v>
      </c>
      <c r="F20" s="681">
        <f>transport!E14</f>
        <v>597.04482713974778</v>
      </c>
      <c r="G20" s="681">
        <f>transport!F14</f>
        <v>0</v>
      </c>
      <c r="H20" s="681">
        <f>transport!G14</f>
        <v>290329.64576776157</v>
      </c>
      <c r="I20" s="681">
        <f>transport!H14</f>
        <v>72150.614400458348</v>
      </c>
      <c r="J20" s="681">
        <f>transport!I14</f>
        <v>0</v>
      </c>
      <c r="K20" s="681">
        <f>transport!J14</f>
        <v>0</v>
      </c>
      <c r="L20" s="681">
        <f>transport!K14</f>
        <v>0</v>
      </c>
      <c r="M20" s="681">
        <f>transport!L14</f>
        <v>0</v>
      </c>
      <c r="N20" s="681">
        <f>transport!M14</f>
        <v>21785.067918408095</v>
      </c>
      <c r="O20" s="681">
        <f>transport!N14</f>
        <v>0</v>
      </c>
      <c r="P20" s="681">
        <f>transport!O14</f>
        <v>0</v>
      </c>
      <c r="Q20" s="682">
        <f>transport!P14</f>
        <v>0</v>
      </c>
      <c r="R20" s="684">
        <f>SUM(C20:Q20)</f>
        <v>387178.61405548465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905.76766057335976</v>
      </c>
      <c r="D22" s="805">
        <f t="shared" ref="D22:R22" si="1">SUM(D18:D21)</f>
        <v>0</v>
      </c>
      <c r="E22" s="805">
        <f t="shared" si="1"/>
        <v>1460.8376099788181</v>
      </c>
      <c r="F22" s="805">
        <f t="shared" si="1"/>
        <v>597.04482713974778</v>
      </c>
      <c r="G22" s="805">
        <f t="shared" si="1"/>
        <v>0</v>
      </c>
      <c r="H22" s="805">
        <f t="shared" si="1"/>
        <v>293482.59249427367</v>
      </c>
      <c r="I22" s="805">
        <f t="shared" si="1"/>
        <v>72150.614400458348</v>
      </c>
      <c r="J22" s="805">
        <f t="shared" si="1"/>
        <v>0</v>
      </c>
      <c r="K22" s="805">
        <f t="shared" si="1"/>
        <v>0</v>
      </c>
      <c r="L22" s="805">
        <f t="shared" si="1"/>
        <v>0</v>
      </c>
      <c r="M22" s="805">
        <f t="shared" si="1"/>
        <v>0</v>
      </c>
      <c r="N22" s="805">
        <f t="shared" si="1"/>
        <v>21966.103138086222</v>
      </c>
      <c r="O22" s="805">
        <f t="shared" si="1"/>
        <v>0</v>
      </c>
      <c r="P22" s="805">
        <f t="shared" si="1"/>
        <v>0</v>
      </c>
      <c r="Q22" s="805">
        <f t="shared" si="1"/>
        <v>0</v>
      </c>
      <c r="R22" s="805">
        <f t="shared" si="1"/>
        <v>390562.9601305101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4436.1812295434702</v>
      </c>
      <c r="D24" s="681">
        <f>+landbouw!C8</f>
        <v>28715.747104247104</v>
      </c>
      <c r="E24" s="681">
        <f>+landbouw!D8</f>
        <v>528.80830079533837</v>
      </c>
      <c r="F24" s="681">
        <f>+landbouw!E8</f>
        <v>127.05973780721483</v>
      </c>
      <c r="G24" s="681">
        <f>+landbouw!F8</f>
        <v>14042.658206468459</v>
      </c>
      <c r="H24" s="681">
        <f>+landbouw!G8</f>
        <v>0</v>
      </c>
      <c r="I24" s="681">
        <f>+landbouw!H8</f>
        <v>0</v>
      </c>
      <c r="J24" s="681">
        <f>+landbouw!I8</f>
        <v>0</v>
      </c>
      <c r="K24" s="681">
        <f>+landbouw!J8</f>
        <v>1127.9815799709652</v>
      </c>
      <c r="L24" s="681">
        <f>+landbouw!K8</f>
        <v>0</v>
      </c>
      <c r="M24" s="681">
        <f>+landbouw!L8</f>
        <v>0</v>
      </c>
      <c r="N24" s="681">
        <f>+landbouw!M8</f>
        <v>0</v>
      </c>
      <c r="O24" s="681">
        <f>+landbouw!N8</f>
        <v>0</v>
      </c>
      <c r="P24" s="681">
        <f>+landbouw!O8</f>
        <v>0</v>
      </c>
      <c r="Q24" s="682">
        <f>+landbouw!P8</f>
        <v>0</v>
      </c>
      <c r="R24" s="684">
        <f>SUM(C24:Q24)</f>
        <v>48978.436158832548</v>
      </c>
      <c r="S24" s="67"/>
    </row>
    <row r="25" spans="1:19" s="443" customFormat="1" ht="15" thickBot="1">
      <c r="A25" s="824" t="s">
        <v>690</v>
      </c>
      <c r="B25" s="937"/>
      <c r="C25" s="938">
        <f>IF(Onbekend_ele_kWh="---",0,Onbekend_ele_kWh)/1000+IF(REST_rest_ele_kWh="---",0,REST_rest_ele_kWh)/1000</f>
        <v>2074.9145420120699</v>
      </c>
      <c r="D25" s="938"/>
      <c r="E25" s="938">
        <f>IF(onbekend_gas_kWh="---",0,onbekend_gas_kWh)/1000+IF(REST_rest_gas_kWh="---",0,REST_rest_gas_kWh)/1000</f>
        <v>8014.6422633060401</v>
      </c>
      <c r="F25" s="938"/>
      <c r="G25" s="938"/>
      <c r="H25" s="938"/>
      <c r="I25" s="938"/>
      <c r="J25" s="938"/>
      <c r="K25" s="938"/>
      <c r="L25" s="938"/>
      <c r="M25" s="938"/>
      <c r="N25" s="938"/>
      <c r="O25" s="938"/>
      <c r="P25" s="938"/>
      <c r="Q25" s="939"/>
      <c r="R25" s="684">
        <f>SUM(C25:Q25)</f>
        <v>10089.55680531811</v>
      </c>
      <c r="S25" s="67"/>
    </row>
    <row r="26" spans="1:19" s="443" customFormat="1" ht="15.75" thickBot="1">
      <c r="A26" s="689" t="s">
        <v>691</v>
      </c>
      <c r="B26" s="810"/>
      <c r="C26" s="805">
        <f>SUM(C24:C25)</f>
        <v>6511.0957715555396</v>
      </c>
      <c r="D26" s="805">
        <f t="shared" ref="D26:R26" si="2">SUM(D24:D25)</f>
        <v>28715.747104247104</v>
      </c>
      <c r="E26" s="805">
        <f t="shared" si="2"/>
        <v>8543.4505641013784</v>
      </c>
      <c r="F26" s="805">
        <f t="shared" si="2"/>
        <v>127.05973780721483</v>
      </c>
      <c r="G26" s="805">
        <f t="shared" si="2"/>
        <v>14042.658206468459</v>
      </c>
      <c r="H26" s="805">
        <f t="shared" si="2"/>
        <v>0</v>
      </c>
      <c r="I26" s="805">
        <f t="shared" si="2"/>
        <v>0</v>
      </c>
      <c r="J26" s="805">
        <f t="shared" si="2"/>
        <v>0</v>
      </c>
      <c r="K26" s="805">
        <f t="shared" si="2"/>
        <v>1127.9815799709652</v>
      </c>
      <c r="L26" s="805">
        <f t="shared" si="2"/>
        <v>0</v>
      </c>
      <c r="M26" s="805">
        <f t="shared" si="2"/>
        <v>0</v>
      </c>
      <c r="N26" s="805">
        <f t="shared" si="2"/>
        <v>0</v>
      </c>
      <c r="O26" s="805">
        <f t="shared" si="2"/>
        <v>0</v>
      </c>
      <c r="P26" s="805">
        <f t="shared" si="2"/>
        <v>0</v>
      </c>
      <c r="Q26" s="805">
        <f t="shared" si="2"/>
        <v>0</v>
      </c>
      <c r="R26" s="805">
        <f t="shared" si="2"/>
        <v>59067.992964150661</v>
      </c>
      <c r="S26" s="67"/>
    </row>
    <row r="27" spans="1:19" s="443" customFormat="1" ht="17.25" thickTop="1" thickBot="1">
      <c r="A27" s="690" t="s">
        <v>109</v>
      </c>
      <c r="B27" s="797"/>
      <c r="C27" s="691">
        <f ca="1">C22+C16+C26</f>
        <v>257694.7597504312</v>
      </c>
      <c r="D27" s="691">
        <f t="shared" ref="D27:R27" ca="1" si="3">D22+D16+D26</f>
        <v>32578.637065637067</v>
      </c>
      <c r="E27" s="691">
        <f t="shared" ca="1" si="3"/>
        <v>390571.3727728189</v>
      </c>
      <c r="F27" s="691">
        <f t="shared" si="3"/>
        <v>18773.915118288867</v>
      </c>
      <c r="G27" s="691">
        <f t="shared" ca="1" si="3"/>
        <v>120548.59822293028</v>
      </c>
      <c r="H27" s="691">
        <f t="shared" si="3"/>
        <v>293482.59249427367</v>
      </c>
      <c r="I27" s="691">
        <f t="shared" si="3"/>
        <v>72150.614400458348</v>
      </c>
      <c r="J27" s="691">
        <f t="shared" si="3"/>
        <v>0</v>
      </c>
      <c r="K27" s="691">
        <f t="shared" si="3"/>
        <v>1665.3767646708418</v>
      </c>
      <c r="L27" s="691">
        <f t="shared" si="3"/>
        <v>0</v>
      </c>
      <c r="M27" s="691">
        <f t="shared" ca="1" si="3"/>
        <v>0</v>
      </c>
      <c r="N27" s="691">
        <f t="shared" si="3"/>
        <v>21966.103138086222</v>
      </c>
      <c r="O27" s="691">
        <f t="shared" ca="1" si="3"/>
        <v>28829.386959066553</v>
      </c>
      <c r="P27" s="691">
        <f t="shared" si="3"/>
        <v>1220.8131101195861</v>
      </c>
      <c r="Q27" s="691">
        <f t="shared" si="3"/>
        <v>4570.3010989840686</v>
      </c>
      <c r="R27" s="691">
        <f t="shared" ca="1" si="3"/>
        <v>1244052.4708957653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11032.142837358117</v>
      </c>
      <c r="D40" s="681">
        <f ca="1">tertiair!C20</f>
        <v>109.15327849261641</v>
      </c>
      <c r="E40" s="681">
        <f ca="1">tertiair!D20</f>
        <v>18369.275688706333</v>
      </c>
      <c r="F40" s="681">
        <f>tertiair!E20</f>
        <v>80.956752875831341</v>
      </c>
      <c r="G40" s="681">
        <f ca="1">tertiair!F20</f>
        <v>4669.0823175328824</v>
      </c>
      <c r="H40" s="681">
        <f>tertiair!G20</f>
        <v>0</v>
      </c>
      <c r="I40" s="681">
        <f>tertiair!H20</f>
        <v>0</v>
      </c>
      <c r="J40" s="681">
        <f>tertiair!I20</f>
        <v>0</v>
      </c>
      <c r="K40" s="681">
        <f>tertiair!J20</f>
        <v>4.3482359466759039E-2</v>
      </c>
      <c r="L40" s="681">
        <f>tertiair!K20</f>
        <v>0</v>
      </c>
      <c r="M40" s="681">
        <f ca="1">tertiair!L20</f>
        <v>0</v>
      </c>
      <c r="N40" s="681">
        <f>tertiair!M20</f>
        <v>0</v>
      </c>
      <c r="O40" s="681">
        <f ca="1">tertiair!N20</f>
        <v>0</v>
      </c>
      <c r="P40" s="681">
        <f>tertiair!O20</f>
        <v>0</v>
      </c>
      <c r="Q40" s="764">
        <f>tertiair!P20</f>
        <v>0</v>
      </c>
      <c r="R40" s="843">
        <f t="shared" ca="1" si="4"/>
        <v>34260.654357325249</v>
      </c>
    </row>
    <row r="41" spans="1:18">
      <c r="A41" s="815" t="s">
        <v>214</v>
      </c>
      <c r="B41" s="822"/>
      <c r="C41" s="681">
        <f ca="1">huishoudens!B12</f>
        <v>8196.6455802634973</v>
      </c>
      <c r="D41" s="681">
        <f ca="1">huishoudens!C12</f>
        <v>0</v>
      </c>
      <c r="E41" s="681">
        <f>huishoudens!D12</f>
        <v>30676.312180962013</v>
      </c>
      <c r="F41" s="681">
        <f>huishoudens!E12</f>
        <v>849.57864440633671</v>
      </c>
      <c r="G41" s="681">
        <f>huishoudens!F12</f>
        <v>21890.923046728483</v>
      </c>
      <c r="H41" s="681">
        <f>huishoudens!G12</f>
        <v>0</v>
      </c>
      <c r="I41" s="681">
        <f>huishoudens!H12</f>
        <v>0</v>
      </c>
      <c r="J41" s="681">
        <f>huishoudens!I12</f>
        <v>0</v>
      </c>
      <c r="K41" s="681">
        <f>huishoudens!J12</f>
        <v>165.41049706548347</v>
      </c>
      <c r="L41" s="681">
        <f>huishoudens!K12</f>
        <v>0</v>
      </c>
      <c r="M41" s="681">
        <f>huishoudens!L12</f>
        <v>0</v>
      </c>
      <c r="N41" s="681">
        <f>huishoudens!M12</f>
        <v>0</v>
      </c>
      <c r="O41" s="681">
        <f>huishoudens!N12</f>
        <v>0</v>
      </c>
      <c r="P41" s="681">
        <f>huishoudens!O12</f>
        <v>0</v>
      </c>
      <c r="Q41" s="764">
        <f>huishoudens!P12</f>
        <v>0</v>
      </c>
      <c r="R41" s="843">
        <f t="shared" ca="1" si="4"/>
        <v>61778.869949425811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12154.434315840297</v>
      </c>
      <c r="D43" s="681">
        <f ca="1">industrie!C22</f>
        <v>0</v>
      </c>
      <c r="E43" s="681">
        <f>industrie!D22</f>
        <v>27828.963219276873</v>
      </c>
      <c r="F43" s="681">
        <f>industrie!E22</f>
        <v>3166.7715983264443</v>
      </c>
      <c r="G43" s="681">
        <f>industrie!F22</f>
        <v>1877.0806201339406</v>
      </c>
      <c r="H43" s="681">
        <f>industrie!G22</f>
        <v>0</v>
      </c>
      <c r="I43" s="681">
        <f>industrie!H22</f>
        <v>0</v>
      </c>
      <c r="J43" s="681">
        <f>industrie!I22</f>
        <v>0</v>
      </c>
      <c r="K43" s="681">
        <f>industrie!J22</f>
        <v>24.783915958806087</v>
      </c>
      <c r="L43" s="681">
        <f>industrie!K22</f>
        <v>0</v>
      </c>
      <c r="M43" s="681">
        <f>industrie!L22</f>
        <v>0</v>
      </c>
      <c r="N43" s="681">
        <f>industrie!M22</f>
        <v>0</v>
      </c>
      <c r="O43" s="681">
        <f>industrie!N22</f>
        <v>0</v>
      </c>
      <c r="P43" s="681">
        <f>industrie!O22</f>
        <v>0</v>
      </c>
      <c r="Q43" s="764">
        <f>industrie!P22</f>
        <v>0</v>
      </c>
      <c r="R43" s="842">
        <f t="shared" ca="1" si="4"/>
        <v>45052.033669536359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31383.222733461909</v>
      </c>
      <c r="D46" s="717">
        <f t="shared" ref="D46:Q46" ca="1" si="5">SUM(D39:D45)</f>
        <v>109.15327849261641</v>
      </c>
      <c r="E46" s="717">
        <f t="shared" ca="1" si="5"/>
        <v>76874.551088945227</v>
      </c>
      <c r="F46" s="717">
        <f t="shared" si="5"/>
        <v>4097.3069956086129</v>
      </c>
      <c r="G46" s="717">
        <f t="shared" ca="1" si="5"/>
        <v>28437.085984395304</v>
      </c>
      <c r="H46" s="717">
        <f t="shared" si="5"/>
        <v>0</v>
      </c>
      <c r="I46" s="717">
        <f t="shared" si="5"/>
        <v>0</v>
      </c>
      <c r="J46" s="717">
        <f t="shared" si="5"/>
        <v>0</v>
      </c>
      <c r="K46" s="717">
        <f t="shared" si="5"/>
        <v>190.23789538375632</v>
      </c>
      <c r="L46" s="717">
        <f t="shared" si="5"/>
        <v>0</v>
      </c>
      <c r="M46" s="717">
        <f t="shared" ca="1" si="5"/>
        <v>0</v>
      </c>
      <c r="N46" s="717">
        <f t="shared" si="5"/>
        <v>0</v>
      </c>
      <c r="O46" s="717">
        <f t="shared" ca="1" si="5"/>
        <v>0</v>
      </c>
      <c r="P46" s="717">
        <f t="shared" si="5"/>
        <v>0</v>
      </c>
      <c r="Q46" s="717">
        <f t="shared" si="5"/>
        <v>0</v>
      </c>
      <c r="R46" s="717">
        <f ca="1">SUM(R39:R45)</f>
        <v>141091.55797628741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6.3153346590515742</v>
      </c>
      <c r="D49" s="681">
        <f ca="1">transport!C58</f>
        <v>0</v>
      </c>
      <c r="E49" s="681">
        <f>transport!D58</f>
        <v>0</v>
      </c>
      <c r="F49" s="681">
        <f>transport!E58</f>
        <v>0</v>
      </c>
      <c r="G49" s="681">
        <f>transport!F58</f>
        <v>0</v>
      </c>
      <c r="H49" s="681">
        <f>transport!G58</f>
        <v>841.83677597872736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848.15211063777895</v>
      </c>
    </row>
    <row r="50" spans="1:18">
      <c r="A50" s="818" t="s">
        <v>296</v>
      </c>
      <c r="B50" s="828"/>
      <c r="C50" s="687">
        <f ca="1">transport!B18</f>
        <v>107.26204734190841</v>
      </c>
      <c r="D50" s="687">
        <f>transport!C18</f>
        <v>0</v>
      </c>
      <c r="E50" s="687">
        <f>transport!D18</f>
        <v>295.0891972157213</v>
      </c>
      <c r="F50" s="687">
        <f>transport!E18</f>
        <v>135.52917576072275</v>
      </c>
      <c r="G50" s="687">
        <f>transport!F18</f>
        <v>0</v>
      </c>
      <c r="H50" s="687">
        <f>transport!G18</f>
        <v>77518.015419992342</v>
      </c>
      <c r="I50" s="687">
        <f>transport!H18</f>
        <v>17965.502985714127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96021.398826024815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113.57738200095999</v>
      </c>
      <c r="D52" s="717">
        <f t="shared" ref="D52:Q52" ca="1" si="6">SUM(D48:D51)</f>
        <v>0</v>
      </c>
      <c r="E52" s="717">
        <f t="shared" si="6"/>
        <v>295.0891972157213</v>
      </c>
      <c r="F52" s="717">
        <f t="shared" si="6"/>
        <v>135.52917576072275</v>
      </c>
      <c r="G52" s="717">
        <f t="shared" si="6"/>
        <v>0</v>
      </c>
      <c r="H52" s="717">
        <f t="shared" si="6"/>
        <v>78359.852195971063</v>
      </c>
      <c r="I52" s="717">
        <f t="shared" si="6"/>
        <v>17965.502985714127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96869.550936662592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556.26831478439533</v>
      </c>
      <c r="D54" s="687">
        <f ca="1">+landbouw!C12</f>
        <v>811.41786903647323</v>
      </c>
      <c r="E54" s="687">
        <f>+landbouw!D12</f>
        <v>106.81927676065835</v>
      </c>
      <c r="F54" s="687">
        <f>+landbouw!E12</f>
        <v>28.842560482237769</v>
      </c>
      <c r="G54" s="687">
        <f>+landbouw!F12</f>
        <v>3749.3897411270787</v>
      </c>
      <c r="H54" s="687">
        <f>+landbouw!G12</f>
        <v>0</v>
      </c>
      <c r="I54" s="687">
        <f>+landbouw!H12</f>
        <v>0</v>
      </c>
      <c r="J54" s="687">
        <f>+landbouw!I12</f>
        <v>0</v>
      </c>
      <c r="K54" s="687">
        <f>+landbouw!J12</f>
        <v>399.30547930972165</v>
      </c>
      <c r="L54" s="687">
        <f>+landbouw!K12</f>
        <v>0</v>
      </c>
      <c r="M54" s="687">
        <f>+landbouw!L12</f>
        <v>0</v>
      </c>
      <c r="N54" s="687">
        <f>+landbouw!M12</f>
        <v>0</v>
      </c>
      <c r="O54" s="687">
        <f>+landbouw!N12</f>
        <v>0</v>
      </c>
      <c r="P54" s="687">
        <f>+landbouw!O12</f>
        <v>0</v>
      </c>
      <c r="Q54" s="688">
        <f>+landbouw!P12</f>
        <v>0</v>
      </c>
      <c r="R54" s="716">
        <f ca="1">SUM(C54:Q54)</f>
        <v>5652.0432415005653</v>
      </c>
    </row>
    <row r="55" spans="1:18" ht="15" thickBot="1">
      <c r="A55" s="818" t="s">
        <v>690</v>
      </c>
      <c r="B55" s="828"/>
      <c r="C55" s="687">
        <f ca="1">C25*'EF ele_warmte'!B12</f>
        <v>260.18080774519439</v>
      </c>
      <c r="D55" s="687"/>
      <c r="E55" s="687">
        <f>E25*EF_CO2_aardgas</f>
        <v>1618.9577371878202</v>
      </c>
      <c r="F55" s="687"/>
      <c r="G55" s="687"/>
      <c r="H55" s="687"/>
      <c r="I55" s="687"/>
      <c r="J55" s="687"/>
      <c r="K55" s="687"/>
      <c r="L55" s="687"/>
      <c r="M55" s="687"/>
      <c r="N55" s="687"/>
      <c r="O55" s="687"/>
      <c r="P55" s="687"/>
      <c r="Q55" s="688"/>
      <c r="R55" s="716">
        <f ca="1">SUM(C55:Q55)</f>
        <v>1879.1385449330146</v>
      </c>
    </row>
    <row r="56" spans="1:18" ht="15.75" thickBot="1">
      <c r="A56" s="816" t="s">
        <v>691</v>
      </c>
      <c r="B56" s="829"/>
      <c r="C56" s="717">
        <f ca="1">SUM(C54:C55)</f>
        <v>816.44912252958966</v>
      </c>
      <c r="D56" s="717">
        <f t="shared" ref="D56:Q56" ca="1" si="7">SUM(D54:D55)</f>
        <v>811.41786903647323</v>
      </c>
      <c r="E56" s="717">
        <f t="shared" si="7"/>
        <v>1725.7770139484785</v>
      </c>
      <c r="F56" s="717">
        <f t="shared" si="7"/>
        <v>28.842560482237769</v>
      </c>
      <c r="G56" s="717">
        <f t="shared" si="7"/>
        <v>3749.3897411270787</v>
      </c>
      <c r="H56" s="717">
        <f t="shared" si="7"/>
        <v>0</v>
      </c>
      <c r="I56" s="717">
        <f t="shared" si="7"/>
        <v>0</v>
      </c>
      <c r="J56" s="717">
        <f t="shared" si="7"/>
        <v>0</v>
      </c>
      <c r="K56" s="717">
        <f t="shared" si="7"/>
        <v>399.30547930972165</v>
      </c>
      <c r="L56" s="717">
        <f t="shared" si="7"/>
        <v>0</v>
      </c>
      <c r="M56" s="717">
        <f t="shared" si="7"/>
        <v>0</v>
      </c>
      <c r="N56" s="717">
        <f t="shared" si="7"/>
        <v>0</v>
      </c>
      <c r="O56" s="717">
        <f t="shared" si="7"/>
        <v>0</v>
      </c>
      <c r="P56" s="717">
        <f t="shared" si="7"/>
        <v>0</v>
      </c>
      <c r="Q56" s="718">
        <f t="shared" si="7"/>
        <v>0</v>
      </c>
      <c r="R56" s="719">
        <f ca="1">SUM(R54:R55)</f>
        <v>7531.1817864335799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32313.249237992459</v>
      </c>
      <c r="D61" s="725">
        <f t="shared" ref="D61:Q61" ca="1" si="8">D46+D52+D56</f>
        <v>920.57114752908967</v>
      </c>
      <c r="E61" s="725">
        <f t="shared" ca="1" si="8"/>
        <v>78895.417300109431</v>
      </c>
      <c r="F61" s="725">
        <f t="shared" si="8"/>
        <v>4261.6787318515735</v>
      </c>
      <c r="G61" s="725">
        <f t="shared" ca="1" si="8"/>
        <v>32186.475725522381</v>
      </c>
      <c r="H61" s="725">
        <f t="shared" si="8"/>
        <v>78359.852195971063</v>
      </c>
      <c r="I61" s="725">
        <f t="shared" si="8"/>
        <v>17965.502985714127</v>
      </c>
      <c r="J61" s="725">
        <f t="shared" si="8"/>
        <v>0</v>
      </c>
      <c r="K61" s="725">
        <f t="shared" si="8"/>
        <v>589.54337469347797</v>
      </c>
      <c r="L61" s="725">
        <f t="shared" si="8"/>
        <v>0</v>
      </c>
      <c r="M61" s="725">
        <f t="shared" ca="1" si="8"/>
        <v>0</v>
      </c>
      <c r="N61" s="725">
        <f t="shared" si="8"/>
        <v>0</v>
      </c>
      <c r="O61" s="725">
        <f t="shared" ca="1" si="8"/>
        <v>0</v>
      </c>
      <c r="P61" s="725">
        <f t="shared" si="8"/>
        <v>0</v>
      </c>
      <c r="Q61" s="725">
        <f t="shared" si="8"/>
        <v>0</v>
      </c>
      <c r="R61" s="725">
        <f ca="1">R46+R52+R56</f>
        <v>245492.29069938359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0.12539350535993346</v>
      </c>
      <c r="D63" s="771">
        <f t="shared" ca="1" si="9"/>
        <v>2.8256895636069427E-2</v>
      </c>
      <c r="E63" s="963">
        <f t="shared" ca="1" si="9"/>
        <v>0.20200000000000004</v>
      </c>
      <c r="F63" s="771">
        <f t="shared" si="9"/>
        <v>0.22700000000000004</v>
      </c>
      <c r="G63" s="771">
        <f t="shared" ca="1" si="9"/>
        <v>0.26699999999999996</v>
      </c>
      <c r="H63" s="771">
        <f t="shared" si="9"/>
        <v>0.26699999999999996</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64244.236649950166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27347.555982780119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20093.309652373744</v>
      </c>
      <c r="C76" s="738">
        <f>'lokale energieproductie'!B8*IFERROR(SUM(D76:H76)/SUM(D76:O76),0)</f>
        <v>2711.6903476262551</v>
      </c>
      <c r="D76" s="946">
        <f>'lokale energieproductie'!C8</f>
        <v>3190.0916088146691</v>
      </c>
      <c r="E76" s="947">
        <f>'lokale energieproductie'!D8</f>
        <v>0</v>
      </c>
      <c r="F76" s="947">
        <f>'lokale energieproductie'!E8</f>
        <v>0</v>
      </c>
      <c r="G76" s="947">
        <f>'lokale energieproductie'!F8</f>
        <v>0</v>
      </c>
      <c r="H76" s="947">
        <f>'lokale energieproductie'!G8</f>
        <v>0</v>
      </c>
      <c r="I76" s="947">
        <f>'lokale energieproductie'!I8</f>
        <v>0</v>
      </c>
      <c r="J76" s="947">
        <f>'lokale energieproductie'!J8</f>
        <v>23638.207279626658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644.39850498056319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111685.10228510403</v>
      </c>
      <c r="C78" s="743">
        <f>SUM(C72:C77)</f>
        <v>2711.6903476262551</v>
      </c>
      <c r="D78" s="744">
        <f t="shared" ref="D78:H78" si="10">SUM(D76:D77)</f>
        <v>3190.0916088146691</v>
      </c>
      <c r="E78" s="744">
        <f t="shared" si="10"/>
        <v>0</v>
      </c>
      <c r="F78" s="744">
        <f t="shared" si="10"/>
        <v>0</v>
      </c>
      <c r="G78" s="744">
        <f t="shared" si="10"/>
        <v>0</v>
      </c>
      <c r="H78" s="744">
        <f t="shared" si="10"/>
        <v>0</v>
      </c>
      <c r="I78" s="744">
        <f>SUM(I76:I77)</f>
        <v>0</v>
      </c>
      <c r="J78" s="744">
        <f>SUM(J76:J77)</f>
        <v>23638.207279626658</v>
      </c>
      <c r="K78" s="744">
        <f t="shared" ref="K78:L78" si="11">SUM(K76:K77)</f>
        <v>0</v>
      </c>
      <c r="L78" s="744">
        <f t="shared" si="11"/>
        <v>0</v>
      </c>
      <c r="M78" s="744">
        <f>SUM(M76:M77)</f>
        <v>0</v>
      </c>
      <c r="N78" s="744">
        <f>SUM(N76:N77)</f>
        <v>0</v>
      </c>
      <c r="O78" s="853">
        <f>SUM(O76:O77)</f>
        <v>0</v>
      </c>
      <c r="P78" s="745">
        <v>0</v>
      </c>
      <c r="Q78" s="745">
        <f>SUM(Q76:Q77)</f>
        <v>644.39850498056319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28704.785907132045</v>
      </c>
      <c r="C87" s="756">
        <f>'lokale energieproductie'!B17*IFERROR(SUM(D87:H87)/SUM(D87:O87),0)</f>
        <v>3873.8511585050196</v>
      </c>
      <c r="D87" s="767">
        <f>'lokale energieproductie'!C17</f>
        <v>4557.2829085598496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33768.935577516204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920.57114752908967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28704.785907132045</v>
      </c>
      <c r="C90" s="743">
        <f>SUM(C87:C89)</f>
        <v>3873.8511585050196</v>
      </c>
      <c r="D90" s="743">
        <f t="shared" ref="D90:H90" si="12">SUM(D87:D89)</f>
        <v>4557.2829085598496</v>
      </c>
      <c r="E90" s="743">
        <f t="shared" si="12"/>
        <v>0</v>
      </c>
      <c r="F90" s="743">
        <f t="shared" si="12"/>
        <v>0</v>
      </c>
      <c r="G90" s="743">
        <f t="shared" si="12"/>
        <v>0</v>
      </c>
      <c r="H90" s="743">
        <f t="shared" si="12"/>
        <v>0</v>
      </c>
      <c r="I90" s="743">
        <f>SUM(I87:I89)</f>
        <v>0</v>
      </c>
      <c r="J90" s="743">
        <f>SUM(J87:J89)</f>
        <v>33768.935577516204</v>
      </c>
      <c r="K90" s="743">
        <f t="shared" ref="K90:L90" si="13">SUM(K87:K89)</f>
        <v>0</v>
      </c>
      <c r="L90" s="743">
        <f t="shared" si="13"/>
        <v>0</v>
      </c>
      <c r="M90" s="743">
        <f>SUM(M87:M89)</f>
        <v>0</v>
      </c>
      <c r="N90" s="743">
        <f>SUM(N87:N89)</f>
        <v>0</v>
      </c>
      <c r="O90" s="743">
        <f>SUM(O87:O89)</f>
        <v>0</v>
      </c>
      <c r="P90" s="743">
        <v>0</v>
      </c>
      <c r="Q90" s="743">
        <f>SUM(Q87:Q89)</f>
        <v>920.57114752908967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65367.385310232683</v>
      </c>
      <c r="C4" s="447">
        <f>huishoudens!C8</f>
        <v>0</v>
      </c>
      <c r="D4" s="447">
        <f>huishoudens!D8</f>
        <v>151862.93158892085</v>
      </c>
      <c r="E4" s="447">
        <f>huishoudens!E8</f>
        <v>3742.6372000279148</v>
      </c>
      <c r="F4" s="447">
        <f>huishoudens!F8</f>
        <v>81988.475830443756</v>
      </c>
      <c r="G4" s="447">
        <f>huishoudens!G8</f>
        <v>0</v>
      </c>
      <c r="H4" s="447">
        <f>huishoudens!H8</f>
        <v>0</v>
      </c>
      <c r="I4" s="447">
        <f>huishoudens!I8</f>
        <v>0</v>
      </c>
      <c r="J4" s="447">
        <f>huishoudens!J8</f>
        <v>467.26129114543352</v>
      </c>
      <c r="K4" s="447">
        <f>huishoudens!K8</f>
        <v>0</v>
      </c>
      <c r="L4" s="447">
        <f>huishoudens!L8</f>
        <v>0</v>
      </c>
      <c r="M4" s="447">
        <f>huishoudens!M8</f>
        <v>0</v>
      </c>
      <c r="N4" s="447">
        <f>huishoudens!N8</f>
        <v>22729.539919470331</v>
      </c>
      <c r="O4" s="447">
        <f>huishoudens!O8</f>
        <v>1196.3268062903803</v>
      </c>
      <c r="P4" s="448">
        <f>huishoudens!P8</f>
        <v>3992.3705776126235</v>
      </c>
      <c r="Q4" s="449">
        <f>SUM(B4:P4)</f>
        <v>331346.92852414388</v>
      </c>
    </row>
    <row r="5" spans="1:17">
      <c r="A5" s="446" t="s">
        <v>149</v>
      </c>
      <c r="B5" s="447">
        <f ca="1">tertiair!B16</f>
        <v>86609.530328092922</v>
      </c>
      <c r="C5" s="447">
        <f ca="1">tertiair!C16</f>
        <v>3862.8899613899616</v>
      </c>
      <c r="D5" s="447">
        <f ca="1">tertiair!D16</f>
        <v>90937.008359932341</v>
      </c>
      <c r="E5" s="447">
        <f>tertiair!E16</f>
        <v>356.63767786709843</v>
      </c>
      <c r="F5" s="447">
        <f ca="1">tertiair!F16</f>
        <v>17487.199691134389</v>
      </c>
      <c r="G5" s="447">
        <f>tertiair!G16</f>
        <v>0</v>
      </c>
      <c r="H5" s="447">
        <f>tertiair!H16</f>
        <v>0</v>
      </c>
      <c r="I5" s="447">
        <f>tertiair!I16</f>
        <v>0</v>
      </c>
      <c r="J5" s="447">
        <f>tertiair!J16</f>
        <v>0.12283152391739842</v>
      </c>
      <c r="K5" s="447">
        <f>tertiair!K16</f>
        <v>0</v>
      </c>
      <c r="L5" s="447">
        <f ca="1">tertiair!L16</f>
        <v>0</v>
      </c>
      <c r="M5" s="447">
        <f>tertiair!M16</f>
        <v>0</v>
      </c>
      <c r="N5" s="447">
        <f ca="1">tertiair!N16</f>
        <v>4780.2956012830773</v>
      </c>
      <c r="O5" s="447">
        <f>tertiair!O16</f>
        <v>24.486303829205774</v>
      </c>
      <c r="P5" s="448">
        <f>tertiair!P16</f>
        <v>577.93052137144514</v>
      </c>
      <c r="Q5" s="446">
        <f t="shared" ref="Q5:Q14" ca="1" si="0">SUM(B5:P5)</f>
        <v>204636.10127642436</v>
      </c>
    </row>
    <row r="6" spans="1:17">
      <c r="A6" s="446" t="s">
        <v>187</v>
      </c>
      <c r="B6" s="447">
        <f>'openbare verlichting'!B8</f>
        <v>1370.6469999999999</v>
      </c>
      <c r="C6" s="447"/>
      <c r="D6" s="447"/>
      <c r="E6" s="447"/>
      <c r="F6" s="447"/>
      <c r="G6" s="447"/>
      <c r="H6" s="447"/>
      <c r="I6" s="447"/>
      <c r="J6" s="447"/>
      <c r="K6" s="447"/>
      <c r="L6" s="447"/>
      <c r="M6" s="447"/>
      <c r="N6" s="447"/>
      <c r="O6" s="447"/>
      <c r="P6" s="448"/>
      <c r="Q6" s="446">
        <f t="shared" si="0"/>
        <v>1370.6469999999999</v>
      </c>
    </row>
    <row r="7" spans="1:17">
      <c r="A7" s="446" t="s">
        <v>105</v>
      </c>
      <c r="B7" s="447">
        <f>landbouw!B8</f>
        <v>4436.1812295434702</v>
      </c>
      <c r="C7" s="447">
        <f>landbouw!C8</f>
        <v>28715.747104247104</v>
      </c>
      <c r="D7" s="447">
        <f>landbouw!D8</f>
        <v>528.80830079533837</v>
      </c>
      <c r="E7" s="447">
        <f>landbouw!E8</f>
        <v>127.05973780721483</v>
      </c>
      <c r="F7" s="447">
        <f>landbouw!F8</f>
        <v>14042.658206468459</v>
      </c>
      <c r="G7" s="447">
        <f>landbouw!G8</f>
        <v>0</v>
      </c>
      <c r="H7" s="447">
        <f>landbouw!H8</f>
        <v>0</v>
      </c>
      <c r="I7" s="447">
        <f>landbouw!I8</f>
        <v>0</v>
      </c>
      <c r="J7" s="447">
        <f>landbouw!J8</f>
        <v>1127.9815799709652</v>
      </c>
      <c r="K7" s="447">
        <f>landbouw!K8</f>
        <v>0</v>
      </c>
      <c r="L7" s="447">
        <f>landbouw!L8</f>
        <v>0</v>
      </c>
      <c r="M7" s="447">
        <f>landbouw!M8</f>
        <v>0</v>
      </c>
      <c r="N7" s="447">
        <f>landbouw!N8</f>
        <v>0</v>
      </c>
      <c r="O7" s="447">
        <f>landbouw!O8</f>
        <v>0</v>
      </c>
      <c r="P7" s="448">
        <f>landbouw!P8</f>
        <v>0</v>
      </c>
      <c r="Q7" s="446">
        <f t="shared" si="0"/>
        <v>48978.436158832548</v>
      </c>
    </row>
    <row r="8" spans="1:17">
      <c r="A8" s="446" t="s">
        <v>611</v>
      </c>
      <c r="B8" s="447">
        <f>industrie!B18</f>
        <v>96930.333679976698</v>
      </c>
      <c r="C8" s="447">
        <f>industrie!C18</f>
        <v>0</v>
      </c>
      <c r="D8" s="447">
        <f>industrie!D18</f>
        <v>137767.14464988551</v>
      </c>
      <c r="E8" s="447">
        <f>industrie!E18</f>
        <v>13950.53567544689</v>
      </c>
      <c r="F8" s="447">
        <f>industrie!F18</f>
        <v>7030.2644948836723</v>
      </c>
      <c r="G8" s="447">
        <f>industrie!G18</f>
        <v>0</v>
      </c>
      <c r="H8" s="447">
        <f>industrie!H18</f>
        <v>0</v>
      </c>
      <c r="I8" s="447">
        <f>industrie!I18</f>
        <v>0</v>
      </c>
      <c r="J8" s="447">
        <f>industrie!J18</f>
        <v>70.011062030525679</v>
      </c>
      <c r="K8" s="447">
        <f>industrie!K18</f>
        <v>0</v>
      </c>
      <c r="L8" s="447">
        <f>industrie!L18</f>
        <v>0</v>
      </c>
      <c r="M8" s="447">
        <f>industrie!M18</f>
        <v>0</v>
      </c>
      <c r="N8" s="447">
        <f>industrie!N18</f>
        <v>1319.5514383131465</v>
      </c>
      <c r="O8" s="447">
        <f>industrie!O18</f>
        <v>0</v>
      </c>
      <c r="P8" s="448">
        <f>industrie!P18</f>
        <v>0</v>
      </c>
      <c r="Q8" s="446">
        <f t="shared" si="0"/>
        <v>257067.84100053646</v>
      </c>
    </row>
    <row r="9" spans="1:17" s="452" customFormat="1">
      <c r="A9" s="450" t="s">
        <v>537</v>
      </c>
      <c r="B9" s="451">
        <f>transport!B14</f>
        <v>855.40353173810763</v>
      </c>
      <c r="C9" s="451">
        <f>transport!C14</f>
        <v>0</v>
      </c>
      <c r="D9" s="451">
        <f>transport!D14</f>
        <v>1460.8376099788181</v>
      </c>
      <c r="E9" s="451">
        <f>transport!E14</f>
        <v>597.04482713974778</v>
      </c>
      <c r="F9" s="451">
        <f>transport!F14</f>
        <v>0</v>
      </c>
      <c r="G9" s="451">
        <f>transport!G14</f>
        <v>290329.64576776157</v>
      </c>
      <c r="H9" s="451">
        <f>transport!H14</f>
        <v>72150.614400458348</v>
      </c>
      <c r="I9" s="451">
        <f>transport!I14</f>
        <v>0</v>
      </c>
      <c r="J9" s="451">
        <f>transport!J14</f>
        <v>0</v>
      </c>
      <c r="K9" s="451">
        <f>transport!K14</f>
        <v>0</v>
      </c>
      <c r="L9" s="451">
        <f>transport!L14</f>
        <v>0</v>
      </c>
      <c r="M9" s="451">
        <f>transport!M14</f>
        <v>21785.067918408095</v>
      </c>
      <c r="N9" s="451">
        <f>transport!N14</f>
        <v>0</v>
      </c>
      <c r="O9" s="451">
        <f>transport!O14</f>
        <v>0</v>
      </c>
      <c r="P9" s="451">
        <f>transport!P14</f>
        <v>0</v>
      </c>
      <c r="Q9" s="450">
        <f>SUM(B9:P9)</f>
        <v>387178.61405548465</v>
      </c>
    </row>
    <row r="10" spans="1:17">
      <c r="A10" s="446" t="s">
        <v>527</v>
      </c>
      <c r="B10" s="447">
        <f>transport!B54</f>
        <v>50.364128835252188</v>
      </c>
      <c r="C10" s="447">
        <f>transport!C54</f>
        <v>0</v>
      </c>
      <c r="D10" s="447">
        <f>transport!D54</f>
        <v>0</v>
      </c>
      <c r="E10" s="447">
        <f>transport!E54</f>
        <v>0</v>
      </c>
      <c r="F10" s="447">
        <f>transport!F54</f>
        <v>0</v>
      </c>
      <c r="G10" s="447">
        <f>transport!G54</f>
        <v>3152.9467265120875</v>
      </c>
      <c r="H10" s="447">
        <f>transport!H54</f>
        <v>0</v>
      </c>
      <c r="I10" s="447">
        <f>transport!I54</f>
        <v>0</v>
      </c>
      <c r="J10" s="447">
        <f>transport!J54</f>
        <v>0</v>
      </c>
      <c r="K10" s="447">
        <f>transport!K54</f>
        <v>0</v>
      </c>
      <c r="L10" s="447">
        <f>transport!L54</f>
        <v>0</v>
      </c>
      <c r="M10" s="447">
        <f>transport!M54</f>
        <v>181.03521967812873</v>
      </c>
      <c r="N10" s="447">
        <f>transport!N54</f>
        <v>0</v>
      </c>
      <c r="O10" s="447">
        <f>transport!O54</f>
        <v>0</v>
      </c>
      <c r="P10" s="448">
        <f>transport!P54</f>
        <v>0</v>
      </c>
      <c r="Q10" s="446">
        <f t="shared" si="0"/>
        <v>3384.3460750254685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2074.9145420120699</v>
      </c>
      <c r="C14" s="454"/>
      <c r="D14" s="454">
        <f>'SEAP template'!E25</f>
        <v>8014.6422633060401</v>
      </c>
      <c r="E14" s="454"/>
      <c r="F14" s="454"/>
      <c r="G14" s="454"/>
      <c r="H14" s="454"/>
      <c r="I14" s="454"/>
      <c r="J14" s="454"/>
      <c r="K14" s="454"/>
      <c r="L14" s="454"/>
      <c r="M14" s="454"/>
      <c r="N14" s="454"/>
      <c r="O14" s="454"/>
      <c r="P14" s="455"/>
      <c r="Q14" s="446">
        <f t="shared" si="0"/>
        <v>10089.55680531811</v>
      </c>
    </row>
    <row r="15" spans="1:17" s="458" customFormat="1">
      <c r="A15" s="456" t="s">
        <v>531</v>
      </c>
      <c r="B15" s="457">
        <f ca="1">SUM(B4:B14)</f>
        <v>257694.75975043123</v>
      </c>
      <c r="C15" s="457">
        <f t="shared" ref="C15:Q15" ca="1" si="1">SUM(C4:C14)</f>
        <v>32578.637065637067</v>
      </c>
      <c r="D15" s="457">
        <f t="shared" ca="1" si="1"/>
        <v>390571.37277281884</v>
      </c>
      <c r="E15" s="457">
        <f t="shared" si="1"/>
        <v>18773.915118288867</v>
      </c>
      <c r="F15" s="457">
        <f t="shared" ca="1" si="1"/>
        <v>120548.59822293028</v>
      </c>
      <c r="G15" s="457">
        <f t="shared" si="1"/>
        <v>293482.59249427367</v>
      </c>
      <c r="H15" s="457">
        <f t="shared" si="1"/>
        <v>72150.614400458348</v>
      </c>
      <c r="I15" s="457">
        <f t="shared" si="1"/>
        <v>0</v>
      </c>
      <c r="J15" s="457">
        <f t="shared" si="1"/>
        <v>1665.3767646708418</v>
      </c>
      <c r="K15" s="457">
        <f t="shared" si="1"/>
        <v>0</v>
      </c>
      <c r="L15" s="457">
        <f t="shared" ca="1" si="1"/>
        <v>0</v>
      </c>
      <c r="M15" s="457">
        <f t="shared" si="1"/>
        <v>21966.103138086222</v>
      </c>
      <c r="N15" s="457">
        <f t="shared" ca="1" si="1"/>
        <v>28829.386959066553</v>
      </c>
      <c r="O15" s="457">
        <f t="shared" si="1"/>
        <v>1220.8131101195861</v>
      </c>
      <c r="P15" s="457">
        <f t="shared" si="1"/>
        <v>4570.3010989840686</v>
      </c>
      <c r="Q15" s="457">
        <f t="shared" ca="1" si="1"/>
        <v>1244052.4708957653</v>
      </c>
    </row>
    <row r="17" spans="1:17">
      <c r="A17" s="459" t="s">
        <v>532</v>
      </c>
      <c r="B17" s="776">
        <f ca="1">huishoudens!B10</f>
        <v>0.12539350535993346</v>
      </c>
      <c r="C17" s="776">
        <f ca="1">huishoudens!C10</f>
        <v>2.8256895636069427E-2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8196.6455802634973</v>
      </c>
      <c r="C22" s="447">
        <f t="shared" ref="C22:C32" ca="1" si="3">C4*$C$17</f>
        <v>0</v>
      </c>
      <c r="D22" s="447">
        <f t="shared" ref="D22:D32" si="4">D4*$D$17</f>
        <v>30676.312180962013</v>
      </c>
      <c r="E22" s="447">
        <f t="shared" ref="E22:E32" si="5">E4*$E$17</f>
        <v>849.57864440633671</v>
      </c>
      <c r="F22" s="447">
        <f t="shared" ref="F22:F32" si="6">F4*$F$17</f>
        <v>21890.923046728483</v>
      </c>
      <c r="G22" s="447">
        <f t="shared" ref="G22:G32" si="7">G4*$G$17</f>
        <v>0</v>
      </c>
      <c r="H22" s="447">
        <f t="shared" ref="H22:H32" si="8">H4*$H$17</f>
        <v>0</v>
      </c>
      <c r="I22" s="447">
        <f t="shared" ref="I22:I32" si="9">I4*$I$17</f>
        <v>0</v>
      </c>
      <c r="J22" s="447">
        <f t="shared" ref="J22:J32" si="10">J4*$J$17</f>
        <v>165.41049706548347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61778.869949425811</v>
      </c>
    </row>
    <row r="23" spans="1:17">
      <c r="A23" s="446" t="s">
        <v>149</v>
      </c>
      <c r="B23" s="447">
        <f t="shared" ca="1" si="2"/>
        <v>10860.27260541704</v>
      </c>
      <c r="C23" s="447">
        <f t="shared" ca="1" si="3"/>
        <v>109.15327849261641</v>
      </c>
      <c r="D23" s="447">
        <f t="shared" ca="1" si="4"/>
        <v>18369.275688706333</v>
      </c>
      <c r="E23" s="447">
        <f t="shared" si="5"/>
        <v>80.956752875831341</v>
      </c>
      <c r="F23" s="447">
        <f t="shared" ca="1" si="6"/>
        <v>4669.0823175328824</v>
      </c>
      <c r="G23" s="447">
        <f t="shared" si="7"/>
        <v>0</v>
      </c>
      <c r="H23" s="447">
        <f t="shared" si="8"/>
        <v>0</v>
      </c>
      <c r="I23" s="447">
        <f t="shared" si="9"/>
        <v>0</v>
      </c>
      <c r="J23" s="447">
        <f t="shared" si="10"/>
        <v>4.3482359466759039E-2</v>
      </c>
      <c r="K23" s="447">
        <f t="shared" si="11"/>
        <v>0</v>
      </c>
      <c r="L23" s="447">
        <f t="shared" ca="1" si="12"/>
        <v>0</v>
      </c>
      <c r="M23" s="447">
        <f t="shared" si="13"/>
        <v>0</v>
      </c>
      <c r="N23" s="447">
        <f t="shared" ca="1" si="14"/>
        <v>0</v>
      </c>
      <c r="O23" s="447">
        <f t="shared" si="15"/>
        <v>0</v>
      </c>
      <c r="P23" s="448">
        <f t="shared" si="16"/>
        <v>0</v>
      </c>
      <c r="Q23" s="446">
        <f t="shared" ref="Q23:Q31" ca="1" si="17">SUM(B23:P23)</f>
        <v>34088.784125384169</v>
      </c>
    </row>
    <row r="24" spans="1:17">
      <c r="A24" s="446" t="s">
        <v>187</v>
      </c>
      <c r="B24" s="447">
        <f t="shared" ca="1" si="2"/>
        <v>171.8702319410767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171.8702319410767</v>
      </c>
    </row>
    <row r="25" spans="1:17">
      <c r="A25" s="446" t="s">
        <v>105</v>
      </c>
      <c r="B25" s="447">
        <f t="shared" ca="1" si="2"/>
        <v>556.26831478439533</v>
      </c>
      <c r="C25" s="447">
        <f t="shared" ca="1" si="3"/>
        <v>811.41786903647323</v>
      </c>
      <c r="D25" s="447">
        <f t="shared" si="4"/>
        <v>106.81927676065835</v>
      </c>
      <c r="E25" s="447">
        <f t="shared" si="5"/>
        <v>28.842560482237769</v>
      </c>
      <c r="F25" s="447">
        <f t="shared" si="6"/>
        <v>3749.3897411270787</v>
      </c>
      <c r="G25" s="447">
        <f t="shared" si="7"/>
        <v>0</v>
      </c>
      <c r="H25" s="447">
        <f t="shared" si="8"/>
        <v>0</v>
      </c>
      <c r="I25" s="447">
        <f t="shared" si="9"/>
        <v>0</v>
      </c>
      <c r="J25" s="447">
        <f t="shared" si="10"/>
        <v>399.30547930972165</v>
      </c>
      <c r="K25" s="447">
        <f t="shared" si="11"/>
        <v>0</v>
      </c>
      <c r="L25" s="447">
        <f t="shared" si="12"/>
        <v>0</v>
      </c>
      <c r="M25" s="447">
        <f t="shared" si="13"/>
        <v>0</v>
      </c>
      <c r="N25" s="447">
        <f t="shared" si="14"/>
        <v>0</v>
      </c>
      <c r="O25" s="447">
        <f t="shared" si="15"/>
        <v>0</v>
      </c>
      <c r="P25" s="448">
        <f t="shared" si="16"/>
        <v>0</v>
      </c>
      <c r="Q25" s="446">
        <f t="shared" ca="1" si="17"/>
        <v>5652.0432415005653</v>
      </c>
    </row>
    <row r="26" spans="1:17">
      <c r="A26" s="446" t="s">
        <v>611</v>
      </c>
      <c r="B26" s="447">
        <f t="shared" ca="1" si="2"/>
        <v>12154.434315840297</v>
      </c>
      <c r="C26" s="447">
        <f t="shared" ca="1" si="3"/>
        <v>0</v>
      </c>
      <c r="D26" s="447">
        <f t="shared" si="4"/>
        <v>27828.963219276873</v>
      </c>
      <c r="E26" s="447">
        <f t="shared" si="5"/>
        <v>3166.7715983264443</v>
      </c>
      <c r="F26" s="447">
        <f t="shared" si="6"/>
        <v>1877.0806201339406</v>
      </c>
      <c r="G26" s="447">
        <f t="shared" si="7"/>
        <v>0</v>
      </c>
      <c r="H26" s="447">
        <f t="shared" si="8"/>
        <v>0</v>
      </c>
      <c r="I26" s="447">
        <f t="shared" si="9"/>
        <v>0</v>
      </c>
      <c r="J26" s="447">
        <f t="shared" si="10"/>
        <v>24.783915958806087</v>
      </c>
      <c r="K26" s="447">
        <f t="shared" si="11"/>
        <v>0</v>
      </c>
      <c r="L26" s="447">
        <f t="shared" si="12"/>
        <v>0</v>
      </c>
      <c r="M26" s="447">
        <f t="shared" si="13"/>
        <v>0</v>
      </c>
      <c r="N26" s="447">
        <f t="shared" si="14"/>
        <v>0</v>
      </c>
      <c r="O26" s="447">
        <f t="shared" si="15"/>
        <v>0</v>
      </c>
      <c r="P26" s="448">
        <f t="shared" si="16"/>
        <v>0</v>
      </c>
      <c r="Q26" s="446">
        <f t="shared" ca="1" si="17"/>
        <v>45052.033669536359</v>
      </c>
    </row>
    <row r="27" spans="1:17" s="452" customFormat="1">
      <c r="A27" s="450" t="s">
        <v>537</v>
      </c>
      <c r="B27" s="770">
        <f t="shared" ca="1" si="2"/>
        <v>107.26204734190841</v>
      </c>
      <c r="C27" s="451">
        <f t="shared" ca="1" si="3"/>
        <v>0</v>
      </c>
      <c r="D27" s="451">
        <f t="shared" si="4"/>
        <v>295.0891972157213</v>
      </c>
      <c r="E27" s="451">
        <f t="shared" si="5"/>
        <v>135.52917576072275</v>
      </c>
      <c r="F27" s="451">
        <f t="shared" si="6"/>
        <v>0</v>
      </c>
      <c r="G27" s="451">
        <f t="shared" si="7"/>
        <v>77518.015419992342</v>
      </c>
      <c r="H27" s="451">
        <f t="shared" si="8"/>
        <v>17965.502985714127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96021.398826024815</v>
      </c>
    </row>
    <row r="28" spans="1:17" ht="16.5" customHeight="1">
      <c r="A28" s="446" t="s">
        <v>527</v>
      </c>
      <c r="B28" s="447">
        <f t="shared" ca="1" si="2"/>
        <v>6.3153346590515742</v>
      </c>
      <c r="C28" s="447">
        <f t="shared" ca="1" si="3"/>
        <v>0</v>
      </c>
      <c r="D28" s="447">
        <f t="shared" si="4"/>
        <v>0</v>
      </c>
      <c r="E28" s="447">
        <f t="shared" si="5"/>
        <v>0</v>
      </c>
      <c r="F28" s="447">
        <f t="shared" si="6"/>
        <v>0</v>
      </c>
      <c r="G28" s="447">
        <f t="shared" si="7"/>
        <v>841.83677597872736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848.15211063777895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260.18080774519439</v>
      </c>
      <c r="C32" s="447">
        <f t="shared" ca="1" si="3"/>
        <v>0</v>
      </c>
      <c r="D32" s="447">
        <f t="shared" si="4"/>
        <v>1618.9577371878202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1879.1385449330146</v>
      </c>
    </row>
    <row r="33" spans="1:17" s="458" customFormat="1">
      <c r="A33" s="456" t="s">
        <v>531</v>
      </c>
      <c r="B33" s="457">
        <f ca="1">SUM(B22:B32)</f>
        <v>32313.249237992462</v>
      </c>
      <c r="C33" s="457">
        <f t="shared" ref="C33:Q33" ca="1" si="19">SUM(C22:C32)</f>
        <v>920.57114752908967</v>
      </c>
      <c r="D33" s="457">
        <f t="shared" ca="1" si="19"/>
        <v>78895.417300109431</v>
      </c>
      <c r="E33" s="457">
        <f t="shared" si="19"/>
        <v>4261.6787318515726</v>
      </c>
      <c r="F33" s="457">
        <f t="shared" ca="1" si="19"/>
        <v>32186.475725522381</v>
      </c>
      <c r="G33" s="457">
        <f t="shared" si="19"/>
        <v>78359.852195971063</v>
      </c>
      <c r="H33" s="457">
        <f t="shared" si="19"/>
        <v>17965.502985714127</v>
      </c>
      <c r="I33" s="457">
        <f t="shared" si="19"/>
        <v>0</v>
      </c>
      <c r="J33" s="457">
        <f t="shared" si="19"/>
        <v>589.54337469347797</v>
      </c>
      <c r="K33" s="457">
        <f t="shared" si="19"/>
        <v>0</v>
      </c>
      <c r="L33" s="457">
        <f t="shared" ca="1" si="19"/>
        <v>0</v>
      </c>
      <c r="M33" s="457">
        <f t="shared" si="19"/>
        <v>0</v>
      </c>
      <c r="N33" s="457">
        <f t="shared" ca="1" si="19"/>
        <v>0</v>
      </c>
      <c r="O33" s="457">
        <f t="shared" si="19"/>
        <v>0</v>
      </c>
      <c r="P33" s="457">
        <f t="shared" si="19"/>
        <v>0</v>
      </c>
      <c r="Q33" s="457">
        <f t="shared" ca="1" si="19"/>
        <v>245492.29069938359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64244.236649950166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27347.555982780119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20093.309652373744</v>
      </c>
      <c r="C8" s="1014">
        <f>'SEAP template'!C76</f>
        <v>2711.6903476262551</v>
      </c>
      <c r="D8" s="1014">
        <f>'SEAP template'!D76</f>
        <v>3190.0916088146691</v>
      </c>
      <c r="E8" s="1014">
        <f>'SEAP template'!E76</f>
        <v>0</v>
      </c>
      <c r="F8" s="1014">
        <f>'SEAP template'!F76</f>
        <v>0</v>
      </c>
      <c r="G8" s="1014">
        <f>'SEAP template'!G76</f>
        <v>0</v>
      </c>
      <c r="H8" s="1014">
        <f>'SEAP template'!H76</f>
        <v>0</v>
      </c>
      <c r="I8" s="1014">
        <f>'SEAP template'!I76</f>
        <v>0</v>
      </c>
      <c r="J8" s="1014">
        <f>'SEAP template'!J76</f>
        <v>23638.207279626658</v>
      </c>
      <c r="K8" s="1014">
        <f>'SEAP template'!K76</f>
        <v>0</v>
      </c>
      <c r="L8" s="1014">
        <f>'SEAP template'!L76</f>
        <v>0</v>
      </c>
      <c r="M8" s="1014">
        <f>'SEAP template'!M76</f>
        <v>0</v>
      </c>
      <c r="N8" s="1014">
        <f>'SEAP template'!N76</f>
        <v>0</v>
      </c>
      <c r="O8" s="1014">
        <f>'SEAP template'!O76</f>
        <v>0</v>
      </c>
      <c r="P8" s="1015">
        <f>'SEAP template'!Q76</f>
        <v>644.39850498056319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111685.10228510403</v>
      </c>
      <c r="C10" s="1016">
        <f>SUM(C4:C9)</f>
        <v>2711.6903476262551</v>
      </c>
      <c r="D10" s="1016">
        <f t="shared" ref="D10:H10" si="0">SUM(D8:D9)</f>
        <v>3190.0916088146691</v>
      </c>
      <c r="E10" s="1016">
        <f t="shared" si="0"/>
        <v>0</v>
      </c>
      <c r="F10" s="1016">
        <f t="shared" si="0"/>
        <v>0</v>
      </c>
      <c r="G10" s="1016">
        <f t="shared" si="0"/>
        <v>0</v>
      </c>
      <c r="H10" s="1016">
        <f t="shared" si="0"/>
        <v>0</v>
      </c>
      <c r="I10" s="1016">
        <f>SUM(I8:I9)</f>
        <v>0</v>
      </c>
      <c r="J10" s="1016">
        <f>SUM(J8:J9)</f>
        <v>23638.207279626658</v>
      </c>
      <c r="K10" s="1016">
        <f t="shared" ref="K10:L10" si="1">SUM(K8:K9)</f>
        <v>0</v>
      </c>
      <c r="L10" s="1016">
        <f t="shared" si="1"/>
        <v>0</v>
      </c>
      <c r="M10" s="1016">
        <f>SUM(M8:M9)</f>
        <v>0</v>
      </c>
      <c r="N10" s="1016">
        <f>SUM(N8:N9)</f>
        <v>0</v>
      </c>
      <c r="O10" s="1016">
        <f>SUM(O8:O9)</f>
        <v>0</v>
      </c>
      <c r="P10" s="1016">
        <f>SUM(P8:P9)</f>
        <v>644.39850498056319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0.12539350535993346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28704.785907132045</v>
      </c>
      <c r="C17" s="1017">
        <f>'SEAP template'!C87</f>
        <v>3873.8511585050196</v>
      </c>
      <c r="D17" s="1015">
        <f>'SEAP template'!D87</f>
        <v>4557.2829085598496</v>
      </c>
      <c r="E17" s="1015">
        <f>'SEAP template'!E87</f>
        <v>0</v>
      </c>
      <c r="F17" s="1015">
        <f>'SEAP template'!F87</f>
        <v>0</v>
      </c>
      <c r="G17" s="1015">
        <f>'SEAP template'!G87</f>
        <v>0</v>
      </c>
      <c r="H17" s="1015">
        <f>'SEAP template'!H87</f>
        <v>0</v>
      </c>
      <c r="I17" s="1015">
        <f>'SEAP template'!I87</f>
        <v>0</v>
      </c>
      <c r="J17" s="1015">
        <f>'SEAP template'!J87</f>
        <v>33768.935577516204</v>
      </c>
      <c r="K17" s="1015">
        <f>'SEAP template'!K87</f>
        <v>0</v>
      </c>
      <c r="L17" s="1015">
        <f>'SEAP template'!L87</f>
        <v>0</v>
      </c>
      <c r="M17" s="1015">
        <f>'SEAP template'!M87</f>
        <v>0</v>
      </c>
      <c r="N17" s="1015">
        <f>'SEAP template'!N87</f>
        <v>0</v>
      </c>
      <c r="O17" s="1015">
        <f>'SEAP template'!O87</f>
        <v>0</v>
      </c>
      <c r="P17" s="1015">
        <f>'SEAP template'!Q87</f>
        <v>920.57114752908967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28704.785907132045</v>
      </c>
      <c r="C20" s="1016">
        <f>SUM(C17:C19)</f>
        <v>3873.8511585050196</v>
      </c>
      <c r="D20" s="1016">
        <f t="shared" ref="D20:H20" si="2">SUM(D17:D19)</f>
        <v>4557.2829085598496</v>
      </c>
      <c r="E20" s="1016">
        <f t="shared" si="2"/>
        <v>0</v>
      </c>
      <c r="F20" s="1016">
        <f t="shared" si="2"/>
        <v>0</v>
      </c>
      <c r="G20" s="1016">
        <f t="shared" si="2"/>
        <v>0</v>
      </c>
      <c r="H20" s="1016">
        <f t="shared" si="2"/>
        <v>0</v>
      </c>
      <c r="I20" s="1016">
        <f>SUM(I17:I19)</f>
        <v>0</v>
      </c>
      <c r="J20" s="1016">
        <f>SUM(J17:J19)</f>
        <v>33768.935577516204</v>
      </c>
      <c r="K20" s="1016">
        <f t="shared" ref="K20:L20" si="3">SUM(K17:K19)</f>
        <v>0</v>
      </c>
      <c r="L20" s="1016">
        <f t="shared" si="3"/>
        <v>0</v>
      </c>
      <c r="M20" s="1016">
        <f>SUM(M17:M19)</f>
        <v>0</v>
      </c>
      <c r="N20" s="1016">
        <f>SUM(N17:N19)</f>
        <v>0</v>
      </c>
      <c r="O20" s="1016">
        <f>SUM(O17:O19)</f>
        <v>0</v>
      </c>
      <c r="P20" s="1016">
        <f>SUM(P17:P19)</f>
        <v>920.57114752908967</v>
      </c>
    </row>
    <row r="21" spans="1:16">
      <c r="B21" s="881"/>
    </row>
    <row r="22" spans="1:16">
      <c r="A22" s="459" t="s">
        <v>749</v>
      </c>
      <c r="B22" s="776" t="s">
        <v>747</v>
      </c>
      <c r="C22" s="776">
        <f ca="1">'EF ele_warmte'!B22</f>
        <v>2.8256895636069427E-2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0.12539350535993346</v>
      </c>
      <c r="C17" s="496">
        <f ca="1">'EF ele_warmte'!B22</f>
        <v>2.8256895636069427E-2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0.12539350535993346</v>
      </c>
      <c r="C17" s="496">
        <f ca="1">'EF ele_warmte'!B22</f>
        <v>2.8256895636069427E-2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0.12539350535993346</v>
      </c>
      <c r="C29" s="497">
        <f ca="1">'EF ele_warmte'!B22</f>
        <v>2.8256895636069427E-2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17410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5377.05</v>
      </c>
      <c r="C14" s="326"/>
      <c r="D14" s="326"/>
      <c r="E14" s="326"/>
      <c r="F14" s="326"/>
    </row>
    <row r="15" spans="1:6">
      <c r="A15" s="1310" t="s">
        <v>177</v>
      </c>
      <c r="B15" s="1311">
        <v>10841</v>
      </c>
      <c r="C15" s="326"/>
      <c r="D15" s="326"/>
      <c r="E15" s="326"/>
      <c r="F15" s="326"/>
    </row>
    <row r="16" spans="1:6">
      <c r="A16" s="1310" t="s">
        <v>6</v>
      </c>
      <c r="B16" s="1311">
        <v>4478</v>
      </c>
      <c r="C16" s="326"/>
      <c r="D16" s="326"/>
      <c r="E16" s="326"/>
      <c r="F16" s="326"/>
    </row>
    <row r="17" spans="1:6">
      <c r="A17" s="1310" t="s">
        <v>7</v>
      </c>
      <c r="B17" s="1311">
        <v>467</v>
      </c>
      <c r="C17" s="326"/>
      <c r="D17" s="326"/>
      <c r="E17" s="326"/>
      <c r="F17" s="326"/>
    </row>
    <row r="18" spans="1:6">
      <c r="A18" s="1310" t="s">
        <v>8</v>
      </c>
      <c r="B18" s="1311">
        <v>2030</v>
      </c>
      <c r="C18" s="326"/>
      <c r="D18" s="326"/>
      <c r="E18" s="326"/>
      <c r="F18" s="326"/>
    </row>
    <row r="19" spans="1:6">
      <c r="A19" s="1310" t="s">
        <v>9</v>
      </c>
      <c r="B19" s="1311">
        <v>1947</v>
      </c>
      <c r="C19" s="326"/>
      <c r="D19" s="326"/>
      <c r="E19" s="326"/>
      <c r="F19" s="326"/>
    </row>
    <row r="20" spans="1:6">
      <c r="A20" s="1310" t="s">
        <v>10</v>
      </c>
      <c r="B20" s="1311">
        <v>1188</v>
      </c>
      <c r="C20" s="326"/>
      <c r="D20" s="326"/>
      <c r="E20" s="326"/>
      <c r="F20" s="326"/>
    </row>
    <row r="21" spans="1:6">
      <c r="A21" s="1310" t="s">
        <v>11</v>
      </c>
      <c r="B21" s="1311">
        <v>2977</v>
      </c>
      <c r="C21" s="326"/>
      <c r="D21" s="326"/>
      <c r="E21" s="326"/>
      <c r="F21" s="326"/>
    </row>
    <row r="22" spans="1:6">
      <c r="A22" s="1310" t="s">
        <v>12</v>
      </c>
      <c r="B22" s="1311">
        <v>8821</v>
      </c>
      <c r="C22" s="326"/>
      <c r="D22" s="326"/>
      <c r="E22" s="326"/>
      <c r="F22" s="326"/>
    </row>
    <row r="23" spans="1:6">
      <c r="A23" s="1310" t="s">
        <v>13</v>
      </c>
      <c r="B23" s="1311">
        <v>138</v>
      </c>
      <c r="C23" s="326"/>
      <c r="D23" s="326"/>
      <c r="E23" s="326"/>
      <c r="F23" s="326"/>
    </row>
    <row r="24" spans="1:6">
      <c r="A24" s="1310" t="s">
        <v>14</v>
      </c>
      <c r="B24" s="1311">
        <v>7</v>
      </c>
      <c r="C24" s="326"/>
      <c r="D24" s="326"/>
      <c r="E24" s="326"/>
      <c r="F24" s="326"/>
    </row>
    <row r="25" spans="1:6">
      <c r="A25" s="1310" t="s">
        <v>15</v>
      </c>
      <c r="B25" s="1311">
        <v>817</v>
      </c>
      <c r="C25" s="326"/>
      <c r="D25" s="326"/>
      <c r="E25" s="326"/>
      <c r="F25" s="326"/>
    </row>
    <row r="26" spans="1:6">
      <c r="A26" s="1310" t="s">
        <v>16</v>
      </c>
      <c r="B26" s="1311">
        <v>630</v>
      </c>
      <c r="C26" s="326"/>
      <c r="D26" s="326"/>
      <c r="E26" s="326"/>
      <c r="F26" s="326"/>
    </row>
    <row r="27" spans="1:6">
      <c r="A27" s="1310" t="s">
        <v>17</v>
      </c>
      <c r="B27" s="1311">
        <v>20</v>
      </c>
      <c r="C27" s="326"/>
      <c r="D27" s="326"/>
      <c r="E27" s="326"/>
      <c r="F27" s="326"/>
    </row>
    <row r="28" spans="1:6">
      <c r="A28" s="1310" t="s">
        <v>18</v>
      </c>
      <c r="B28" s="1312">
        <v>544241</v>
      </c>
      <c r="C28" s="326"/>
      <c r="D28" s="326"/>
      <c r="E28" s="326"/>
      <c r="F28" s="326"/>
    </row>
    <row r="29" spans="1:6">
      <c r="A29" s="1310" t="s">
        <v>678</v>
      </c>
      <c r="B29" s="1312">
        <v>516</v>
      </c>
      <c r="C29" s="326"/>
      <c r="D29" s="326"/>
      <c r="E29" s="326"/>
      <c r="F29" s="326"/>
    </row>
    <row r="30" spans="1:6">
      <c r="A30" s="1305" t="s">
        <v>679</v>
      </c>
      <c r="B30" s="1313">
        <v>84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11</v>
      </c>
      <c r="F36" s="1311">
        <v>107545.027189791</v>
      </c>
    </row>
    <row r="37" spans="1:6">
      <c r="A37" s="1310" t="s">
        <v>24</v>
      </c>
      <c r="B37" s="1310" t="s">
        <v>27</v>
      </c>
      <c r="C37" s="1311">
        <v>0</v>
      </c>
      <c r="D37" s="1311">
        <v>0</v>
      </c>
      <c r="E37" s="1311">
        <v>0</v>
      </c>
      <c r="F37" s="1311">
        <v>0</v>
      </c>
    </row>
    <row r="38" spans="1:6">
      <c r="A38" s="1310" t="s">
        <v>24</v>
      </c>
      <c r="B38" s="1310" t="s">
        <v>28</v>
      </c>
      <c r="C38" s="1311">
        <v>1</v>
      </c>
      <c r="D38" s="1311">
        <v>54432.200559021599</v>
      </c>
      <c r="E38" s="1311">
        <v>0</v>
      </c>
      <c r="F38" s="1311">
        <v>0</v>
      </c>
    </row>
    <row r="39" spans="1:6">
      <c r="A39" s="1310" t="s">
        <v>29</v>
      </c>
      <c r="B39" s="1310" t="s">
        <v>30</v>
      </c>
      <c r="C39" s="1311">
        <v>11721</v>
      </c>
      <c r="D39" s="1311">
        <v>168176003.97444171</v>
      </c>
      <c r="E39" s="1311">
        <v>17126</v>
      </c>
      <c r="F39" s="1311">
        <v>49537940.269867919</v>
      </c>
    </row>
    <row r="40" spans="1:6">
      <c r="A40" s="1310" t="s">
        <v>29</v>
      </c>
      <c r="B40" s="1310" t="s">
        <v>28</v>
      </c>
      <c r="C40" s="1311">
        <v>0</v>
      </c>
      <c r="D40" s="1311">
        <v>0</v>
      </c>
      <c r="E40" s="1311">
        <v>0</v>
      </c>
      <c r="F40" s="1311">
        <v>0</v>
      </c>
    </row>
    <row r="41" spans="1:6">
      <c r="A41" s="1310" t="s">
        <v>31</v>
      </c>
      <c r="B41" s="1310" t="s">
        <v>32</v>
      </c>
      <c r="C41" s="1311">
        <v>153</v>
      </c>
      <c r="D41" s="1311">
        <v>5055367.7002996895</v>
      </c>
      <c r="E41" s="1311">
        <v>334</v>
      </c>
      <c r="F41" s="1311">
        <v>6905125.4409856796</v>
      </c>
    </row>
    <row r="42" spans="1:6">
      <c r="A42" s="1310" t="s">
        <v>31</v>
      </c>
      <c r="B42" s="1310" t="s">
        <v>33</v>
      </c>
      <c r="C42" s="1311">
        <v>7</v>
      </c>
      <c r="D42" s="1311">
        <v>98219564.398278698</v>
      </c>
      <c r="E42" s="1311">
        <v>9</v>
      </c>
      <c r="F42" s="1311">
        <v>63435862.9800639</v>
      </c>
    </row>
    <row r="43" spans="1:6">
      <c r="A43" s="1310" t="s">
        <v>31</v>
      </c>
      <c r="B43" s="1310" t="s">
        <v>34</v>
      </c>
      <c r="C43" s="1311">
        <v>4</v>
      </c>
      <c r="D43" s="1311">
        <v>39272992.402151197</v>
      </c>
      <c r="E43" s="1311">
        <v>0</v>
      </c>
      <c r="F43" s="1311">
        <v>0</v>
      </c>
    </row>
    <row r="44" spans="1:6">
      <c r="A44" s="1310" t="s">
        <v>31</v>
      </c>
      <c r="B44" s="1310" t="s">
        <v>35</v>
      </c>
      <c r="C44" s="1311">
        <v>22</v>
      </c>
      <c r="D44" s="1311">
        <v>3414964.0721259499</v>
      </c>
      <c r="E44" s="1311">
        <v>39</v>
      </c>
      <c r="F44" s="1311">
        <v>3729641.9401182998</v>
      </c>
    </row>
    <row r="45" spans="1:6">
      <c r="A45" s="1310" t="s">
        <v>31</v>
      </c>
      <c r="B45" s="1310" t="s">
        <v>36</v>
      </c>
      <c r="C45" s="1311">
        <v>6</v>
      </c>
      <c r="D45" s="1311">
        <v>100370.069410838</v>
      </c>
      <c r="E45" s="1311">
        <v>13</v>
      </c>
      <c r="F45" s="1311">
        <v>241706.14926748499</v>
      </c>
    </row>
    <row r="46" spans="1:6">
      <c r="A46" s="1310" t="s">
        <v>31</v>
      </c>
      <c r="B46" s="1310" t="s">
        <v>37</v>
      </c>
      <c r="C46" s="1311">
        <v>0</v>
      </c>
      <c r="D46" s="1311">
        <v>0</v>
      </c>
      <c r="E46" s="1311">
        <v>0</v>
      </c>
      <c r="F46" s="1311">
        <v>0</v>
      </c>
    </row>
    <row r="47" spans="1:6">
      <c r="A47" s="1310" t="s">
        <v>31</v>
      </c>
      <c r="B47" s="1310" t="s">
        <v>38</v>
      </c>
      <c r="C47" s="1311">
        <v>8</v>
      </c>
      <c r="D47" s="1311">
        <v>266083.50317586702</v>
      </c>
      <c r="E47" s="1311">
        <v>7</v>
      </c>
      <c r="F47" s="1311">
        <v>121301.067486976</v>
      </c>
    </row>
    <row r="48" spans="1:6">
      <c r="A48" s="1310" t="s">
        <v>31</v>
      </c>
      <c r="B48" s="1310" t="s">
        <v>28</v>
      </c>
      <c r="C48" s="1311">
        <v>1</v>
      </c>
      <c r="D48" s="1311">
        <v>23989.958841226598</v>
      </c>
      <c r="E48" s="1311">
        <v>2</v>
      </c>
      <c r="F48" s="1311">
        <v>10734323.9892867</v>
      </c>
    </row>
    <row r="49" spans="1:6">
      <c r="A49" s="1310" t="s">
        <v>31</v>
      </c>
      <c r="B49" s="1310" t="s">
        <v>39</v>
      </c>
      <c r="C49" s="1311">
        <v>0</v>
      </c>
      <c r="D49" s="1311">
        <v>0</v>
      </c>
      <c r="E49" s="1311">
        <v>4</v>
      </c>
      <c r="F49" s="1311">
        <v>41779.475888256202</v>
      </c>
    </row>
    <row r="50" spans="1:6">
      <c r="A50" s="1310" t="s">
        <v>31</v>
      </c>
      <c r="B50" s="1310" t="s">
        <v>40</v>
      </c>
      <c r="C50" s="1311">
        <v>19</v>
      </c>
      <c r="D50" s="1311">
        <v>6212719.5567193003</v>
      </c>
      <c r="E50" s="1311">
        <v>26</v>
      </c>
      <c r="F50" s="1311">
        <v>11720592.636879399</v>
      </c>
    </row>
    <row r="51" spans="1:6">
      <c r="A51" s="1310" t="s">
        <v>41</v>
      </c>
      <c r="B51" s="1310" t="s">
        <v>42</v>
      </c>
      <c r="C51" s="1311">
        <v>20</v>
      </c>
      <c r="D51" s="1311">
        <v>611053.459322604</v>
      </c>
      <c r="E51" s="1311">
        <v>180</v>
      </c>
      <c r="F51" s="1311">
        <v>4436181.2295434698</v>
      </c>
    </row>
    <row r="52" spans="1:6">
      <c r="A52" s="1310" t="s">
        <v>41</v>
      </c>
      <c r="B52" s="1310" t="s">
        <v>28</v>
      </c>
      <c r="C52" s="1311">
        <v>0</v>
      </c>
      <c r="D52" s="1311">
        <v>0</v>
      </c>
      <c r="E52" s="1311">
        <v>0</v>
      </c>
      <c r="F52" s="1311">
        <v>0</v>
      </c>
    </row>
    <row r="53" spans="1:6">
      <c r="A53" s="1310" t="s">
        <v>43</v>
      </c>
      <c r="B53" s="1310" t="s">
        <v>44</v>
      </c>
      <c r="C53" s="1311">
        <v>224</v>
      </c>
      <c r="D53" s="1311">
        <v>8014642.2633060403</v>
      </c>
      <c r="E53" s="1311">
        <v>598</v>
      </c>
      <c r="F53" s="1311">
        <v>2074914.5420120701</v>
      </c>
    </row>
    <row r="54" spans="1:6">
      <c r="A54" s="1310" t="s">
        <v>45</v>
      </c>
      <c r="B54" s="1310" t="s">
        <v>46</v>
      </c>
      <c r="C54" s="1311">
        <v>0</v>
      </c>
      <c r="D54" s="1311">
        <v>0</v>
      </c>
      <c r="E54" s="1311">
        <v>1</v>
      </c>
      <c r="F54" s="1311">
        <v>1370647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159</v>
      </c>
      <c r="D57" s="1311">
        <v>14479059.7969804</v>
      </c>
      <c r="E57" s="1311">
        <v>377</v>
      </c>
      <c r="F57" s="1311">
        <v>12144496.107912799</v>
      </c>
    </row>
    <row r="58" spans="1:6">
      <c r="A58" s="1310" t="s">
        <v>48</v>
      </c>
      <c r="B58" s="1310" t="s">
        <v>50</v>
      </c>
      <c r="C58" s="1311">
        <v>121</v>
      </c>
      <c r="D58" s="1311">
        <v>27244039.958054598</v>
      </c>
      <c r="E58" s="1311">
        <v>175</v>
      </c>
      <c r="F58" s="1311">
        <v>10333271.1687</v>
      </c>
    </row>
    <row r="59" spans="1:6">
      <c r="A59" s="1310" t="s">
        <v>48</v>
      </c>
      <c r="B59" s="1310" t="s">
        <v>51</v>
      </c>
      <c r="C59" s="1311">
        <v>333</v>
      </c>
      <c r="D59" s="1311">
        <v>24961586.143371399</v>
      </c>
      <c r="E59" s="1311">
        <v>570</v>
      </c>
      <c r="F59" s="1311">
        <v>24105530.859474801</v>
      </c>
    </row>
    <row r="60" spans="1:6">
      <c r="A60" s="1310" t="s">
        <v>48</v>
      </c>
      <c r="B60" s="1310" t="s">
        <v>52</v>
      </c>
      <c r="C60" s="1311">
        <v>164</v>
      </c>
      <c r="D60" s="1311">
        <v>8410156.2210760992</v>
      </c>
      <c r="E60" s="1311">
        <v>225</v>
      </c>
      <c r="F60" s="1311">
        <v>5891447.4306730703</v>
      </c>
    </row>
    <row r="61" spans="1:6">
      <c r="A61" s="1310" t="s">
        <v>48</v>
      </c>
      <c r="B61" s="1310" t="s">
        <v>53</v>
      </c>
      <c r="C61" s="1311">
        <v>524</v>
      </c>
      <c r="D61" s="1311">
        <v>23833160.800395198</v>
      </c>
      <c r="E61" s="1311">
        <v>1080</v>
      </c>
      <c r="F61" s="1311">
        <v>27279801.5227249</v>
      </c>
    </row>
    <row r="62" spans="1:6">
      <c r="A62" s="1310" t="s">
        <v>48</v>
      </c>
      <c r="B62" s="1310" t="s">
        <v>54</v>
      </c>
      <c r="C62" s="1311">
        <v>41</v>
      </c>
      <c r="D62" s="1311">
        <v>10331587.228886301</v>
      </c>
      <c r="E62" s="1311">
        <v>43</v>
      </c>
      <c r="F62" s="1311">
        <v>4150983.2386073601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362015.4254384868</v>
      </c>
      <c r="E65" s="1311">
        <v>0</v>
      </c>
      <c r="F65" s="1311">
        <v>0</v>
      </c>
    </row>
    <row r="66" spans="1:6">
      <c r="A66" s="1310" t="s">
        <v>55</v>
      </c>
      <c r="B66" s="1310" t="s">
        <v>57</v>
      </c>
      <c r="C66" s="1311">
        <v>0</v>
      </c>
      <c r="D66" s="1311">
        <v>0</v>
      </c>
      <c r="E66" s="1311">
        <v>37</v>
      </c>
      <c r="F66" s="1311">
        <v>841549.672598887</v>
      </c>
    </row>
    <row r="67" spans="1:6">
      <c r="A67" s="1310" t="s">
        <v>55</v>
      </c>
      <c r="B67" s="1310" t="s">
        <v>58</v>
      </c>
      <c r="C67" s="1311">
        <v>0</v>
      </c>
      <c r="D67" s="1311">
        <v>0</v>
      </c>
      <c r="E67" s="1311">
        <v>0</v>
      </c>
      <c r="F67" s="1311">
        <v>0</v>
      </c>
    </row>
    <row r="68" spans="1:6">
      <c r="A68" s="1305" t="s">
        <v>55</v>
      </c>
      <c r="B68" s="1305" t="s">
        <v>59</v>
      </c>
      <c r="C68" s="1313">
        <v>12</v>
      </c>
      <c r="D68" s="1313">
        <v>1250434.80582623</v>
      </c>
      <c r="E68" s="1313">
        <v>35</v>
      </c>
      <c r="F68" s="1313">
        <v>752859.56305445998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268240939</v>
      </c>
      <c r="E73" s="445"/>
      <c r="F73" s="326"/>
    </row>
    <row r="74" spans="1:6">
      <c r="A74" s="1310" t="s">
        <v>63</v>
      </c>
      <c r="B74" s="1310" t="s">
        <v>632</v>
      </c>
      <c r="C74" s="1323" t="s">
        <v>634</v>
      </c>
      <c r="D74" s="1311">
        <v>25783559.650280986</v>
      </c>
      <c r="E74" s="445"/>
      <c r="F74" s="326"/>
    </row>
    <row r="75" spans="1:6">
      <c r="A75" s="1310" t="s">
        <v>64</v>
      </c>
      <c r="B75" s="1310" t="s">
        <v>631</v>
      </c>
      <c r="C75" s="1323" t="s">
        <v>635</v>
      </c>
      <c r="D75" s="1311">
        <v>57985191</v>
      </c>
      <c r="E75" s="445"/>
      <c r="F75" s="326"/>
    </row>
    <row r="76" spans="1:6">
      <c r="A76" s="1310" t="s">
        <v>64</v>
      </c>
      <c r="B76" s="1310" t="s">
        <v>632</v>
      </c>
      <c r="C76" s="1323" t="s">
        <v>636</v>
      </c>
      <c r="D76" s="1311">
        <v>1129281.650280986</v>
      </c>
      <c r="E76" s="445"/>
      <c r="F76" s="326"/>
    </row>
    <row r="77" spans="1:6">
      <c r="A77" s="1310" t="s">
        <v>65</v>
      </c>
      <c r="B77" s="1310" t="s">
        <v>631</v>
      </c>
      <c r="C77" s="1323" t="s">
        <v>637</v>
      </c>
      <c r="D77" s="1311">
        <v>82093797</v>
      </c>
      <c r="E77" s="445"/>
      <c r="F77" s="326"/>
    </row>
    <row r="78" spans="1:6">
      <c r="A78" s="1305" t="s">
        <v>65</v>
      </c>
      <c r="B78" s="1305" t="s">
        <v>632</v>
      </c>
      <c r="C78" s="1305" t="s">
        <v>638</v>
      </c>
      <c r="D78" s="1313">
        <v>17700688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939400.69943802804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64244.236649950166</v>
      </c>
      <c r="C90" s="326"/>
      <c r="D90" s="326"/>
      <c r="E90" s="326"/>
      <c r="F90" s="326"/>
    </row>
    <row r="91" spans="1:6">
      <c r="A91" s="1310" t="s">
        <v>67</v>
      </c>
      <c r="B91" s="1311">
        <v>15829.445040364764</v>
      </c>
      <c r="C91" s="326"/>
      <c r="D91" s="326"/>
      <c r="E91" s="326"/>
      <c r="F91" s="326"/>
    </row>
    <row r="92" spans="1:6">
      <c r="A92" s="1305" t="s">
        <v>68</v>
      </c>
      <c r="B92" s="1306">
        <v>11518.110942415356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5739</v>
      </c>
      <c r="C97" s="326"/>
      <c r="D97" s="326"/>
      <c r="E97" s="326"/>
      <c r="F97" s="326"/>
    </row>
    <row r="98" spans="1:6">
      <c r="A98" s="1310" t="s">
        <v>71</v>
      </c>
      <c r="B98" s="1311">
        <v>29</v>
      </c>
      <c r="C98" s="326"/>
      <c r="D98" s="326"/>
      <c r="E98" s="326"/>
      <c r="F98" s="326"/>
    </row>
    <row r="99" spans="1:6">
      <c r="A99" s="1310" t="s">
        <v>72</v>
      </c>
      <c r="B99" s="1311">
        <v>146</v>
      </c>
      <c r="C99" s="326"/>
      <c r="D99" s="326"/>
      <c r="E99" s="326"/>
      <c r="F99" s="326"/>
    </row>
    <row r="100" spans="1:6">
      <c r="A100" s="1310" t="s">
        <v>73</v>
      </c>
      <c r="B100" s="1311">
        <v>564</v>
      </c>
      <c r="C100" s="326"/>
      <c r="D100" s="326"/>
      <c r="E100" s="326"/>
      <c r="F100" s="326"/>
    </row>
    <row r="101" spans="1:6">
      <c r="A101" s="1310" t="s">
        <v>74</v>
      </c>
      <c r="B101" s="1311">
        <v>165</v>
      </c>
      <c r="C101" s="326"/>
      <c r="D101" s="326"/>
      <c r="E101" s="326"/>
      <c r="F101" s="326"/>
    </row>
    <row r="102" spans="1:6">
      <c r="A102" s="1310" t="s">
        <v>75</v>
      </c>
      <c r="B102" s="1311">
        <v>199</v>
      </c>
      <c r="C102" s="326"/>
      <c r="D102" s="326"/>
      <c r="E102" s="326"/>
      <c r="F102" s="326"/>
    </row>
    <row r="103" spans="1:6">
      <c r="A103" s="1310" t="s">
        <v>76</v>
      </c>
      <c r="B103" s="1311">
        <v>307</v>
      </c>
      <c r="C103" s="326"/>
      <c r="D103" s="326"/>
      <c r="E103" s="326"/>
      <c r="F103" s="326"/>
    </row>
    <row r="104" spans="1:6">
      <c r="A104" s="1310" t="s">
        <v>77</v>
      </c>
      <c r="B104" s="1311">
        <v>6048</v>
      </c>
      <c r="C104" s="326"/>
      <c r="D104" s="326"/>
      <c r="E104" s="326"/>
      <c r="F104" s="326"/>
    </row>
    <row r="105" spans="1:6">
      <c r="A105" s="1305" t="s">
        <v>78</v>
      </c>
      <c r="B105" s="131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1</v>
      </c>
      <c r="C122" s="1311">
        <v>0</v>
      </c>
      <c r="D122" s="326"/>
      <c r="E122" s="326"/>
      <c r="F122" s="326"/>
    </row>
    <row r="123" spans="1:6">
      <c r="A123" s="1310" t="s">
        <v>87</v>
      </c>
      <c r="B123" s="1311">
        <v>253</v>
      </c>
      <c r="C123" s="1311">
        <v>102</v>
      </c>
      <c r="D123" s="326"/>
      <c r="E123" s="326"/>
      <c r="F123" s="326"/>
    </row>
    <row r="124" spans="1:6">
      <c r="A124" s="1310" t="s">
        <v>88</v>
      </c>
      <c r="B124" s="1311">
        <v>9</v>
      </c>
      <c r="C124" s="1311">
        <v>3</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498</v>
      </c>
      <c r="C129" s="326"/>
      <c r="D129" s="326"/>
      <c r="E129" s="326"/>
      <c r="F129" s="326"/>
    </row>
    <row r="130" spans="1:6">
      <c r="A130" s="1310" t="s">
        <v>284</v>
      </c>
      <c r="B130" s="1311">
        <v>5</v>
      </c>
      <c r="C130" s="326"/>
      <c r="D130" s="326"/>
      <c r="E130" s="326"/>
      <c r="F130" s="326"/>
    </row>
    <row r="131" spans="1:6">
      <c r="A131" s="1310" t="s">
        <v>285</v>
      </c>
      <c r="B131" s="1311">
        <v>5</v>
      </c>
      <c r="C131" s="326"/>
      <c r="D131" s="326"/>
      <c r="E131" s="326"/>
      <c r="F131" s="326"/>
    </row>
    <row r="132" spans="1:6">
      <c r="A132" s="1305" t="s">
        <v>286</v>
      </c>
      <c r="B132" s="1306">
        <v>117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257694.7597504312</v>
      </c>
      <c r="C3" s="43" t="s">
        <v>163</v>
      </c>
      <c r="D3" s="43"/>
      <c r="E3" s="154"/>
      <c r="F3" s="43"/>
      <c r="G3" s="43"/>
      <c r="H3" s="43"/>
      <c r="I3" s="43"/>
      <c r="J3" s="43"/>
      <c r="K3" s="96"/>
    </row>
    <row r="4" spans="1:11">
      <c r="A4" s="352" t="s">
        <v>164</v>
      </c>
      <c r="B4" s="49">
        <f>IF(ISERROR('SEAP template'!B78+'SEAP template'!C78),0,'SEAP template'!B78+'SEAP template'!C78)</f>
        <v>114396.79263273028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644.39850498056319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0.12539350535993346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920.57114752908967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32578.637065637067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2.8256895636069427E-2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1370.6469999999999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1370.6469999999999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0.12539350535993346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171.8702319410767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49537.940269867919</v>
      </c>
      <c r="C5" s="17">
        <f>IF(ISERROR('Eigen informatie GS &amp; warmtenet'!B59),0,'Eigen informatie GS &amp; warmtenet'!B59)</f>
        <v>0</v>
      </c>
      <c r="D5" s="30">
        <f>(SUM(HH_hh_gas_kWh,HH_rest_gas_kWh)/1000)*0.903</f>
        <v>151862.93158892085</v>
      </c>
      <c r="E5" s="17">
        <f>B32*B41</f>
        <v>3742.6372000279148</v>
      </c>
      <c r="F5" s="17">
        <f>B36*B45</f>
        <v>81988.475830443756</v>
      </c>
      <c r="G5" s="18"/>
      <c r="H5" s="17"/>
      <c r="I5" s="17"/>
      <c r="J5" s="17">
        <f>B35*B44+C35*C44</f>
        <v>467.26129114543352</v>
      </c>
      <c r="K5" s="17"/>
      <c r="L5" s="17"/>
      <c r="M5" s="17"/>
      <c r="N5" s="17">
        <f>B34*B43+C34*C43</f>
        <v>22729.539919470331</v>
      </c>
      <c r="O5" s="17">
        <f>B52*B53*B54</f>
        <v>1196.3268062903803</v>
      </c>
      <c r="P5" s="17">
        <f>B60*B61*B62/1000-B60*B61*B62/1000/B63</f>
        <v>3992.3705776126235</v>
      </c>
    </row>
    <row r="6" spans="1:16">
      <c r="A6" s="16" t="s">
        <v>597</v>
      </c>
      <c r="B6" s="778">
        <f>kWh_PV_kleiner_dan_10kW</f>
        <v>15829.445040364764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65367.385310232683</v>
      </c>
      <c r="C8" s="21">
        <f>C5</f>
        <v>0</v>
      </c>
      <c r="D8" s="21">
        <f>D5</f>
        <v>151862.93158892085</v>
      </c>
      <c r="E8" s="21">
        <f>E5</f>
        <v>3742.6372000279148</v>
      </c>
      <c r="F8" s="21">
        <f>F5</f>
        <v>81988.475830443756</v>
      </c>
      <c r="G8" s="21"/>
      <c r="H8" s="21"/>
      <c r="I8" s="21"/>
      <c r="J8" s="21">
        <f>J5</f>
        <v>467.26129114543352</v>
      </c>
      <c r="K8" s="21"/>
      <c r="L8" s="21">
        <f>L5</f>
        <v>0</v>
      </c>
      <c r="M8" s="21">
        <f>M5</f>
        <v>0</v>
      </c>
      <c r="N8" s="21">
        <f>N5</f>
        <v>22729.539919470331</v>
      </c>
      <c r="O8" s="21">
        <f>O5</f>
        <v>1196.3268062903803</v>
      </c>
      <c r="P8" s="21">
        <f>P5</f>
        <v>3992.3705776126235</v>
      </c>
    </row>
    <row r="9" spans="1:16">
      <c r="B9" s="19"/>
      <c r="C9" s="19"/>
      <c r="D9" s="254"/>
      <c r="E9" s="19"/>
      <c r="F9" s="19"/>
      <c r="G9" s="19"/>
      <c r="H9" s="19"/>
      <c r="I9" s="19"/>
      <c r="J9" s="19"/>
      <c r="K9" s="19"/>
      <c r="L9" s="19"/>
      <c r="M9" s="19"/>
      <c r="N9" s="19"/>
      <c r="O9" s="19"/>
      <c r="P9" s="19"/>
    </row>
    <row r="10" spans="1:16">
      <c r="A10" s="24" t="s">
        <v>207</v>
      </c>
      <c r="B10" s="25">
        <f ca="1">'EF ele_warmte'!B12</f>
        <v>0.12539350535993346</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8196.6455802634973</v>
      </c>
      <c r="C12" s="23">
        <f ca="1">C10*C8</f>
        <v>0</v>
      </c>
      <c r="D12" s="23">
        <f>D8*D10</f>
        <v>30676.312180962013</v>
      </c>
      <c r="E12" s="23">
        <f>E10*E8</f>
        <v>849.57864440633671</v>
      </c>
      <c r="F12" s="23">
        <f>F10*F8</f>
        <v>21890.923046728483</v>
      </c>
      <c r="G12" s="23"/>
      <c r="H12" s="23"/>
      <c r="I12" s="23"/>
      <c r="J12" s="23">
        <f>J10*J8</f>
        <v>165.41049706548347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17410</v>
      </c>
      <c r="C26" s="36"/>
      <c r="D26" s="225"/>
    </row>
    <row r="27" spans="1:5" s="15" customFormat="1">
      <c r="A27" s="227" t="s">
        <v>860</v>
      </c>
      <c r="B27" s="37">
        <f>SUM(HH_hh_gas_aantal,HH_rest_gas_aantal)</f>
        <v>11721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11134.95</v>
      </c>
      <c r="C31" s="34" t="s">
        <v>104</v>
      </c>
      <c r="D31" s="171"/>
    </row>
    <row r="32" spans="1:5">
      <c r="A32" s="168" t="s">
        <v>72</v>
      </c>
      <c r="B32" s="33">
        <f>IF((B21*($B$26-($B$27-0.05*$B$27)-$B$60))&lt;0,0,(B21*($B$26-($B$27-0.05*$B$27)-$B$60)))</f>
        <v>93.600965259373666</v>
      </c>
      <c r="C32" s="34" t="s">
        <v>104</v>
      </c>
      <c r="D32" s="171"/>
    </row>
    <row r="33" spans="1:6">
      <c r="A33" s="168" t="s">
        <v>73</v>
      </c>
      <c r="B33" s="33">
        <f>IF((B22*($B$26-($B$27-0.05*$B$27)-$B$60))&lt;0,0,B22*($B$26-($B$27-0.05*$B$27)-$B$60))</f>
        <v>1519.8942970658356</v>
      </c>
      <c r="C33" s="34" t="s">
        <v>104</v>
      </c>
      <c r="D33" s="171"/>
    </row>
    <row r="34" spans="1:6">
      <c r="A34" s="168" t="s">
        <v>74</v>
      </c>
      <c r="B34" s="33">
        <f>IF((B24*($B$26-($B$27-0.05*$B$27)-$B$60))&lt;0,0,B24*($B$26-($B$27-0.05*$B$27)-$B$60))</f>
        <v>291.38407667838078</v>
      </c>
      <c r="C34" s="33">
        <f>B26*C24</f>
        <v>3567.4124120319339</v>
      </c>
      <c r="D34" s="230"/>
    </row>
    <row r="35" spans="1:6">
      <c r="A35" s="168" t="s">
        <v>76</v>
      </c>
      <c r="B35" s="33">
        <f>IF((B19*($B$26-($B$27-0.05*$B$27)-$B$60))&lt;0,0,B19*($B$26-($B$27-0.05*$B$27)-$B$60))</f>
        <v>40.688116447440606</v>
      </c>
      <c r="C35" s="33">
        <f>B35/2</f>
        <v>20.344058223720303</v>
      </c>
      <c r="D35" s="230"/>
    </row>
    <row r="36" spans="1:6">
      <c r="A36" s="168" t="s">
        <v>77</v>
      </c>
      <c r="B36" s="33">
        <f>IF((B18*($B$26-($B$27-0.05*$B$27)-$B$60))&lt;0,0,B18*($B$26-($B$27-0.05*$B$27)-$B$60))</f>
        <v>3950.4825445489673</v>
      </c>
      <c r="C36" s="34" t="s">
        <v>104</v>
      </c>
      <c r="D36" s="171"/>
    </row>
    <row r="37" spans="1:6">
      <c r="A37" s="168" t="s">
        <v>78</v>
      </c>
      <c r="B37" s="33">
        <f>B60</f>
        <v>379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603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379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83905.530328092922</v>
      </c>
      <c r="C5" s="17">
        <f>IF(ISERROR('Eigen informatie GS &amp; warmtenet'!B60),0,'Eigen informatie GS &amp; warmtenet'!B60)</f>
        <v>0</v>
      </c>
      <c r="D5" s="30">
        <f>SUM(D6:D12)</f>
        <v>98661.409904333879</v>
      </c>
      <c r="E5" s="17">
        <f>SUM(E6:E12)</f>
        <v>356.63767786709843</v>
      </c>
      <c r="F5" s="17">
        <f>SUM(F6:F12)</f>
        <v>17487.199691134389</v>
      </c>
      <c r="G5" s="18"/>
      <c r="H5" s="17"/>
      <c r="I5" s="17"/>
      <c r="J5" s="17">
        <f>SUM(J6:J12)</f>
        <v>0.12283152391739842</v>
      </c>
      <c r="K5" s="17"/>
      <c r="L5" s="17"/>
      <c r="M5" s="17"/>
      <c r="N5" s="17">
        <f>SUM(N6:N12)</f>
        <v>4780.2956012830773</v>
      </c>
      <c r="O5" s="17">
        <f>B38*B39*B40</f>
        <v>24.486303829205774</v>
      </c>
      <c r="P5" s="17">
        <f>B46*B47*B48/1000-B46*B47*B48/1000/B49</f>
        <v>577.93052137144514</v>
      </c>
      <c r="R5" s="32"/>
    </row>
    <row r="6" spans="1:18">
      <c r="A6" s="32" t="s">
        <v>53</v>
      </c>
      <c r="B6" s="37">
        <f>B26</f>
        <v>27279.801522724902</v>
      </c>
      <c r="C6" s="33"/>
      <c r="D6" s="37">
        <f>IF(ISERROR(TER_kantoor_gas_kWh/1000),0,TER_kantoor_gas_kWh/1000)*0.903</f>
        <v>21521.344202756864</v>
      </c>
      <c r="E6" s="33">
        <f>$C$26*'E Balans VL '!I12/100/3.6*1000000</f>
        <v>6.499972639507309</v>
      </c>
      <c r="F6" s="33">
        <f>$C$26*('E Balans VL '!L12+'E Balans VL '!N12)/100/3.6*1000000</f>
        <v>2369.5179992476892</v>
      </c>
      <c r="G6" s="34"/>
      <c r="H6" s="33"/>
      <c r="I6" s="33"/>
      <c r="J6" s="33">
        <f>$C$26*('E Balans VL '!D12+'E Balans VL '!E12)/100/3.6*1000000</f>
        <v>0</v>
      </c>
      <c r="K6" s="33"/>
      <c r="L6" s="33"/>
      <c r="M6" s="33"/>
      <c r="N6" s="33">
        <f>$C$26*'E Balans VL '!Y12/100/3.6*1000000</f>
        <v>36.463271184784944</v>
      </c>
      <c r="O6" s="33"/>
      <c r="P6" s="33"/>
      <c r="R6" s="32"/>
    </row>
    <row r="7" spans="1:18">
      <c r="A7" s="32" t="s">
        <v>52</v>
      </c>
      <c r="B7" s="37">
        <f t="shared" ref="B7:B12" si="0">B27</f>
        <v>5891.4474306730699</v>
      </c>
      <c r="C7" s="33"/>
      <c r="D7" s="37">
        <f>IF(ISERROR(TER_horeca_gas_kWh/1000),0,TER_horeca_gas_kWh/1000)*0.903</f>
        <v>7594.3710676317169</v>
      </c>
      <c r="E7" s="33">
        <f>$C$27*'E Balans VL '!I9/100/3.6*1000000</f>
        <v>0</v>
      </c>
      <c r="F7" s="33">
        <f>$C$27*('E Balans VL '!L9+'E Balans VL '!N9)/100/3.6*1000000</f>
        <v>480.04634563167662</v>
      </c>
      <c r="G7" s="34"/>
      <c r="H7" s="33"/>
      <c r="I7" s="33"/>
      <c r="J7" s="33">
        <f>$C$27*('E Balans VL '!D9+'E Balans VL '!E9)/100/3.6*1000000</f>
        <v>0</v>
      </c>
      <c r="K7" s="33"/>
      <c r="L7" s="33"/>
      <c r="M7" s="33"/>
      <c r="N7" s="33">
        <f>$C$27*'E Balans VL '!Y9/100/3.6*1000000</f>
        <v>1.6318212551530642</v>
      </c>
      <c r="O7" s="33"/>
      <c r="P7" s="33"/>
      <c r="R7" s="32"/>
    </row>
    <row r="8" spans="1:18">
      <c r="A8" s="6" t="s">
        <v>51</v>
      </c>
      <c r="B8" s="37">
        <f t="shared" si="0"/>
        <v>24105.530859474802</v>
      </c>
      <c r="C8" s="33"/>
      <c r="D8" s="37">
        <f>IF(ISERROR(TER_handel_gas_kWh/1000),0,TER_handel_gas_kWh/1000)*0.903</f>
        <v>22540.312287464374</v>
      </c>
      <c r="E8" s="33">
        <f>$C$28*'E Balans VL '!I13/100/3.6*1000000</f>
        <v>192.69032338577099</v>
      </c>
      <c r="F8" s="33">
        <f>$C$28*('E Balans VL '!L13+'E Balans VL '!N13)/100/3.6*1000000</f>
        <v>2394.7346421661027</v>
      </c>
      <c r="G8" s="34"/>
      <c r="H8" s="33"/>
      <c r="I8" s="33"/>
      <c r="J8" s="33">
        <f>$C$28*('E Balans VL '!D13+'E Balans VL '!E13)/100/3.6*1000000</f>
        <v>0</v>
      </c>
      <c r="K8" s="33"/>
      <c r="L8" s="33"/>
      <c r="M8" s="33"/>
      <c r="N8" s="33">
        <f>$C$28*'E Balans VL '!Y13/100/3.6*1000000</f>
        <v>9.0048506327196733</v>
      </c>
      <c r="O8" s="33"/>
      <c r="P8" s="33"/>
      <c r="R8" s="32"/>
    </row>
    <row r="9" spans="1:18">
      <c r="A9" s="32" t="s">
        <v>50</v>
      </c>
      <c r="B9" s="37">
        <f t="shared" si="0"/>
        <v>10333.271168700001</v>
      </c>
      <c r="C9" s="33"/>
      <c r="D9" s="37">
        <f>IF(ISERROR(TER_gezond_gas_kWh/1000),0,TER_gezond_gas_kWh/1000)*0.903</f>
        <v>24601.368082123303</v>
      </c>
      <c r="E9" s="33">
        <f>$C$29*'E Balans VL '!I10/100/3.6*1000000</f>
        <v>0</v>
      </c>
      <c r="F9" s="33">
        <f>$C$29*('E Balans VL '!L10+'E Balans VL '!N10)/100/3.6*1000000</f>
        <v>942.04605487941035</v>
      </c>
      <c r="G9" s="34"/>
      <c r="H9" s="33"/>
      <c r="I9" s="33"/>
      <c r="J9" s="33">
        <f>$C$29*('E Balans VL '!D10+'E Balans VL '!E10)/100/3.6*1000000</f>
        <v>0</v>
      </c>
      <c r="K9" s="33"/>
      <c r="L9" s="33"/>
      <c r="M9" s="33"/>
      <c r="N9" s="33">
        <f>$C$29*'E Balans VL '!Y10/100/3.6*1000000</f>
        <v>75.526951978454491</v>
      </c>
      <c r="O9" s="33"/>
      <c r="P9" s="33"/>
      <c r="R9" s="32"/>
    </row>
    <row r="10" spans="1:18">
      <c r="A10" s="32" t="s">
        <v>49</v>
      </c>
      <c r="B10" s="37">
        <f t="shared" si="0"/>
        <v>12144.496107912799</v>
      </c>
      <c r="C10" s="33"/>
      <c r="D10" s="37">
        <f>IF(ISERROR(TER_ander_gas_kWh/1000),0,TER_ander_gas_kWh/1000)*0.903</f>
        <v>13074.590996673302</v>
      </c>
      <c r="E10" s="33">
        <f>$C$30*'E Balans VL '!I14/100/3.6*1000000</f>
        <v>157.44738184182009</v>
      </c>
      <c r="F10" s="33">
        <f>$C$30*('E Balans VL '!L14+'E Balans VL '!N14)/100/3.6*1000000</f>
        <v>11138.208050585046</v>
      </c>
      <c r="G10" s="34"/>
      <c r="H10" s="33"/>
      <c r="I10" s="33"/>
      <c r="J10" s="33">
        <f>$C$30*('E Balans VL '!D14+'E Balans VL '!E14)/100/3.6*1000000</f>
        <v>0.12283152391739842</v>
      </c>
      <c r="K10" s="33"/>
      <c r="L10" s="33"/>
      <c r="M10" s="33"/>
      <c r="N10" s="33">
        <f>$C$30*'E Balans VL '!Y14/100/3.6*1000000</f>
        <v>4644.59623441843</v>
      </c>
      <c r="O10" s="33"/>
      <c r="P10" s="33"/>
      <c r="R10" s="32"/>
    </row>
    <row r="11" spans="1:18">
      <c r="A11" s="32" t="s">
        <v>54</v>
      </c>
      <c r="B11" s="37">
        <f t="shared" si="0"/>
        <v>4150.9832386073604</v>
      </c>
      <c r="C11" s="33"/>
      <c r="D11" s="37">
        <f>IF(ISERROR(TER_onderwijs_gas_kWh/1000),0,TER_onderwijs_gas_kWh/1000)*0.903</f>
        <v>9329.4232676843294</v>
      </c>
      <c r="E11" s="33">
        <f>$C$31*'E Balans VL '!I11/100/3.6*1000000</f>
        <v>0</v>
      </c>
      <c r="F11" s="33">
        <f>$C$31*('E Balans VL '!L11+'E Balans VL '!N11)/100/3.6*1000000</f>
        <v>162.64659862446604</v>
      </c>
      <c r="G11" s="34"/>
      <c r="H11" s="33"/>
      <c r="I11" s="33"/>
      <c r="J11" s="33">
        <f>$C$31*('E Balans VL '!D11+'E Balans VL '!E11)/100/3.6*1000000</f>
        <v>0</v>
      </c>
      <c r="K11" s="33"/>
      <c r="L11" s="33"/>
      <c r="M11" s="33"/>
      <c r="N11" s="33">
        <f>$C$31*'E Balans VL '!Y11/100/3.6*1000000</f>
        <v>13.072471813535662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energieproductie'!N43+'lokale energieproductie'!N36</f>
        <v>2704</v>
      </c>
      <c r="C13" s="243">
        <f ca="1">'lokale energieproductie'!O43+'lokale energieproductie'!O36</f>
        <v>3862.8899613899616</v>
      </c>
      <c r="D13" s="304">
        <f ca="1">('lokale energieproductie'!P36+'lokale energieproductie'!P43)*(-1)</f>
        <v>-7724.4015444015449</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86609.530328092922</v>
      </c>
      <c r="C16" s="21">
        <f t="shared" ca="1" si="1"/>
        <v>3862.8899613899616</v>
      </c>
      <c r="D16" s="21">
        <f t="shared" ca="1" si="1"/>
        <v>90937.008359932341</v>
      </c>
      <c r="E16" s="21">
        <f t="shared" si="1"/>
        <v>356.63767786709843</v>
      </c>
      <c r="F16" s="21">
        <f t="shared" ca="1" si="1"/>
        <v>17487.199691134389</v>
      </c>
      <c r="G16" s="21">
        <f t="shared" si="1"/>
        <v>0</v>
      </c>
      <c r="H16" s="21">
        <f t="shared" si="1"/>
        <v>0</v>
      </c>
      <c r="I16" s="21">
        <f t="shared" si="1"/>
        <v>0</v>
      </c>
      <c r="J16" s="21">
        <f t="shared" si="1"/>
        <v>0.12283152391739842</v>
      </c>
      <c r="K16" s="21">
        <f t="shared" si="1"/>
        <v>0</v>
      </c>
      <c r="L16" s="21">
        <f t="shared" ca="1" si="1"/>
        <v>0</v>
      </c>
      <c r="M16" s="21">
        <f t="shared" si="1"/>
        <v>0</v>
      </c>
      <c r="N16" s="21">
        <f t="shared" ca="1" si="1"/>
        <v>4780.2956012830773</v>
      </c>
      <c r="O16" s="21">
        <f>O5</f>
        <v>24.486303829205774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0.12539350535993346</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10860.27260541704</v>
      </c>
      <c r="C20" s="23">
        <f t="shared" ref="C20:P20" ca="1" si="2">C16*C18</f>
        <v>109.15327849261641</v>
      </c>
      <c r="D20" s="23">
        <f t="shared" ca="1" si="2"/>
        <v>18369.275688706333</v>
      </c>
      <c r="E20" s="23">
        <f t="shared" si="2"/>
        <v>80.956752875831341</v>
      </c>
      <c r="F20" s="23">
        <f t="shared" ca="1" si="2"/>
        <v>4669.0823175328824</v>
      </c>
      <c r="G20" s="23">
        <f t="shared" si="2"/>
        <v>0</v>
      </c>
      <c r="H20" s="23">
        <f t="shared" si="2"/>
        <v>0</v>
      </c>
      <c r="I20" s="23">
        <f t="shared" si="2"/>
        <v>0</v>
      </c>
      <c r="J20" s="23">
        <f t="shared" si="2"/>
        <v>4.3482359466759039E-2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27279.801522724902</v>
      </c>
      <c r="C26" s="39">
        <f>IF(ISERROR(B26*3.6/1000000/'E Balans VL '!Z12*100),0,B26*3.6/1000000/'E Balans VL '!Z12*100)</f>
        <v>0.78265493851835422</v>
      </c>
      <c r="D26" s="233" t="s">
        <v>835</v>
      </c>
      <c r="F26" s="6"/>
    </row>
    <row r="27" spans="1:18" ht="30">
      <c r="A27" s="228" t="s">
        <v>52</v>
      </c>
      <c r="B27" s="33">
        <f>IF(ISERROR(TER_horeca_ele_kWh/1000),0,TER_horeca_ele_kWh/1000)</f>
        <v>5891.4474306730699</v>
      </c>
      <c r="C27" s="39">
        <f>IF(ISERROR(B27*3.6/1000000/'E Balans VL '!Z9*100),0,B27*3.6/1000000/'E Balans VL '!Z9*100)</f>
        <v>0.43160952455299961</v>
      </c>
      <c r="D27" s="233" t="s">
        <v>835</v>
      </c>
      <c r="F27" s="6"/>
    </row>
    <row r="28" spans="1:18" ht="30">
      <c r="A28" s="168" t="s">
        <v>51</v>
      </c>
      <c r="B28" s="33">
        <f>IF(ISERROR(TER_handel_ele_kWh/1000),0,TER_handel_ele_kWh/1000)</f>
        <v>24105.530859474802</v>
      </c>
      <c r="C28" s="39">
        <f>IF(ISERROR(B28*3.6/1000000/'E Balans VL '!Z13*100),0,B28*3.6/1000000/'E Balans VL '!Z13*100)</f>
        <v>0.74488123539999662</v>
      </c>
      <c r="D28" s="233" t="s">
        <v>835</v>
      </c>
      <c r="F28" s="6"/>
    </row>
    <row r="29" spans="1:18" ht="30">
      <c r="A29" s="228" t="s">
        <v>50</v>
      </c>
      <c r="B29" s="33">
        <f>IF(ISERROR(TER_gezond_ele_kWh/1000),0,TER_gezond_ele_kWh/1000)</f>
        <v>10333.271168700001</v>
      </c>
      <c r="C29" s="39">
        <f>IF(ISERROR(B29*3.6/1000000/'E Balans VL '!Z10*100),0,B29*3.6/1000000/'E Balans VL '!Z10*100)</f>
        <v>1.0127241133520064</v>
      </c>
      <c r="D29" s="233" t="s">
        <v>835</v>
      </c>
      <c r="F29" s="6"/>
    </row>
    <row r="30" spans="1:18" ht="30">
      <c r="A30" s="228" t="s">
        <v>49</v>
      </c>
      <c r="B30" s="33">
        <f>IF(ISERROR(TER_ander_ele_kWh/1000),0,TER_ander_ele_kWh/1000)</f>
        <v>12144.496107912799</v>
      </c>
      <c r="C30" s="39">
        <f>IF(ISERROR(B30*3.6/1000000/'E Balans VL '!Z14*100),0,B30*3.6/1000000/'E Balans VL '!Z14*100)</f>
        <v>0.50306426177774088</v>
      </c>
      <c r="D30" s="233" t="s">
        <v>835</v>
      </c>
      <c r="F30" s="6"/>
    </row>
    <row r="31" spans="1:18" ht="30">
      <c r="A31" s="228" t="s">
        <v>54</v>
      </c>
      <c r="B31" s="33">
        <f>IF(ISERROR(TER_onderwijs_ele_kWh/1000),0,TER_onderwijs_ele_kWh/1000)</f>
        <v>4150.9832386073604</v>
      </c>
      <c r="C31" s="39">
        <f>IF(ISERROR(B31*3.6/1000000/'E Balans VL '!Z11*100),0,B31*3.6/1000000/'E Balans VL '!Z11*100)</f>
        <v>1.2754709484576576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96930.333679976698</v>
      </c>
      <c r="C5" s="17">
        <f>IF(ISERROR('Eigen informatie GS &amp; warmtenet'!B61),0,'Eigen informatie GS &amp; warmtenet'!B61)</f>
        <v>0</v>
      </c>
      <c r="D5" s="30">
        <f>SUM(D6:D15)</f>
        <v>137767.14464988551</v>
      </c>
      <c r="E5" s="17">
        <f>SUM(E6:E15)</f>
        <v>13950.53567544689</v>
      </c>
      <c r="F5" s="17">
        <f>SUM(F6:F15)</f>
        <v>7030.2644948836723</v>
      </c>
      <c r="G5" s="18"/>
      <c r="H5" s="17"/>
      <c r="I5" s="17"/>
      <c r="J5" s="17">
        <f>SUM(J6:J15)</f>
        <v>70.011062030525679</v>
      </c>
      <c r="K5" s="17"/>
      <c r="L5" s="17"/>
      <c r="M5" s="17"/>
      <c r="N5" s="17">
        <f>SUM(N6:N15)</f>
        <v>1319.5514383131465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35463.512139142535</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3729.6419401182998</v>
      </c>
      <c r="C8" s="33"/>
      <c r="D8" s="37">
        <f>IF( ISERROR(IND_metaal_Gas_kWH/1000),0,IND_metaal_Gas_kWH/1000)*0.903</f>
        <v>3083.7125571297329</v>
      </c>
      <c r="E8" s="33">
        <f>C30*'E Balans VL '!I18/100/3.6*1000000</f>
        <v>20.33085988111338</v>
      </c>
      <c r="F8" s="33">
        <f>C30*'E Balans VL '!L18/100/3.6*1000000+C30*'E Balans VL '!N18/100/3.6*1000000</f>
        <v>240.18922582374563</v>
      </c>
      <c r="G8" s="34"/>
      <c r="H8" s="33"/>
      <c r="I8" s="33"/>
      <c r="J8" s="40">
        <f>C30*'E Balans VL '!D18/100/3.6*1000000+C30*'E Balans VL '!E18/100/3.6*1000000</f>
        <v>3.0550316847431991</v>
      </c>
      <c r="K8" s="33"/>
      <c r="L8" s="33"/>
      <c r="M8" s="33"/>
      <c r="N8" s="33">
        <f>C30*'E Balans VL '!Y18/100/3.6*1000000</f>
        <v>80.576449580433149</v>
      </c>
      <c r="O8" s="33"/>
      <c r="P8" s="33"/>
      <c r="R8" s="32"/>
    </row>
    <row r="9" spans="1:18">
      <c r="A9" s="6" t="s">
        <v>32</v>
      </c>
      <c r="B9" s="37">
        <f t="shared" si="0"/>
        <v>6905.1254409856792</v>
      </c>
      <c r="C9" s="33"/>
      <c r="D9" s="37">
        <f>IF( ISERROR(IND_andere_gas_kWh/1000),0,IND_andere_gas_kWh/1000)*0.903</f>
        <v>4564.9970333706196</v>
      </c>
      <c r="E9" s="33">
        <f>C31*'E Balans VL '!I19/100/3.6*1000000</f>
        <v>22.290920870201123</v>
      </c>
      <c r="F9" s="33">
        <f>C31*'E Balans VL '!L19/100/3.6*1000000+C31*'E Balans VL '!N19/100/3.6*1000000</f>
        <v>4464.9083158001558</v>
      </c>
      <c r="G9" s="34"/>
      <c r="H9" s="33"/>
      <c r="I9" s="33"/>
      <c r="J9" s="40">
        <f>C31*'E Balans VL '!D19/100/3.6*1000000+C31*'E Balans VL '!E19/100/3.6*1000000</f>
        <v>0</v>
      </c>
      <c r="K9" s="33"/>
      <c r="L9" s="33"/>
      <c r="M9" s="33"/>
      <c r="N9" s="33">
        <f>C31*'E Balans VL '!Y19/100/3.6*1000000</f>
        <v>279.02814295084204</v>
      </c>
      <c r="O9" s="33"/>
      <c r="P9" s="33"/>
      <c r="R9" s="32"/>
    </row>
    <row r="10" spans="1:18">
      <c r="A10" s="6" t="s">
        <v>40</v>
      </c>
      <c r="B10" s="37">
        <f t="shared" si="0"/>
        <v>11720.592636879399</v>
      </c>
      <c r="C10" s="33"/>
      <c r="D10" s="37">
        <f>IF( ISERROR(IND_voed_gas_kWh/1000),0,IND_voed_gas_kWh/1000)*0.903</f>
        <v>5610.0857597175282</v>
      </c>
      <c r="E10" s="33">
        <f>C32*'E Balans VL '!I20/100/3.6*1000000</f>
        <v>24.569234574254388</v>
      </c>
      <c r="F10" s="33">
        <f>C32*'E Balans VL '!L20/100/3.6*1000000+C32*'E Balans VL '!N20/100/3.6*1000000</f>
        <v>228.35764949476268</v>
      </c>
      <c r="G10" s="34"/>
      <c r="H10" s="33"/>
      <c r="I10" s="33"/>
      <c r="J10" s="40">
        <f>C32*'E Balans VL '!D20/100/3.6*1000000+C32*'E Balans VL '!E20/100/3.6*1000000</f>
        <v>0</v>
      </c>
      <c r="K10" s="33"/>
      <c r="L10" s="33"/>
      <c r="M10" s="33"/>
      <c r="N10" s="33">
        <f>C32*'E Balans VL '!Y20/100/3.6*1000000</f>
        <v>466.21268084998331</v>
      </c>
      <c r="O10" s="33"/>
      <c r="P10" s="33"/>
      <c r="R10" s="32"/>
    </row>
    <row r="11" spans="1:18">
      <c r="A11" s="6" t="s">
        <v>39</v>
      </c>
      <c r="B11" s="37">
        <f t="shared" si="0"/>
        <v>41.779475888256201</v>
      </c>
      <c r="C11" s="33"/>
      <c r="D11" s="37">
        <f>IF( ISERROR(IND_textiel_gas_kWh/1000),0,IND_textiel_gas_kWh/1000)*0.903</f>
        <v>0</v>
      </c>
      <c r="E11" s="33">
        <f>C33*'E Balans VL '!I21/100/3.6*1000000</f>
        <v>3.5899847719899854E-2</v>
      </c>
      <c r="F11" s="33">
        <f>C33*'E Balans VL '!L21/100/3.6*1000000+C33*'E Balans VL '!N21/100/3.6*1000000</f>
        <v>0.87595007416939441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241.70614926748499</v>
      </c>
      <c r="C12" s="33"/>
      <c r="D12" s="37">
        <f>IF( ISERROR(IND_min_gas_kWh/1000),0,IND_min_gas_kWh/1000)*0.903</f>
        <v>90.634172677986712</v>
      </c>
      <c r="E12" s="33">
        <f>C34*'E Balans VL '!I22/100/3.6*1000000</f>
        <v>3.9555353659186427</v>
      </c>
      <c r="F12" s="33">
        <f>C34*'E Balans VL '!L22/100/3.6*1000000+C34*'E Balans VL '!N22/100/3.6*1000000</f>
        <v>36.892655723267353</v>
      </c>
      <c r="G12" s="34"/>
      <c r="H12" s="33"/>
      <c r="I12" s="33"/>
      <c r="J12" s="40">
        <f>C34*'E Balans VL '!D22/100/3.6*1000000+C34*'E Balans VL '!E22/100/3.6*1000000</f>
        <v>8.6498329789535422</v>
      </c>
      <c r="K12" s="33"/>
      <c r="L12" s="33"/>
      <c r="M12" s="33"/>
      <c r="N12" s="33">
        <f>C34*'E Balans VL '!Y22/100/3.6*1000000</f>
        <v>132.46009973689672</v>
      </c>
      <c r="O12" s="33"/>
      <c r="P12" s="33"/>
      <c r="R12" s="32"/>
    </row>
    <row r="13" spans="1:18">
      <c r="A13" s="6" t="s">
        <v>38</v>
      </c>
      <c r="B13" s="37">
        <f t="shared" si="0"/>
        <v>121.301067486976</v>
      </c>
      <c r="C13" s="33"/>
      <c r="D13" s="37">
        <f>IF( ISERROR(IND_papier_gas_kWh/1000),0,IND_papier_gas_kWh/1000)*0.903</f>
        <v>240.2734033678079</v>
      </c>
      <c r="E13" s="33">
        <f>C35*'E Balans VL '!I23/100/3.6*1000000</f>
        <v>0</v>
      </c>
      <c r="F13" s="33">
        <f>C35*'E Balans VL '!L23/100/3.6*1000000+C35*'E Balans VL '!N23/100/3.6*1000000</f>
        <v>1.6248660411529722E-2</v>
      </c>
      <c r="G13" s="34"/>
      <c r="H13" s="33"/>
      <c r="I13" s="33"/>
      <c r="J13" s="40">
        <f>C35*'E Balans VL '!D23/100/3.6*1000000+C35*'E Balans VL '!E23/100/3.6*1000000</f>
        <v>2.3994114371676548E-2</v>
      </c>
      <c r="K13" s="33"/>
      <c r="L13" s="33"/>
      <c r="M13" s="33"/>
      <c r="N13" s="33">
        <f>C35*'E Balans VL '!Y23/100/3.6*1000000</f>
        <v>0</v>
      </c>
      <c r="O13" s="33"/>
      <c r="P13" s="33"/>
      <c r="R13" s="32"/>
    </row>
    <row r="14" spans="1:18">
      <c r="A14" s="6" t="s">
        <v>33</v>
      </c>
      <c r="B14" s="37">
        <f t="shared" si="0"/>
        <v>63435.862980063903</v>
      </c>
      <c r="C14" s="33"/>
      <c r="D14" s="37">
        <f>IF( ISERROR(IND_chemie_gas_kWh/1000),0,IND_chemie_gas_kWh/1000)*0.903</f>
        <v>88692.266651645667</v>
      </c>
      <c r="E14" s="33">
        <f>C36*'E Balans VL '!I24/100/3.6*1000000</f>
        <v>13247.39685822649</v>
      </c>
      <c r="F14" s="33">
        <f>C36*'E Balans VL '!L24/100/3.6*1000000+C36*'E Balans VL '!N24/100/3.6*1000000</f>
        <v>421.46543114271827</v>
      </c>
      <c r="G14" s="34"/>
      <c r="H14" s="33"/>
      <c r="I14" s="33"/>
      <c r="J14" s="40">
        <f>C36*'E Balans VL '!D24/100/3.6*1000000+C36*'E Balans VL '!E24/100/3.6*1000000</f>
        <v>0</v>
      </c>
      <c r="K14" s="33"/>
      <c r="L14" s="33"/>
      <c r="M14" s="33"/>
      <c r="N14" s="33">
        <f>C36*'E Balans VL '!Y24/100/3.6*1000000</f>
        <v>22.136153281497624</v>
      </c>
      <c r="O14" s="33"/>
      <c r="P14" s="33"/>
      <c r="R14" s="32"/>
    </row>
    <row r="15" spans="1:18">
      <c r="A15" s="6" t="s">
        <v>259</v>
      </c>
      <c r="B15" s="37">
        <f t="shared" si="0"/>
        <v>10734.3239892867</v>
      </c>
      <c r="C15" s="33"/>
      <c r="D15" s="37">
        <f>IF( ISERROR(IND_rest_gas_kWh/1000),0,IND_rest_gas_kWh/1000)*0.903</f>
        <v>21.662932833627618</v>
      </c>
      <c r="E15" s="33">
        <f>C37*'E Balans VL '!I15/100/3.6*1000000</f>
        <v>631.95636668119346</v>
      </c>
      <c r="F15" s="33">
        <f>C37*'E Balans VL '!L15/100/3.6*1000000+C37*'E Balans VL '!N15/100/3.6*1000000</f>
        <v>1637.559018164442</v>
      </c>
      <c r="G15" s="34"/>
      <c r="H15" s="33"/>
      <c r="I15" s="33"/>
      <c r="J15" s="40">
        <f>C37*'E Balans VL '!D15/100/3.6*1000000+C37*'E Balans VL '!E15/100/3.6*1000000</f>
        <v>58.282203252457265</v>
      </c>
      <c r="K15" s="33"/>
      <c r="L15" s="33"/>
      <c r="M15" s="33"/>
      <c r="N15" s="33">
        <f>C37*'E Balans VL '!Y15/100/3.6*1000000</f>
        <v>339.13791191349372</v>
      </c>
      <c r="O15" s="33"/>
      <c r="P15" s="33"/>
      <c r="R15" s="32"/>
    </row>
    <row r="16" spans="1:18">
      <c r="A16" s="16" t="s">
        <v>467</v>
      </c>
      <c r="B16" s="243">
        <f>'lokale energieproductie'!N42+'lokale energieproductie'!N35</f>
        <v>0</v>
      </c>
      <c r="C16" s="243">
        <f>'lokale energieproductie'!O42+'lokale energieproductie'!O35</f>
        <v>0</v>
      </c>
      <c r="D16" s="304">
        <f>('lokale energieproductie'!P35+'lokale energieproductie'!P42)*(-1)</f>
        <v>0</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96930.333679976698</v>
      </c>
      <c r="C18" s="21">
        <f>C5+C16</f>
        <v>0</v>
      </c>
      <c r="D18" s="21">
        <f>MAX((D5+D16),0)</f>
        <v>137767.14464988551</v>
      </c>
      <c r="E18" s="21">
        <f>MAX((E5+E16),0)</f>
        <v>13950.53567544689</v>
      </c>
      <c r="F18" s="21">
        <f>MAX((F5+F16),0)</f>
        <v>7030.2644948836723</v>
      </c>
      <c r="G18" s="21"/>
      <c r="H18" s="21"/>
      <c r="I18" s="21"/>
      <c r="J18" s="21">
        <f>MAX((J5+J16),0)</f>
        <v>70.011062030525679</v>
      </c>
      <c r="K18" s="21"/>
      <c r="L18" s="21">
        <f>MAX((L5+L16),0)</f>
        <v>0</v>
      </c>
      <c r="M18" s="21"/>
      <c r="N18" s="21">
        <f>MAX((N5+N16),0)</f>
        <v>1319.5514383131465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0.12539350535993346</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12154.434315840297</v>
      </c>
      <c r="C22" s="23">
        <f ca="1">C18*C20</f>
        <v>0</v>
      </c>
      <c r="D22" s="23">
        <f>D18*D20</f>
        <v>27828.963219276873</v>
      </c>
      <c r="E22" s="23">
        <f>E18*E20</f>
        <v>3166.7715983264443</v>
      </c>
      <c r="F22" s="23">
        <f>F18*F20</f>
        <v>1877.0806201339406</v>
      </c>
      <c r="G22" s="23"/>
      <c r="H22" s="23"/>
      <c r="I22" s="23"/>
      <c r="J22" s="23">
        <f>J18*J20</f>
        <v>24.783915958806087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3729.6419401182998</v>
      </c>
      <c r="C30" s="39">
        <f>IF(ISERROR(B30*3.6/1000000/'E Balans VL '!Z18*100),0,B30*3.6/1000000/'E Balans VL '!Z18*100)</f>
        <v>0.22458881080407497</v>
      </c>
      <c r="D30" s="233" t="s">
        <v>835</v>
      </c>
    </row>
    <row r="31" spans="1:18" ht="30">
      <c r="A31" s="6" t="s">
        <v>32</v>
      </c>
      <c r="B31" s="37">
        <f>IF( ISERROR(IND_ander_ele_kWh/1000),0,IND_ander_ele_kWh/1000)</f>
        <v>6905.1254409856792</v>
      </c>
      <c r="C31" s="39">
        <f>IF(ISERROR(B31*3.6/1000000/'E Balans VL '!Z19*100),0,B31*3.6/1000000/'E Balans VL '!Z19*100)</f>
        <v>0.2813291057205356</v>
      </c>
      <c r="D31" s="233" t="s">
        <v>835</v>
      </c>
    </row>
    <row r="32" spans="1:18" ht="30">
      <c r="A32" s="168" t="s">
        <v>40</v>
      </c>
      <c r="B32" s="37">
        <f>IF( ISERROR(IND_voed_ele_kWh/1000),0,IND_voed_ele_kWh/1000)</f>
        <v>11720.592636879399</v>
      </c>
      <c r="C32" s="39">
        <f>IF(ISERROR(B32*3.6/1000000/'E Balans VL '!Z20*100),0,B32*3.6/1000000/'E Balans VL '!Z20*100)</f>
        <v>0.33888950032141746</v>
      </c>
      <c r="D32" s="233" t="s">
        <v>835</v>
      </c>
    </row>
    <row r="33" spans="1:5" ht="30">
      <c r="A33" s="168" t="s">
        <v>39</v>
      </c>
      <c r="B33" s="37">
        <f>IF( ISERROR(IND_textiel_ele_kWh/1000),0,IND_textiel_ele_kWh/1000)</f>
        <v>41.779475888256201</v>
      </c>
      <c r="C33" s="39">
        <f>IF(ISERROR(B33*3.6/1000000/'E Balans VL '!Z21*100),0,B33*3.6/1000000/'E Balans VL '!Z21*100)</f>
        <v>6.8707842526124106E-3</v>
      </c>
      <c r="D33" s="233" t="s">
        <v>835</v>
      </c>
    </row>
    <row r="34" spans="1:5" ht="30">
      <c r="A34" s="168" t="s">
        <v>36</v>
      </c>
      <c r="B34" s="37">
        <f>IF( ISERROR(IND_min_ele_kWh/1000),0,IND_min_ele_kWh/1000)</f>
        <v>241.70614926748499</v>
      </c>
      <c r="C34" s="39">
        <f>IF(ISERROR(B34*3.6/1000000/'E Balans VL '!Z22*100),0,B34*3.6/1000000/'E Balans VL '!Z22*100)</f>
        <v>0.10320627974357921</v>
      </c>
      <c r="D34" s="233" t="s">
        <v>835</v>
      </c>
    </row>
    <row r="35" spans="1:5" ht="30">
      <c r="A35" s="168" t="s">
        <v>38</v>
      </c>
      <c r="B35" s="37">
        <f>IF( ISERROR(IND_papier_ele_kWh/1000),0,IND_papier_ele_kWh/1000)</f>
        <v>121.301067486976</v>
      </c>
      <c r="C35" s="39">
        <f>IF(ISERROR(B35*3.6/1000000/'E Balans VL '!Z22*100),0,B35*3.6/1000000/'E Balans VL '!Z22*100)</f>
        <v>5.1794428657259334E-2</v>
      </c>
      <c r="D35" s="233" t="s">
        <v>835</v>
      </c>
    </row>
    <row r="36" spans="1:5" ht="30">
      <c r="A36" s="168" t="s">
        <v>33</v>
      </c>
      <c r="B36" s="37">
        <f>IF( ISERROR(IND_chemie_ele_kWh/1000),0,IND_chemie_ele_kWh/1000)</f>
        <v>63435.862980063903</v>
      </c>
      <c r="C36" s="39">
        <f>IF(ISERROR(B36*3.6/1000000/'E Balans VL '!Z24*100),0,B36*3.6/1000000/'E Balans VL '!Z24*100)</f>
        <v>1.9248828940432825</v>
      </c>
      <c r="D36" s="233" t="s">
        <v>835</v>
      </c>
    </row>
    <row r="37" spans="1:5" ht="30">
      <c r="A37" s="168" t="s">
        <v>259</v>
      </c>
      <c r="B37" s="37">
        <f>IF( ISERROR(IND_rest_ele_kWh/1000),0,IND_rest_ele_kWh/1000)</f>
        <v>10734.3239892867</v>
      </c>
      <c r="C37" s="39">
        <f>IF(ISERROR(B37*3.6/1000000/'E Balans VL '!Z15*100),0,B37*3.6/1000000/'E Balans VL '!Z15*100)</f>
        <v>8.813693036058573E-2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4436.1812295434702</v>
      </c>
      <c r="C5" s="17">
        <f>'Eigen informatie GS &amp; warmtenet'!B62</f>
        <v>0</v>
      </c>
      <c r="D5" s="30">
        <f>IF(ISERROR(SUM(LB_lb_gas_kWh,LB_rest_gas_kWh)/1000),0,SUM(LB_lb_gas_kWh,LB_rest_gas_kWh)/1000)*0.903</f>
        <v>551.78127376831139</v>
      </c>
      <c r="E5" s="17">
        <f>B17*'E Balans VL '!I25/3.6*1000000/100</f>
        <v>127.05973780721483</v>
      </c>
      <c r="F5" s="17">
        <f>B17*('E Balans VL '!L25/3.6*1000000+'E Balans VL '!N25/3.6*1000000)/100</f>
        <v>14042.658206468459</v>
      </c>
      <c r="G5" s="18"/>
      <c r="H5" s="17"/>
      <c r="I5" s="17"/>
      <c r="J5" s="17">
        <f>('E Balans VL '!D25+'E Balans VL '!E25)/3.6*1000000*landbouw!B17/100</f>
        <v>1127.9815799709652</v>
      </c>
      <c r="K5" s="17"/>
      <c r="L5" s="17">
        <f>L6*(-1)</f>
        <v>0</v>
      </c>
      <c r="M5" s="17"/>
      <c r="N5" s="17">
        <f>N6*(-1)</f>
        <v>57407.142857142862</v>
      </c>
      <c r="O5" s="17"/>
      <c r="P5" s="17"/>
      <c r="R5" s="32"/>
    </row>
    <row r="6" spans="1:18">
      <c r="A6" s="16" t="s">
        <v>467</v>
      </c>
      <c r="B6" s="17" t="s">
        <v>204</v>
      </c>
      <c r="C6" s="17">
        <f>'lokale energieproductie'!O44+'lokale energieproductie'!O37</f>
        <v>28715.747104247104</v>
      </c>
      <c r="D6" s="304">
        <f>('lokale energieproductie'!P37+'lokale energieproductie'!P44)*(-1)</f>
        <v>-22.972972972972972</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-57407.142857142862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4436.1812295434702</v>
      </c>
      <c r="C8" s="21">
        <f>C5+C6</f>
        <v>28715.747104247104</v>
      </c>
      <c r="D8" s="21">
        <f>MAX((D5+D6),0)</f>
        <v>528.80830079533837</v>
      </c>
      <c r="E8" s="21">
        <f>MAX((E5+E6),0)</f>
        <v>127.05973780721483</v>
      </c>
      <c r="F8" s="21">
        <f>MAX((F5+F6),0)</f>
        <v>14042.658206468459</v>
      </c>
      <c r="G8" s="21"/>
      <c r="H8" s="21"/>
      <c r="I8" s="21"/>
      <c r="J8" s="21">
        <f>MAX((J5+J6),0)</f>
        <v>1127.9815799709652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0.12539350535993346</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556.26831478439533</v>
      </c>
      <c r="C12" s="23">
        <f ca="1">C8*C10</f>
        <v>811.41786903647323</v>
      </c>
      <c r="D12" s="23">
        <f>D8*D10</f>
        <v>106.81927676065835</v>
      </c>
      <c r="E12" s="23">
        <f>E8*E10</f>
        <v>28.842560482237769</v>
      </c>
      <c r="F12" s="23">
        <f>F8*F10</f>
        <v>3749.3897411270787</v>
      </c>
      <c r="G12" s="23"/>
      <c r="H12" s="23"/>
      <c r="I12" s="23"/>
      <c r="J12" s="23">
        <f>J8*J10</f>
        <v>399.30547930972165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0.61431046330357464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920.75319029947707</v>
      </c>
      <c r="C26" s="243">
        <f>B26*'GWP N2O_CH4'!B5</f>
        <v>19335.816996289017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284.77261644636496</v>
      </c>
      <c r="C27" s="243">
        <f>B27*'GWP N2O_CH4'!B5</f>
        <v>5980.224945373664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19.608362501806873</v>
      </c>
      <c r="C28" s="243">
        <f>B28*'GWP N2O_CH4'!B4</f>
        <v>6078.5923755601307</v>
      </c>
      <c r="D28" s="50"/>
    </row>
    <row r="29" spans="1:4">
      <c r="A29" s="41" t="s">
        <v>266</v>
      </c>
      <c r="B29" s="243">
        <f>B34*'ha_N2O bodem landbouw'!B4</f>
        <v>35.067520266085189</v>
      </c>
      <c r="C29" s="243">
        <f>B29*'GWP N2O_CH4'!B4</f>
        <v>10870.931282486408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7.9667129913063763E-3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3.0794527142571876E-3</v>
      </c>
      <c r="C5" s="432" t="s">
        <v>204</v>
      </c>
      <c r="D5" s="417">
        <f>SUM(D6:D11)</f>
        <v>5.2590153959237449E-3</v>
      </c>
      <c r="E5" s="417">
        <f>SUM(E6:E11)</f>
        <v>2.1493613777030921E-3</v>
      </c>
      <c r="F5" s="430" t="s">
        <v>204</v>
      </c>
      <c r="G5" s="417">
        <f>SUM(G6:G11)</f>
        <v>1.0451867247639417</v>
      </c>
      <c r="H5" s="417">
        <f>SUM(H6:H11)</f>
        <v>0.25974221184165008</v>
      </c>
      <c r="I5" s="432" t="s">
        <v>204</v>
      </c>
      <c r="J5" s="432" t="s">
        <v>204</v>
      </c>
      <c r="K5" s="432" t="s">
        <v>204</v>
      </c>
      <c r="L5" s="432" t="s">
        <v>204</v>
      </c>
      <c r="M5" s="417">
        <f>SUM(M6:M11)</f>
        <v>7.8426244506269144E-2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1.8809605640874192E-3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3.1360997188294147E-3</v>
      </c>
      <c r="E6" s="884">
        <f>vkm_GW_PW*SUMIFS(TableVerdeelsleutelVkm[LPG],TableVerdeelsleutelVkm[Voertuigtype],"Lichte voertuigen")*SUMIFS(TableECFTransport[EnergieConsumptieFactor (PJ per km)],TableECFTransport[Index],CONCATENATE($A6,"_LPG_LPG"))</f>
        <v>1.2433359865025653E-3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0.37365369709136798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0.15379981915782329</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3.2357717714643255E-2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6.2730957741138186E-6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0.24866947048546276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1.8348207552845804E-6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1.4278180459343483E-2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5.0736661906259912E-4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1.1585479402224982E-3</v>
      </c>
      <c r="E8" s="420">
        <f>vkm_NGW_PW*SUMIFS(TableVerdeelsleutelVkm[LPG],TableVerdeelsleutelVkm[Voertuigtype],"Lichte voertuigen")*SUMIFS(TableECFTransport[EnergieConsumptieFactor (PJ per km)],TableECFTransport[Index],CONCATENATE($A8,"_LPG_LPG"))</f>
        <v>4.3979076269279679E-4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0.12106563700614957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5.6286703948597139E-2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1.0941661140714702E-2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2.7475228572966772E-7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1.4025504298520735E-2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9.6999497931962489E-8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8.0532027768631654E-4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6.8027113606165769E-4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9.6436773687183237E-4</v>
      </c>
      <c r="E10" s="420">
        <f>vkm_SW_PW*SUMIFS(TableVerdeelsleutelVkm[LPG],TableVerdeelsleutelVkm[Voertuigtype],"Lichte voertuigen")*SUMIFS(TableECFTransport[EnergieConsumptieFactor (PJ per km)],TableECFTransport[Index],CONCATENATE($A10,"_LPG_LPG"))</f>
        <v>4.6623462850773012E-4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0.1271174668756698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4.9652460418456945E-2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1.0818821556687496E-2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4.3065469856679429E-6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0.16065494900677083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1.2964965195327951E-6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9.2245433571938838E-3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855.40353173810763</v>
      </c>
      <c r="C14" s="21"/>
      <c r="D14" s="21">
        <f t="shared" ref="D14:M14" si="0">((D5)*10^9/3600)+D12</f>
        <v>1460.8376099788181</v>
      </c>
      <c r="E14" s="21">
        <f t="shared" si="0"/>
        <v>597.04482713974778</v>
      </c>
      <c r="F14" s="21"/>
      <c r="G14" s="21">
        <f t="shared" si="0"/>
        <v>290329.64576776157</v>
      </c>
      <c r="H14" s="21">
        <f t="shared" si="0"/>
        <v>72150.614400458348</v>
      </c>
      <c r="I14" s="21"/>
      <c r="J14" s="21"/>
      <c r="K14" s="21"/>
      <c r="L14" s="21"/>
      <c r="M14" s="21">
        <f t="shared" si="0"/>
        <v>21785.067918408095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0.12539350535993346</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107.26204734190841</v>
      </c>
      <c r="C18" s="23"/>
      <c r="D18" s="23">
        <f t="shared" ref="D18:M18" si="1">D14*D16</f>
        <v>295.0891972157213</v>
      </c>
      <c r="E18" s="23">
        <f t="shared" si="1"/>
        <v>135.52917576072275</v>
      </c>
      <c r="F18" s="23"/>
      <c r="G18" s="23">
        <f t="shared" si="1"/>
        <v>77518.015419992342</v>
      </c>
      <c r="H18" s="23">
        <f t="shared" si="1"/>
        <v>17965.502985714127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1.8131086380690788E-4</v>
      </c>
      <c r="C50" s="315">
        <f t="shared" ref="C50:P50" si="2">SUM(C51:C52)</f>
        <v>0</v>
      </c>
      <c r="D50" s="315">
        <f t="shared" si="2"/>
        <v>0</v>
      </c>
      <c r="E50" s="315">
        <f t="shared" si="2"/>
        <v>0</v>
      </c>
      <c r="F50" s="315">
        <f t="shared" si="2"/>
        <v>0</v>
      </c>
      <c r="G50" s="315">
        <f t="shared" si="2"/>
        <v>1.1350608215443514E-2</v>
      </c>
      <c r="H50" s="315">
        <f t="shared" si="2"/>
        <v>0</v>
      </c>
      <c r="I50" s="315">
        <f t="shared" si="2"/>
        <v>0</v>
      </c>
      <c r="J50" s="315">
        <f t="shared" si="2"/>
        <v>0</v>
      </c>
      <c r="K50" s="315">
        <f t="shared" si="2"/>
        <v>0</v>
      </c>
      <c r="L50" s="315">
        <f t="shared" si="2"/>
        <v>0</v>
      </c>
      <c r="M50" s="315">
        <f t="shared" si="2"/>
        <v>6.5172679084126339E-4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1.8131086380690788E-4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1.1350608215443514E-2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6.5172679084126339E-4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50.364128835252188</v>
      </c>
      <c r="C54" s="21">
        <f t="shared" ref="C54:P54" si="3">(C50)*10^9/3600</f>
        <v>0</v>
      </c>
      <c r="D54" s="21">
        <f t="shared" si="3"/>
        <v>0</v>
      </c>
      <c r="E54" s="21">
        <f t="shared" si="3"/>
        <v>0</v>
      </c>
      <c r="F54" s="21">
        <f t="shared" si="3"/>
        <v>0</v>
      </c>
      <c r="G54" s="21">
        <f t="shared" si="3"/>
        <v>3152.9467265120875</v>
      </c>
      <c r="H54" s="21">
        <f t="shared" si="3"/>
        <v>0</v>
      </c>
      <c r="I54" s="21">
        <f t="shared" si="3"/>
        <v>0</v>
      </c>
      <c r="J54" s="21">
        <f t="shared" si="3"/>
        <v>0</v>
      </c>
      <c r="K54" s="21">
        <f t="shared" si="3"/>
        <v>0</v>
      </c>
      <c r="L54" s="21">
        <f t="shared" si="3"/>
        <v>0</v>
      </c>
      <c r="M54" s="21">
        <f t="shared" si="3"/>
        <v>181.03521967812873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0.12539350535993346</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6.3153346590515742</v>
      </c>
      <c r="C58" s="23">
        <f t="shared" ref="C58:P58" ca="1" si="4">C54*C56</f>
        <v>0</v>
      </c>
      <c r="D58" s="23">
        <f t="shared" si="4"/>
        <v>0</v>
      </c>
      <c r="E58" s="23">
        <f t="shared" si="4"/>
        <v>0</v>
      </c>
      <c r="F58" s="23">
        <f t="shared" si="4"/>
        <v>0</v>
      </c>
      <c r="G58" s="23">
        <f t="shared" si="4"/>
        <v>841.83677597872736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64244.236649950166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27347.555982780119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N34</f>
        <v>22805</v>
      </c>
      <c r="C8" s="543">
        <f>B53</f>
        <v>3190.0916088146691</v>
      </c>
      <c r="D8" s="544"/>
      <c r="E8" s="544">
        <f>E53</f>
        <v>0</v>
      </c>
      <c r="F8" s="545"/>
      <c r="G8" s="546"/>
      <c r="H8" s="544">
        <f>I53</f>
        <v>0</v>
      </c>
      <c r="I8" s="544">
        <f>G53+F53</f>
        <v>0</v>
      </c>
      <c r="J8" s="544">
        <f>H53+D53+C53</f>
        <v>23638.207279626658</v>
      </c>
      <c r="K8" s="544"/>
      <c r="L8" s="544"/>
      <c r="M8" s="544"/>
      <c r="N8" s="547"/>
      <c r="O8" s="548">
        <f>C8*$C$12+D8*$D$12+E8*$E$12+F8*$F$12+G8*$G$12+H8*$H$12+I8*$I$12+J8*$J$12</f>
        <v>644.39850498056319</v>
      </c>
      <c r="P8" s="1256"/>
      <c r="Q8" s="1257"/>
      <c r="S8" s="538"/>
      <c r="T8" s="1244"/>
      <c r="U8" s="1244"/>
    </row>
    <row r="9" spans="1:21" s="529" customFormat="1" ht="17.45" customHeight="1" thickBot="1">
      <c r="A9" s="549" t="s">
        <v>237</v>
      </c>
      <c r="B9" s="550">
        <f>N41+'Eigen informatie GS &amp; warmtenet'!B12</f>
        <v>0</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114396.79263273028</v>
      </c>
      <c r="C10" s="558">
        <f t="shared" ref="C10:L10" si="0">SUM(C8:C9)</f>
        <v>3190.0916088146691</v>
      </c>
      <c r="D10" s="558">
        <f t="shared" si="0"/>
        <v>0</v>
      </c>
      <c r="E10" s="558">
        <f t="shared" si="0"/>
        <v>0</v>
      </c>
      <c r="F10" s="558">
        <f t="shared" si="0"/>
        <v>0</v>
      </c>
      <c r="G10" s="558">
        <f t="shared" si="0"/>
        <v>0</v>
      </c>
      <c r="H10" s="558">
        <f t="shared" si="0"/>
        <v>0</v>
      </c>
      <c r="I10" s="558">
        <f t="shared" si="0"/>
        <v>0</v>
      </c>
      <c r="J10" s="558">
        <f t="shared" si="0"/>
        <v>23638.207279626658</v>
      </c>
      <c r="K10" s="558">
        <f t="shared" si="0"/>
        <v>0</v>
      </c>
      <c r="L10" s="558">
        <f t="shared" si="0"/>
        <v>0</v>
      </c>
      <c r="M10" s="959"/>
      <c r="N10" s="959"/>
      <c r="O10" s="559">
        <f>SUM(O4:O9)</f>
        <v>644.39850498056319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O34</f>
        <v>32578.637065637067</v>
      </c>
      <c r="C17" s="574">
        <f>B54</f>
        <v>4557.2829085598496</v>
      </c>
      <c r="D17" s="575"/>
      <c r="E17" s="575">
        <f>E54</f>
        <v>0</v>
      </c>
      <c r="F17" s="576"/>
      <c r="G17" s="577"/>
      <c r="H17" s="574">
        <f>I54</f>
        <v>0</v>
      </c>
      <c r="I17" s="575">
        <f>G54+F54</f>
        <v>0</v>
      </c>
      <c r="J17" s="575">
        <f>H54+D54+C54</f>
        <v>33768.935577516204</v>
      </c>
      <c r="K17" s="575"/>
      <c r="L17" s="575"/>
      <c r="M17" s="575"/>
      <c r="N17" s="960"/>
      <c r="O17" s="578">
        <f>C17*$C$22+E17*$E$22+H17*$H$22+I17*$I$22+J17*$J$22+D17*$D$22+F17*$F$22+G17*$G$22+K17*$K$22+L17*$L$22</f>
        <v>920.57114752908967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32578.637065637067</v>
      </c>
      <c r="C20" s="557">
        <f>SUM(C17:C19)</f>
        <v>4557.2829085598496</v>
      </c>
      <c r="D20" s="557">
        <f t="shared" ref="D20:L20" si="1">SUM(D17:D19)</f>
        <v>0</v>
      </c>
      <c r="E20" s="557">
        <f t="shared" si="1"/>
        <v>0</v>
      </c>
      <c r="F20" s="557">
        <f t="shared" si="1"/>
        <v>0</v>
      </c>
      <c r="G20" s="557">
        <f t="shared" si="1"/>
        <v>0</v>
      </c>
      <c r="H20" s="557">
        <f t="shared" si="1"/>
        <v>0</v>
      </c>
      <c r="I20" s="557">
        <f t="shared" si="1"/>
        <v>0</v>
      </c>
      <c r="J20" s="557">
        <f t="shared" si="1"/>
        <v>33768.935577516204</v>
      </c>
      <c r="K20" s="557">
        <f t="shared" si="1"/>
        <v>0</v>
      </c>
      <c r="L20" s="557">
        <f t="shared" si="1"/>
        <v>0</v>
      </c>
      <c r="M20" s="557"/>
      <c r="N20" s="557"/>
      <c r="O20" s="583">
        <f>SUM(O17:O19)</f>
        <v>920.57114752908967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13008</v>
      </c>
      <c r="C28" s="785">
        <v>2440</v>
      </c>
      <c r="D28" s="635"/>
      <c r="E28" s="634"/>
      <c r="F28" s="634"/>
      <c r="G28" s="634" t="s">
        <v>868</v>
      </c>
      <c r="H28" s="634" t="s">
        <v>869</v>
      </c>
      <c r="I28" s="634"/>
      <c r="J28" s="784"/>
      <c r="K28" s="784"/>
      <c r="L28" s="634" t="s">
        <v>870</v>
      </c>
      <c r="M28" s="634">
        <v>4465</v>
      </c>
      <c r="N28" s="634">
        <v>20092.5</v>
      </c>
      <c r="O28" s="634">
        <v>28703.571428571428</v>
      </c>
      <c r="P28" s="634">
        <v>0</v>
      </c>
      <c r="Q28" s="634">
        <v>57407.142857142862</v>
      </c>
      <c r="R28" s="634">
        <v>0</v>
      </c>
      <c r="S28" s="634">
        <v>0</v>
      </c>
      <c r="T28" s="634">
        <v>0</v>
      </c>
      <c r="U28" s="634">
        <v>0</v>
      </c>
      <c r="V28" s="634">
        <v>0</v>
      </c>
      <c r="W28" s="634">
        <v>0</v>
      </c>
      <c r="X28" s="634">
        <v>10</v>
      </c>
      <c r="Y28" s="634" t="s">
        <v>105</v>
      </c>
      <c r="Z28" s="636" t="s">
        <v>105</v>
      </c>
    </row>
    <row r="29" spans="1:26" s="588" customFormat="1" ht="51" hidden="1">
      <c r="A29" s="587"/>
      <c r="B29" s="785">
        <v>13008</v>
      </c>
      <c r="C29" s="785">
        <v>2440</v>
      </c>
      <c r="D29" s="635"/>
      <c r="E29" s="634"/>
      <c r="F29" s="634"/>
      <c r="G29" s="634" t="s">
        <v>868</v>
      </c>
      <c r="H29" s="634" t="s">
        <v>869</v>
      </c>
      <c r="I29" s="634"/>
      <c r="J29" s="784"/>
      <c r="K29" s="784"/>
      <c r="L29" s="634" t="s">
        <v>870</v>
      </c>
      <c r="M29" s="634">
        <v>509</v>
      </c>
      <c r="N29" s="634">
        <v>2290.5</v>
      </c>
      <c r="O29" s="634">
        <v>3272.1428571428573</v>
      </c>
      <c r="P29" s="634">
        <v>6544.2857142857147</v>
      </c>
      <c r="Q29" s="634">
        <v>0</v>
      </c>
      <c r="R29" s="634">
        <v>0</v>
      </c>
      <c r="S29" s="634">
        <v>0</v>
      </c>
      <c r="T29" s="634">
        <v>0</v>
      </c>
      <c r="U29" s="634">
        <v>0</v>
      </c>
      <c r="V29" s="634">
        <v>0</v>
      </c>
      <c r="W29" s="634">
        <v>0</v>
      </c>
      <c r="X29" s="634">
        <v>1500</v>
      </c>
      <c r="Y29" s="634" t="s">
        <v>50</v>
      </c>
      <c r="Z29" s="636" t="s">
        <v>149</v>
      </c>
    </row>
    <row r="30" spans="1:26" s="588" customFormat="1" ht="63.75" hidden="1">
      <c r="A30" s="587"/>
      <c r="B30" s="785">
        <v>13008</v>
      </c>
      <c r="C30" s="785">
        <v>2440</v>
      </c>
      <c r="D30" s="635"/>
      <c r="E30" s="634"/>
      <c r="F30" s="634"/>
      <c r="G30" s="634" t="s">
        <v>868</v>
      </c>
      <c r="H30" s="634" t="s">
        <v>869</v>
      </c>
      <c r="I30" s="634"/>
      <c r="J30" s="784"/>
      <c r="K30" s="784"/>
      <c r="L30" s="634" t="s">
        <v>870</v>
      </c>
      <c r="M30" s="634">
        <v>20</v>
      </c>
      <c r="N30" s="634">
        <v>90</v>
      </c>
      <c r="O30" s="634">
        <v>128.57142857142858</v>
      </c>
      <c r="P30" s="634">
        <v>257.14285714285717</v>
      </c>
      <c r="Q30" s="634">
        <v>0</v>
      </c>
      <c r="R30" s="634">
        <v>0</v>
      </c>
      <c r="S30" s="634">
        <v>0</v>
      </c>
      <c r="T30" s="634">
        <v>0</v>
      </c>
      <c r="U30" s="634">
        <v>0</v>
      </c>
      <c r="V30" s="634">
        <v>0</v>
      </c>
      <c r="W30" s="634">
        <v>0</v>
      </c>
      <c r="X30" s="634">
        <v>1600</v>
      </c>
      <c r="Y30" s="634" t="s">
        <v>49</v>
      </c>
      <c r="Z30" s="636" t="s">
        <v>149</v>
      </c>
    </row>
    <row r="31" spans="1:26" s="588" customFormat="1" ht="12.75" hidden="1">
      <c r="A31" s="587"/>
      <c r="B31" s="785">
        <v>13008</v>
      </c>
      <c r="C31" s="785">
        <v>2440</v>
      </c>
      <c r="D31" s="635"/>
      <c r="E31" s="634"/>
      <c r="F31" s="634"/>
      <c r="G31" s="634" t="s">
        <v>871</v>
      </c>
      <c r="H31" s="634" t="s">
        <v>871</v>
      </c>
      <c r="I31" s="634"/>
      <c r="J31" s="784"/>
      <c r="K31" s="784"/>
      <c r="L31" s="634" t="s">
        <v>870</v>
      </c>
      <c r="M31" s="634">
        <v>1.7</v>
      </c>
      <c r="N31" s="634">
        <v>8.5</v>
      </c>
      <c r="O31" s="634">
        <v>12.175675675675675</v>
      </c>
      <c r="P31" s="634">
        <v>22.972972972972972</v>
      </c>
      <c r="Q31" s="634">
        <v>0</v>
      </c>
      <c r="R31" s="634">
        <v>0</v>
      </c>
      <c r="S31" s="634">
        <v>0</v>
      </c>
      <c r="T31" s="634">
        <v>0</v>
      </c>
      <c r="U31" s="634">
        <v>0</v>
      </c>
      <c r="V31" s="634">
        <v>0</v>
      </c>
      <c r="W31" s="634">
        <v>0</v>
      </c>
      <c r="X31" s="634">
        <v>10</v>
      </c>
      <c r="Y31" s="634" t="s">
        <v>105</v>
      </c>
      <c r="Z31" s="636" t="s">
        <v>105</v>
      </c>
    </row>
    <row r="32" spans="1:26" s="588" customFormat="1" ht="63.75" hidden="1">
      <c r="A32" s="587"/>
      <c r="B32" s="785">
        <v>13008</v>
      </c>
      <c r="C32" s="785">
        <v>2440</v>
      </c>
      <c r="D32" s="635"/>
      <c r="E32" s="634"/>
      <c r="F32" s="634"/>
      <c r="G32" s="634" t="s">
        <v>868</v>
      </c>
      <c r="H32" s="634" t="s">
        <v>869</v>
      </c>
      <c r="I32" s="634"/>
      <c r="J32" s="784"/>
      <c r="K32" s="784"/>
      <c r="L32" s="634" t="s">
        <v>872</v>
      </c>
      <c r="M32" s="634">
        <v>70</v>
      </c>
      <c r="N32" s="634">
        <v>315.00000000000006</v>
      </c>
      <c r="O32" s="634">
        <v>450.00000000000011</v>
      </c>
      <c r="P32" s="634">
        <v>900.00000000000023</v>
      </c>
      <c r="Q32" s="634">
        <v>0</v>
      </c>
      <c r="R32" s="634">
        <v>0</v>
      </c>
      <c r="S32" s="634">
        <v>0</v>
      </c>
      <c r="T32" s="634">
        <v>0</v>
      </c>
      <c r="U32" s="634">
        <v>0</v>
      </c>
      <c r="V32" s="634">
        <v>0</v>
      </c>
      <c r="W32" s="634">
        <v>0</v>
      </c>
      <c r="X32" s="634">
        <v>1600</v>
      </c>
      <c r="Y32" s="634" t="s">
        <v>49</v>
      </c>
      <c r="Z32" s="636" t="s">
        <v>149</v>
      </c>
    </row>
    <row r="33" spans="1:27" s="588" customFormat="1" ht="51" hidden="1">
      <c r="A33" s="587"/>
      <c r="B33" s="785">
        <v>13008</v>
      </c>
      <c r="C33" s="785">
        <v>2440</v>
      </c>
      <c r="D33" s="635"/>
      <c r="E33" s="634"/>
      <c r="F33" s="634"/>
      <c r="G33" s="634" t="s">
        <v>871</v>
      </c>
      <c r="H33" s="634" t="s">
        <v>871</v>
      </c>
      <c r="I33" s="634"/>
      <c r="J33" s="784"/>
      <c r="K33" s="784"/>
      <c r="L33" s="634" t="s">
        <v>870</v>
      </c>
      <c r="M33" s="634">
        <v>1.7</v>
      </c>
      <c r="N33" s="634">
        <v>8.5</v>
      </c>
      <c r="O33" s="634">
        <v>12.175675675675675</v>
      </c>
      <c r="P33" s="634">
        <v>22.972972972972972</v>
      </c>
      <c r="Q33" s="634">
        <v>0</v>
      </c>
      <c r="R33" s="634">
        <v>0</v>
      </c>
      <c r="S33" s="634">
        <v>0</v>
      </c>
      <c r="T33" s="634">
        <v>0</v>
      </c>
      <c r="U33" s="634">
        <v>0</v>
      </c>
      <c r="V33" s="634">
        <v>0</v>
      </c>
      <c r="W33" s="634">
        <v>0</v>
      </c>
      <c r="X33" s="634">
        <v>1500</v>
      </c>
      <c r="Y33" s="634" t="s">
        <v>50</v>
      </c>
      <c r="Z33" s="636" t="s">
        <v>149</v>
      </c>
    </row>
    <row r="34" spans="1:27" s="568" customFormat="1" hidden="1">
      <c r="A34" s="590" t="s">
        <v>269</v>
      </c>
      <c r="B34" s="591"/>
      <c r="C34" s="591"/>
      <c r="D34" s="591"/>
      <c r="E34" s="591"/>
      <c r="F34" s="591"/>
      <c r="G34" s="591"/>
      <c r="H34" s="591"/>
      <c r="I34" s="591"/>
      <c r="J34" s="591"/>
      <c r="K34" s="591"/>
      <c r="L34" s="592"/>
      <c r="M34" s="592">
        <f>SUM(M28:M33)</f>
        <v>5067.3999999999996</v>
      </c>
      <c r="N34" s="592">
        <f>SUM(N28:N33)</f>
        <v>22805</v>
      </c>
      <c r="O34" s="592">
        <f>SUM(O28:O33)</f>
        <v>32578.637065637067</v>
      </c>
      <c r="P34" s="592">
        <f>SUM(P28:P33)</f>
        <v>7747.3745173745183</v>
      </c>
      <c r="Q34" s="592">
        <f>SUM(Q28:Q33)</f>
        <v>57407.142857142862</v>
      </c>
      <c r="R34" s="592">
        <f>SUM(R28:R33)</f>
        <v>0</v>
      </c>
      <c r="S34" s="592">
        <f>SUM(S28:S33)</f>
        <v>0</v>
      </c>
      <c r="T34" s="592">
        <f>SUM(T28:T33)</f>
        <v>0</v>
      </c>
      <c r="U34" s="592">
        <f>SUM(U28:U33)</f>
        <v>0</v>
      </c>
      <c r="V34" s="592">
        <f>SUM(V28:V33)</f>
        <v>0</v>
      </c>
      <c r="W34" s="592">
        <f>SUM(W28:W33)</f>
        <v>0</v>
      </c>
      <c r="X34" s="593"/>
      <c r="Y34" s="593"/>
      <c r="Z34" s="594"/>
    </row>
    <row r="35" spans="1:27" s="568" customFormat="1">
      <c r="A35" s="590" t="s">
        <v>276</v>
      </c>
      <c r="B35" s="591"/>
      <c r="C35" s="591"/>
      <c r="D35" s="591"/>
      <c r="E35" s="591"/>
      <c r="F35" s="591"/>
      <c r="G35" s="591"/>
      <c r="H35" s="591"/>
      <c r="I35" s="591"/>
      <c r="J35" s="591"/>
      <c r="K35" s="591"/>
      <c r="L35" s="592"/>
      <c r="M35" s="592">
        <f>SUMIF($Z$28:$Z$33,"industrie",M28:M33)</f>
        <v>0</v>
      </c>
      <c r="N35" s="592">
        <f>SUMIF($Z$28:$Z$33,"industrie",N28:N33)</f>
        <v>0</v>
      </c>
      <c r="O35" s="592">
        <f>SUMIF($Z$28:$Z$33,"industrie",O28:O33)</f>
        <v>0</v>
      </c>
      <c r="P35" s="592">
        <f>SUMIF($Z$28:$Z$33,"industrie",P28:P33)</f>
        <v>0</v>
      </c>
      <c r="Q35" s="592">
        <f>SUMIF($Z$28:$Z$33,"industrie",Q28:Q33)</f>
        <v>0</v>
      </c>
      <c r="R35" s="592">
        <f>SUMIF($Z$28:$Z$33,"industrie",R28:R33)</f>
        <v>0</v>
      </c>
      <c r="S35" s="592">
        <f>SUMIF($Z$28:$Z$33,"industrie",S28:S33)</f>
        <v>0</v>
      </c>
      <c r="T35" s="592">
        <f>SUMIF($Z$28:$Z$33,"industrie",T28:T33)</f>
        <v>0</v>
      </c>
      <c r="U35" s="592">
        <f>SUMIF($Z$28:$Z$33,"industrie",U28:U33)</f>
        <v>0</v>
      </c>
      <c r="V35" s="592">
        <f>SUMIF($Z$28:$Z$33,"industrie",V28:V33)</f>
        <v>0</v>
      </c>
      <c r="W35" s="592">
        <f>SUMIF($Z$28:$Z$33,"industrie",W28:W33)</f>
        <v>0</v>
      </c>
      <c r="X35" s="593"/>
      <c r="Y35" s="593"/>
      <c r="Z35" s="594"/>
    </row>
    <row r="36" spans="1:27" s="568" customFormat="1">
      <c r="A36" s="590" t="s">
        <v>277</v>
      </c>
      <c r="B36" s="591"/>
      <c r="C36" s="591"/>
      <c r="D36" s="591"/>
      <c r="E36" s="591"/>
      <c r="F36" s="591"/>
      <c r="G36" s="591"/>
      <c r="H36" s="591"/>
      <c r="I36" s="591"/>
      <c r="J36" s="591"/>
      <c r="K36" s="591"/>
      <c r="L36" s="592"/>
      <c r="M36" s="592">
        <f ca="1">SUMIF($Z$28:AC33,"tertiair",M28:M33)</f>
        <v>600.70000000000005</v>
      </c>
      <c r="N36" s="592">
        <f ca="1">SUMIF($Z$28:AD33,"tertiair",N28:N33)</f>
        <v>2704</v>
      </c>
      <c r="O36" s="592">
        <f ca="1">SUMIF($Z$28:AE33,"tertiair",O28:O33)</f>
        <v>3862.8899613899616</v>
      </c>
      <c r="P36" s="592">
        <f ca="1">SUMIF($Z$28:AF33,"tertiair",P28:P33)</f>
        <v>7724.4015444015449</v>
      </c>
      <c r="Q36" s="592">
        <f ca="1">SUMIF($Z$28:AG33,"tertiair",Q28:Q33)</f>
        <v>0</v>
      </c>
      <c r="R36" s="592">
        <f ca="1">SUMIF($Z$28:AH33,"tertiair",R28:R33)</f>
        <v>0</v>
      </c>
      <c r="S36" s="592">
        <f ca="1">SUMIF($Z$28:AI33,"tertiair",S28:S33)</f>
        <v>0</v>
      </c>
      <c r="T36" s="592">
        <f ca="1">SUMIF($Z$28:AJ33,"tertiair",T28:T33)</f>
        <v>0</v>
      </c>
      <c r="U36" s="592">
        <f ca="1">SUMIF($Z$28:AK33,"tertiair",U28:U33)</f>
        <v>0</v>
      </c>
      <c r="V36" s="592">
        <f ca="1">SUMIF($Z$28:AL33,"tertiair",V28:V33)</f>
        <v>0</v>
      </c>
      <c r="W36" s="592">
        <f ca="1">SUMIF($Z$28:AM33,"tertiair",W28:W33)</f>
        <v>0</v>
      </c>
      <c r="X36" s="593"/>
      <c r="Y36" s="593"/>
      <c r="Z36" s="594"/>
    </row>
    <row r="37" spans="1:27" s="568" customFormat="1" ht="15.75" thickBot="1">
      <c r="A37" s="595" t="s">
        <v>278</v>
      </c>
      <c r="B37" s="596"/>
      <c r="C37" s="596"/>
      <c r="D37" s="596"/>
      <c r="E37" s="596"/>
      <c r="F37" s="596"/>
      <c r="G37" s="596"/>
      <c r="H37" s="596"/>
      <c r="I37" s="596"/>
      <c r="J37" s="596"/>
      <c r="K37" s="596"/>
      <c r="L37" s="597"/>
      <c r="M37" s="597">
        <f>SUMIF($Z$28:$Z$33,"landbouw",M28:M33)</f>
        <v>4466.7</v>
      </c>
      <c r="N37" s="597">
        <f>SUMIF($Z$28:$Z$33,"landbouw",N28:N33)</f>
        <v>20101</v>
      </c>
      <c r="O37" s="597">
        <f>SUMIF($Z$28:$Z$33,"landbouw",O28:O33)</f>
        <v>28715.747104247104</v>
      </c>
      <c r="P37" s="597">
        <f>SUMIF($Z$28:$Z$33,"landbouw",P28:P33)</f>
        <v>22.972972972972972</v>
      </c>
      <c r="Q37" s="597">
        <f>SUMIF($Z$28:$Z$33,"landbouw",Q28:Q33)</f>
        <v>57407.142857142862</v>
      </c>
      <c r="R37" s="597">
        <f>SUMIF($Z$28:$Z$33,"landbouw",R28:R33)</f>
        <v>0</v>
      </c>
      <c r="S37" s="597">
        <f>SUMIF($Z$28:$Z$33,"landbouw",S28:S33)</f>
        <v>0</v>
      </c>
      <c r="T37" s="597">
        <f>SUMIF($Z$28:$Z$33,"landbouw",T28:T33)</f>
        <v>0</v>
      </c>
      <c r="U37" s="597">
        <f>SUMIF($Z$28:$Z$33,"landbouw",U28:U33)</f>
        <v>0</v>
      </c>
      <c r="V37" s="597">
        <f>SUMIF($Z$28:$Z$33,"landbouw",V28:V33)</f>
        <v>0</v>
      </c>
      <c r="W37" s="597">
        <f>SUMIF($Z$28:$Z$33,"landbouw",W28:W33)</f>
        <v>0</v>
      </c>
      <c r="X37" s="598"/>
      <c r="Y37" s="598"/>
      <c r="Z37" s="599"/>
    </row>
    <row r="38" spans="1:27" s="529" customFormat="1" ht="15.75" thickBot="1">
      <c r="A38" s="600"/>
      <c r="B38" s="601"/>
      <c r="C38" s="601"/>
      <c r="D38" s="601"/>
      <c r="E38" s="601"/>
      <c r="F38" s="601"/>
      <c r="G38" s="601"/>
      <c r="H38" s="601"/>
      <c r="I38" s="601"/>
      <c r="J38" s="601"/>
      <c r="K38" s="601"/>
      <c r="L38" s="584"/>
      <c r="M38" s="584"/>
      <c r="N38" s="584"/>
      <c r="O38" s="585"/>
      <c r="P38" s="585"/>
    </row>
    <row r="39" spans="1:27" s="529" customFormat="1" ht="45">
      <c r="A39" s="602" t="s">
        <v>270</v>
      </c>
      <c r="B39" s="631" t="s">
        <v>89</v>
      </c>
      <c r="C39" s="631" t="s">
        <v>90</v>
      </c>
      <c r="D39" s="631"/>
      <c r="E39" s="631"/>
      <c r="F39" s="631"/>
      <c r="G39" s="631" t="s">
        <v>91</v>
      </c>
      <c r="H39" s="631" t="s">
        <v>92</v>
      </c>
      <c r="I39" s="631"/>
      <c r="J39" s="631"/>
      <c r="K39" s="631"/>
      <c r="L39" s="631" t="s">
        <v>93</v>
      </c>
      <c r="M39" s="632" t="s">
        <v>287</v>
      </c>
      <c r="N39" s="632" t="s">
        <v>94</v>
      </c>
      <c r="O39" s="632" t="s">
        <v>95</v>
      </c>
      <c r="P39" s="632" t="s">
        <v>511</v>
      </c>
      <c r="Q39" s="632" t="s">
        <v>96</v>
      </c>
      <c r="R39" s="632" t="s">
        <v>97</v>
      </c>
      <c r="S39" s="632" t="s">
        <v>98</v>
      </c>
      <c r="T39" s="632" t="s">
        <v>99</v>
      </c>
      <c r="U39" s="632" t="s">
        <v>100</v>
      </c>
      <c r="V39" s="632" t="s">
        <v>101</v>
      </c>
      <c r="W39" s="631" t="s">
        <v>102</v>
      </c>
      <c r="X39" s="631" t="s">
        <v>288</v>
      </c>
      <c r="Y39" s="631" t="s">
        <v>103</v>
      </c>
      <c r="Z39" s="633" t="s">
        <v>289</v>
      </c>
    </row>
    <row r="40" spans="1:27" s="603" customFormat="1" ht="12.75" hidden="1">
      <c r="A40" s="589"/>
      <c r="B40" s="785"/>
      <c r="C40" s="785"/>
      <c r="D40" s="637"/>
      <c r="E40" s="637"/>
      <c r="F40" s="637"/>
      <c r="G40" s="637"/>
      <c r="H40" s="637"/>
      <c r="I40" s="637"/>
      <c r="J40" s="784"/>
      <c r="K40" s="784"/>
      <c r="L40" s="637"/>
      <c r="M40" s="637"/>
      <c r="N40" s="637"/>
      <c r="O40" s="637"/>
      <c r="P40" s="637"/>
      <c r="Q40" s="637"/>
      <c r="R40" s="637"/>
      <c r="S40" s="637"/>
      <c r="T40" s="637"/>
      <c r="U40" s="637"/>
      <c r="V40" s="637"/>
      <c r="W40" s="637"/>
      <c r="X40" s="637"/>
      <c r="Y40" s="637"/>
      <c r="Z40" s="638"/>
    </row>
    <row r="41" spans="1:27" s="568" customFormat="1" hidden="1">
      <c r="A41" s="590" t="s">
        <v>269</v>
      </c>
      <c r="B41" s="591"/>
      <c r="C41" s="591"/>
      <c r="D41" s="591"/>
      <c r="E41" s="591"/>
      <c r="F41" s="591"/>
      <c r="G41" s="591"/>
      <c r="H41" s="591"/>
      <c r="I41" s="591"/>
      <c r="J41" s="591"/>
      <c r="K41" s="591"/>
      <c r="L41" s="592"/>
      <c r="M41" s="592">
        <f>SUM(M40:M40)</f>
        <v>0</v>
      </c>
      <c r="N41" s="592">
        <f>SUM(N40:N40)</f>
        <v>0</v>
      </c>
      <c r="O41" s="592">
        <f>SUM(O40:O40)</f>
        <v>0</v>
      </c>
      <c r="P41" s="592">
        <f>SUM(P40:P40)</f>
        <v>0</v>
      </c>
      <c r="Q41" s="592">
        <f>SUM(Q40:Q40)</f>
        <v>0</v>
      </c>
      <c r="R41" s="592">
        <f>SUM(R40:R40)</f>
        <v>0</v>
      </c>
      <c r="S41" s="592">
        <f>SUM(S40:S40)</f>
        <v>0</v>
      </c>
      <c r="T41" s="592">
        <f>SUM(T40:T40)</f>
        <v>0</v>
      </c>
      <c r="U41" s="592">
        <f>SUM(U40:U40)</f>
        <v>0</v>
      </c>
      <c r="V41" s="592">
        <f>SUM(V40:V40)</f>
        <v>0</v>
      </c>
      <c r="W41" s="592">
        <f>SUM(W40:W40)</f>
        <v>0</v>
      </c>
      <c r="X41" s="593"/>
      <c r="Y41" s="593"/>
      <c r="Z41" s="594"/>
    </row>
    <row r="42" spans="1:27" s="568" customFormat="1">
      <c r="A42" s="590" t="s">
        <v>276</v>
      </c>
      <c r="B42" s="591"/>
      <c r="C42" s="591"/>
      <c r="D42" s="591"/>
      <c r="E42" s="591"/>
      <c r="F42" s="591"/>
      <c r="G42" s="591"/>
      <c r="H42" s="591"/>
      <c r="I42" s="591"/>
      <c r="J42" s="591"/>
      <c r="K42" s="591"/>
      <c r="L42" s="592"/>
      <c r="M42" s="592">
        <f>SUMIF($Z$40:$Z$40,"industrie",M40:M40)</f>
        <v>0</v>
      </c>
      <c r="N42" s="592">
        <f>SUMIF($Z$40:$Z$40,"industrie",N40:N40)</f>
        <v>0</v>
      </c>
      <c r="O42" s="592">
        <f>SUMIF($Z$40:$Z$40,"industrie",O40:O40)</f>
        <v>0</v>
      </c>
      <c r="P42" s="592">
        <f>SUMIF($Z$40:$Z$40,"industrie",P40:P40)</f>
        <v>0</v>
      </c>
      <c r="Q42" s="592">
        <f>SUMIF($Z$40:$Z$40,"industrie",Q40:Q40)</f>
        <v>0</v>
      </c>
      <c r="R42" s="592">
        <f>SUMIF($Z$40:$Z$40,"industrie",R40:R40)</f>
        <v>0</v>
      </c>
      <c r="S42" s="592">
        <f>SUMIF($Z$40:$Z$40,"industrie",S40:S40)</f>
        <v>0</v>
      </c>
      <c r="T42" s="592">
        <f>SUMIF($Z$40:$Z$40,"industrie",T40:T40)</f>
        <v>0</v>
      </c>
      <c r="U42" s="592">
        <f>SUMIF($Z$40:$Z$40,"industrie",U40:U40)</f>
        <v>0</v>
      </c>
      <c r="V42" s="592">
        <f>SUMIF($Z$40:$Z$40,"industrie",V40:V40)</f>
        <v>0</v>
      </c>
      <c r="W42" s="592">
        <f>SUMIF($Z$40:$Z$40,"industrie",W40:W40)</f>
        <v>0</v>
      </c>
      <c r="X42" s="593"/>
      <c r="Y42" s="593"/>
      <c r="Z42" s="594"/>
    </row>
    <row r="43" spans="1:27" s="568" customFormat="1">
      <c r="A43" s="590" t="s">
        <v>277</v>
      </c>
      <c r="B43" s="591"/>
      <c r="C43" s="591"/>
      <c r="D43" s="591"/>
      <c r="E43" s="591"/>
      <c r="F43" s="591"/>
      <c r="G43" s="591"/>
      <c r="H43" s="591"/>
      <c r="I43" s="591"/>
      <c r="J43" s="591"/>
      <c r="K43" s="591"/>
      <c r="L43" s="592"/>
      <c r="M43" s="592">
        <f>SUMIF($Z$40:$Z$41,"tertiair",M40:M41)</f>
        <v>0</v>
      </c>
      <c r="N43" s="592">
        <f>SUMIF($Z$40:$Z$41,"tertiair",N40:N41)</f>
        <v>0</v>
      </c>
      <c r="O43" s="592">
        <f>SUMIF($Z$40:$Z$41,"tertiair",O40:O41)</f>
        <v>0</v>
      </c>
      <c r="P43" s="592">
        <f>SUMIF($Z$40:$Z$41,"tertiair",P40:P41)</f>
        <v>0</v>
      </c>
      <c r="Q43" s="592">
        <f>SUMIF($Z$40:$Z$41,"tertiair",Q40:Q41)</f>
        <v>0</v>
      </c>
      <c r="R43" s="592">
        <f>SUMIF($Z$40:$Z$41,"tertiair",R40:R41)</f>
        <v>0</v>
      </c>
      <c r="S43" s="592">
        <f>SUMIF($Z$40:$Z$41,"tertiair",S40:S41)</f>
        <v>0</v>
      </c>
      <c r="T43" s="592">
        <f>SUMIF($Z$40:$Z$41,"tertiair",T40:T41)</f>
        <v>0</v>
      </c>
      <c r="U43" s="592">
        <f>SUMIF($Z$40:$Z$41,"tertiair",U40:U41)</f>
        <v>0</v>
      </c>
      <c r="V43" s="592">
        <f>SUMIF($Z$40:$Z$41,"tertiair",V40:V41)</f>
        <v>0</v>
      </c>
      <c r="W43" s="592">
        <f>SUMIF($Z$40:$Z$41,"tertiair",W40:W41)</f>
        <v>0</v>
      </c>
      <c r="X43" s="593"/>
      <c r="Y43" s="593"/>
      <c r="Z43" s="594"/>
    </row>
    <row r="44" spans="1:27" s="568" customFormat="1" ht="15.75" thickBot="1">
      <c r="A44" s="595" t="s">
        <v>278</v>
      </c>
      <c r="B44" s="596"/>
      <c r="C44" s="596"/>
      <c r="D44" s="596"/>
      <c r="E44" s="596"/>
      <c r="F44" s="596"/>
      <c r="G44" s="596"/>
      <c r="H44" s="596"/>
      <c r="I44" s="596"/>
      <c r="J44" s="596"/>
      <c r="K44" s="596"/>
      <c r="L44" s="597"/>
      <c r="M44" s="597">
        <f>SUMIF($Z$40:$Z$42,"landbouw",M40:M42)</f>
        <v>0</v>
      </c>
      <c r="N44" s="597">
        <f>SUMIF($Z$40:$Z$42,"landbouw",N40:N42)</f>
        <v>0</v>
      </c>
      <c r="O44" s="597">
        <f>SUMIF($Z$40:$Z$42,"landbouw",O40:O42)</f>
        <v>0</v>
      </c>
      <c r="P44" s="597">
        <f>SUMIF($Z$40:$Z$42,"landbouw",P40:P42)</f>
        <v>0</v>
      </c>
      <c r="Q44" s="597">
        <f>SUMIF($Z$40:$Z$42,"landbouw",Q40:Q42)</f>
        <v>0</v>
      </c>
      <c r="R44" s="597">
        <f>SUMIF($Z$40:$Z$42,"landbouw",R40:R42)</f>
        <v>0</v>
      </c>
      <c r="S44" s="597">
        <f>SUMIF($Z$40:$Z$42,"landbouw",S40:S42)</f>
        <v>0</v>
      </c>
      <c r="T44" s="597">
        <f>SUMIF($Z$40:$Z$42,"landbouw",T40:T42)</f>
        <v>0</v>
      </c>
      <c r="U44" s="597">
        <f>SUMIF($Z$40:$Z$42,"landbouw",U40:U42)</f>
        <v>0</v>
      </c>
      <c r="V44" s="597">
        <f>SUMIF($Z$40:$Z$42,"landbouw",V40:V42)</f>
        <v>0</v>
      </c>
      <c r="W44" s="597">
        <f>SUMIF($Z$40:$Z$42,"landbouw",W40:W42)</f>
        <v>0</v>
      </c>
      <c r="X44" s="598"/>
      <c r="Y44" s="598"/>
      <c r="Z44" s="599"/>
    </row>
    <row r="45" spans="1:27" s="604" customForma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7" s="604" customFormat="1" ht="15.75" thickBo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row>
    <row r="47" spans="1:27">
      <c r="A47" s="605" t="s">
        <v>271</v>
      </c>
      <c r="B47" s="606"/>
      <c r="C47" s="606"/>
      <c r="D47" s="606"/>
      <c r="E47" s="606"/>
      <c r="F47" s="606"/>
      <c r="G47" s="606"/>
      <c r="H47" s="606"/>
      <c r="I47" s="607"/>
      <c r="J47" s="608"/>
      <c r="K47" s="608"/>
      <c r="L47" s="609"/>
      <c r="M47" s="609"/>
      <c r="N47" s="609"/>
      <c r="O47" s="609"/>
      <c r="P47" s="609"/>
    </row>
    <row r="48" spans="1:27">
      <c r="A48" s="611"/>
      <c r="B48" s="601"/>
      <c r="C48" s="601"/>
      <c r="D48" s="601"/>
      <c r="E48" s="601"/>
      <c r="F48" s="601"/>
      <c r="G48" s="601"/>
      <c r="H48" s="601"/>
      <c r="I48" s="612"/>
      <c r="J48" s="601"/>
      <c r="K48" s="601"/>
      <c r="L48" s="609"/>
      <c r="M48" s="609"/>
      <c r="N48" s="609"/>
      <c r="O48" s="609"/>
      <c r="P48" s="609"/>
    </row>
    <row r="49" spans="1:16">
      <c r="A49" s="613"/>
      <c r="B49" s="614" t="s">
        <v>272</v>
      </c>
      <c r="C49" s="614" t="s">
        <v>273</v>
      </c>
      <c r="D49" s="614"/>
      <c r="E49" s="614"/>
      <c r="F49" s="614"/>
      <c r="G49" s="614"/>
      <c r="H49" s="614"/>
      <c r="I49" s="615"/>
      <c r="J49" s="614"/>
      <c r="K49" s="614"/>
      <c r="L49" s="614"/>
      <c r="M49" s="614"/>
      <c r="N49" s="614"/>
      <c r="O49" s="614"/>
      <c r="P49" s="609"/>
    </row>
    <row r="50" spans="1:16">
      <c r="A50" s="611" t="s">
        <v>269</v>
      </c>
      <c r="B50" s="616">
        <f>IF(ISERROR(O34/(O34+N34)),0,O34/(O34+N34))</f>
        <v>0.58823578211425509</v>
      </c>
      <c r="C50" s="617">
        <f>IF(ISERROR(N34/(O34+N34)),0,N34/(N34+O34))</f>
        <v>0.41176421788574491</v>
      </c>
      <c r="D50" s="584"/>
      <c r="E50" s="584"/>
      <c r="F50" s="584"/>
      <c r="G50" s="584"/>
      <c r="H50" s="584"/>
      <c r="I50" s="618"/>
      <c r="J50" s="584"/>
      <c r="K50" s="584"/>
      <c r="L50" s="619"/>
      <c r="M50" s="619"/>
      <c r="N50" s="619"/>
      <c r="O50" s="619"/>
      <c r="P50" s="609"/>
    </row>
    <row r="51" spans="1:16">
      <c r="A51" s="611"/>
      <c r="B51" s="620"/>
      <c r="C51" s="620"/>
      <c r="D51" s="620"/>
      <c r="E51" s="620"/>
      <c r="F51" s="620"/>
      <c r="G51" s="620"/>
      <c r="H51" s="620"/>
      <c r="I51" s="621"/>
      <c r="J51" s="620"/>
      <c r="K51" s="620"/>
      <c r="L51" s="622"/>
      <c r="M51" s="622"/>
      <c r="N51" s="622"/>
      <c r="O51" s="622"/>
      <c r="P51" s="609"/>
    </row>
    <row r="52" spans="1:16" ht="30">
      <c r="A52" s="623"/>
      <c r="B52" s="624" t="s">
        <v>511</v>
      </c>
      <c r="C52" s="624" t="s">
        <v>96</v>
      </c>
      <c r="D52" s="624" t="s">
        <v>97</v>
      </c>
      <c r="E52" s="624" t="s">
        <v>98</v>
      </c>
      <c r="F52" s="624" t="s">
        <v>99</v>
      </c>
      <c r="G52" s="624" t="s">
        <v>100</v>
      </c>
      <c r="H52" s="624" t="s">
        <v>101</v>
      </c>
      <c r="I52" s="625" t="s">
        <v>102</v>
      </c>
      <c r="J52" s="614"/>
      <c r="K52" s="614"/>
      <c r="L52" s="622"/>
      <c r="M52" s="622"/>
      <c r="N52" s="622"/>
      <c r="O52" s="609"/>
      <c r="P52" s="609"/>
    </row>
    <row r="53" spans="1:16">
      <c r="A53" s="613" t="s">
        <v>274</v>
      </c>
      <c r="B53" s="626">
        <f t="shared" ref="B53:I53" si="2">$C$50*P34</f>
        <v>3190.0916088146691</v>
      </c>
      <c r="C53" s="626">
        <f t="shared" si="2"/>
        <v>23638.207279626658</v>
      </c>
      <c r="D53" s="626">
        <f t="shared" si="2"/>
        <v>0</v>
      </c>
      <c r="E53" s="626">
        <f t="shared" si="2"/>
        <v>0</v>
      </c>
      <c r="F53" s="626">
        <f t="shared" si="2"/>
        <v>0</v>
      </c>
      <c r="G53" s="626">
        <f t="shared" si="2"/>
        <v>0</v>
      </c>
      <c r="H53" s="626">
        <f t="shared" si="2"/>
        <v>0</v>
      </c>
      <c r="I53" s="627">
        <f t="shared" si="2"/>
        <v>0</v>
      </c>
      <c r="J53" s="584"/>
      <c r="K53" s="584"/>
      <c r="L53" s="622"/>
      <c r="M53" s="622"/>
      <c r="N53" s="622"/>
      <c r="O53" s="609"/>
      <c r="P53" s="609"/>
    </row>
    <row r="54" spans="1:16" ht="15.75" thickBot="1">
      <c r="A54" s="628" t="s">
        <v>275</v>
      </c>
      <c r="B54" s="629">
        <f t="shared" ref="B54:I54" si="3">$B$50*P34</f>
        <v>4557.2829085598496</v>
      </c>
      <c r="C54" s="629">
        <f t="shared" si="3"/>
        <v>33768.935577516204</v>
      </c>
      <c r="D54" s="629">
        <f t="shared" si="3"/>
        <v>0</v>
      </c>
      <c r="E54" s="629">
        <f t="shared" si="3"/>
        <v>0</v>
      </c>
      <c r="F54" s="629">
        <f t="shared" si="3"/>
        <v>0</v>
      </c>
      <c r="G54" s="629">
        <f t="shared" si="3"/>
        <v>0</v>
      </c>
      <c r="H54" s="629">
        <f t="shared" si="3"/>
        <v>0</v>
      </c>
      <c r="I54" s="630">
        <f t="shared" si="3"/>
        <v>0</v>
      </c>
      <c r="J54" s="584"/>
      <c r="K54" s="584"/>
      <c r="L54" s="622"/>
      <c r="M54" s="622"/>
      <c r="N54" s="622"/>
      <c r="O54" s="609"/>
      <c r="P54" s="609"/>
    </row>
    <row r="55" spans="1:16">
      <c r="J55" s="564"/>
      <c r="K55" s="564"/>
      <c r="L55" s="564"/>
      <c r="M55" s="564"/>
      <c r="N55" s="564"/>
    </row>
    <row r="56" spans="1:16">
      <c r="J56" s="564"/>
      <c r="K56" s="564"/>
      <c r="L56" s="564"/>
      <c r="M56" s="564"/>
      <c r="N56"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2021-11-11T12:13:24Z</dcterms:modified>
</cp:coreProperties>
</file>