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15DE4F4-3F53-4B9F-8793-576EA69685C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18" i="15" s="1"/>
  <c r="C20" i="15" s="1"/>
  <c r="D40"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29" i="20"/>
  <c r="C16" i="22"/>
  <c r="C20" i="16"/>
  <c r="C22" i="16" s="1"/>
  <c r="D43"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0" i="17" l="1"/>
  <c r="C12" i="17" s="1"/>
  <c r="D54" i="14" s="1"/>
  <c r="D56" i="14" s="1"/>
  <c r="C17" i="19"/>
  <c r="C19" i="19" s="1"/>
  <c r="D39" i="14" s="1"/>
  <c r="C22" i="59"/>
  <c r="C56" i="22"/>
  <c r="C58" i="22" s="1"/>
  <c r="D49" i="14" s="1"/>
  <c r="D52" i="14" s="1"/>
  <c r="C10" i="13"/>
  <c r="C12" i="13"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<sst xmlns="http://schemas.openxmlformats.org/spreadsheetml/2006/main" count="2427" uniqueCount="871">
  <si>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</si>
  <si>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</si>
  <si>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</si>
  <si>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</si>
  <si>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</si>
  <si>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</si>
  <si>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</si>
  <si>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</si>
  <si>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</si>
  <si>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</si>
  <si>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</si>
  <si>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</si>
  <si>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</si>
  <si>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</si>
  <si>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</si>
  <si>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</si>
  <si>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</si>
  <si>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</si>
  <si>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</si>
  <si>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</si>
  <si>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</si>
  <si>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</si>
  <si>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</si>
  <si>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</si>
  <si>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</si>
  <si>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</si>
  <si>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</si>
  <si>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</si>
  <si>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</si>
  <si>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</si>
  <si>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</si>
  <si>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</si>
  <si>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</si>
  <si>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</si>
  <si>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</si>
  <si>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</si>
  <si>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</si>
  <si>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</si>
  <si>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</si>
  <si>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</si>
  <si>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</si>
  <si>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</si>
  <si>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</si>
  <si>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</si>
  <si>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</si>
  <si>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</si>
  <si>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</si>
  <si>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</si>
  <si>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</si>
  <si>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</si>
  <si>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</si>
  <si>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</si>
  <si>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</si>
  <si>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</si>
  <si>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</si>
  <si>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</si>
  <si>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</si>
  <si>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</si>
  <si>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</si>
  <si>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</si>
  <si>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</si>
  <si>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</si>
  <si>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</si>
  <si>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</si>
  <si>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</si>
  <si>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</si>
  <si>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</si>
  <si>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</si>
  <si>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</si>
  <si>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</si>
  <si>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</si>
  <si>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</si>
  <si>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</si>
  <si>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</si>
  <si>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</si>
  <si>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</si>
  <si>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</si>
  <si>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</si>
  <si>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</si>
  <si>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</si>
  <si>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</si>
  <si>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</si>
  <si>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</si>
  <si>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</si>
  <si>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</si>
  <si>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</si>
  <si>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</si>
  <si>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</si>
  <si>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</si>
  <si>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</si>
  <si>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</si>
  <si>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</si>
  <si>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</si>
  <si>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</si>
  <si>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</si>
  <si>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</si>
  <si>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</si>
  <si>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</si>
  <si>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</si>
  <si>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</si>
  <si>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</si>
  <si>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</si>
  <si>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</si>
  <si>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</si>
  <si>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</si>
  <si>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</si>
  <si>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</si>
  <si>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</si>
  <si>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</si>
  <si>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</si>
  <si>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</si>
  <si>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</si>
  <si>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</si>
  <si>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</si>
  <si>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</si>
  <si>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</si>
  <si>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</si>
  <si>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</si>
  <si>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</si>
  <si>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</si>
  <si>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</si>
  <si>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</si>
  <si>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</si>
  <si>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</si>
  <si>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</si>
  <si>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</si>
  <si>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</si>
  <si>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</si>
  <si>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</si>
  <si>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</si>
  <si>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</si>
  <si>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</si>
  <si>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</si>
  <si>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</si>
  <si>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</si>
  <si>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</si>
  <si>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</si>
  <si>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</si>
  <si>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</si>
  <si>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</si>
  <si>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</si>
  <si>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</si>
  <si>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</si>
  <si>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</si>
  <si>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</si>
  <si>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</si>
  <si>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</si>
  <si>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</si>
  <si>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</si>
  <si>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</si>
  <si>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</si>
  <si>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</si>
  <si>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</si>
  <si>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</si>
  <si>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</si>
  <si>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</si>
  <si>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</si>
  <si>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</si>
  <si>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</si>
  <si>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</si>
  <si>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</si>
  <si>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</si>
  <si>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</si>
  <si>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</si>
  <si>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</si>
  <si>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</si>
  <si>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</si>
  <si>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</si>
  <si>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</si>
  <si>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</si>
  <si>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</si>
  <si>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</si>
  <si>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</si>
  <si>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</si>
  <si>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</si>
  <si>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</si>
  <si>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</si>
  <si>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</si>
  <si>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</si>
  <si>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</si>
  <si>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</si>
  <si>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</si>
  <si>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</si>
  <si>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</si>
  <si>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</si>
  <si>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</si>
  <si>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</si>
  <si>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</si>
  <si>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</si>
  <si>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</si>
  <si>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</si>
  <si>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</si>
  <si>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</si>
  <si>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</si>
  <si>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</si>
  <si>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</si>
  <si>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</si>
  <si>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</si>
  <si>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</si>
  <si>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</si>
  <si>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</si>
  <si>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</si>
  <si>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</si>
  <si>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</si>
  <si>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</si>
  <si>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</si>
  <si>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</si>
  <si>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</si>
  <si>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</si>
  <si>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</si>
  <si>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</si>
  <si>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</si>
  <si>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</si>
  <si>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</si>
  <si>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</si>
  <si>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</si>
  <si>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</si>
  <si>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</si>
  <si>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</si>
  <si>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</si>
  <si>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</si>
  <si>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</si>
  <si>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</si>
  <si>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</si>
  <si>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</si>
  <si>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</si>
  <si>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</si>
  <si>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</si>
  <si>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</si>
  <si>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</si>
  <si>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</si>
  <si>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</si>
  <si>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</si>
  <si>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</si>
  <si>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</si>
  <si>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</si>
  <si>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</si>
  <si>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</si>
  <si>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</si>
  <si>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</si>
  <si>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</si>
  <si>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</si>
  <si>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</si>
  <si>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</si>
  <si>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</si>
  <si>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</si>
  <si>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</si>
  <si>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</si>
  <si>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</si>
  <si>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</si>
  <si>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</si>
  <si>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</si>
  <si>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</si>
  <si>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</si>
  <si>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</si>
  <si>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</si>
  <si>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</si>
  <si>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</si>
  <si>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</si>
  <si>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</si>
  <si>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</si>
  <si>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</si>
  <si>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</si>
  <si>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</si>
  <si>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</si>
  <si>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</si>
  <si>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</si>
  <si>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</si>
  <si>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</si>
  <si>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</si>
  <si>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</si>
  <si>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</si>
  <si>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</si>
  <si>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</si>
  <si>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</si>
  <si>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</si>
  <si>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</si>
  <si>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</si>
  <si>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</si>
  <si>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</si>
  <si>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</si>
  <si>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</si>
  <si>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</si>
  <si>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</si>
  <si>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</si>
  <si>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</si>
  <si>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</si>
  <si>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</si>
  <si>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</si>
  <si>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</si>
  <si>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</si>
  <si>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</si>
  <si>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</si>
  <si>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</si>
  <si>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</si>
  <si>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</si>
  <si>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</si>
  <si>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</si>
  <si>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</si>
  <si>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</si>
  <si>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</si>
  <si>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</si>
  <si>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</si>
  <si>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</si>
  <si>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</si>
  <si>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</si>
  <si>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</si>
  <si>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</si>
  <si>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</si>
  <si>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</si>
  <si>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</si>
  <si>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</si>
  <si>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</si>
  <si>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</si>
  <si>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</si>
  <si>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</si>
  <si>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</si>
  <si>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</si>
  <si>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</si>
  <si>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</si>
  <si>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</si>
  <si>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</si>
  <si>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</si>
  <si>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</si>
  <si>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</si>
  <si>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</si>
  <si>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</si>
  <si>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</si>
  <si>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</si>
  <si>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</si>
  <si>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</si>
  <si>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</si>
  <si>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</si>
  <si>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</si>
  <si>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</si>
  <si>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</si>
  <si>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</si>
  <si>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</si>
  <si>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</si>
  <si>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</si>
  <si>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</si>
  <si>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</si>
  <si>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</si>
  <si>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</si>
  <si>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</si>
  <si>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</si>
  <si>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</si>
  <si>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</si>
  <si>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</si>
  <si>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</si>
  <si>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</si>
  <si>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</si>
  <si>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</si>
  <si>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</si>
  <si>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</si>
  <si>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</si>
  <si>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</si>
  <si>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</si>
  <si>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</si>
  <si>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</si>
  <si>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</si>
  <si>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</si>
  <si>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</si>
  <si>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</si>
  <si>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</si>
  <si>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</si>
  <si>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</si>
  <si>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</si>
  <si>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</si>
  <si>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</si>
  <si>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</si>
  <si>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</si>
  <si>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</si>
  <si>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</si>
  <si>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</si>
  <si>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</si>
  <si>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</si>
  <si>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</si>
  <si>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</si>
  <si>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</si>
  <si>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</si>
  <si>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</si>
  <si>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</si>
  <si>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</si>
  <si>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</si>
  <si>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</si>
  <si>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</si>
  <si>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</si>
  <si>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</si>
  <si>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</si>
  <si>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</si>
  <si>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</si>
  <si>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</si>
  <si>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</si>
  <si>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</si>
  <si>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</si>
  <si>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</si>
  <si>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</si>
  <si>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</si>
  <si>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</si>
  <si>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</si>
  <si>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</si>
  <si>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</si>
  <si>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</si>
  <si>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</si>
  <si>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</si>
  <si>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</si>
  <si>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</si>
  <si>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</si>
  <si>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</si>
  <si>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</si>
  <si>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</si>
  <si>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</si>
  <si>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</si>
  <si>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</si>
  <si>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</si>
  <si>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</si>
  <si>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</si>
  <si>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</si>
  <si>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</si>
  <si>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</si>
  <si>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</si>
  <si>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</si>
  <si>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</si>
  <si>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</si>
  <si>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</si>
  <si>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</si>
  <si>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</si>
  <si>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</si>
  <si>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</si>
  <si>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</si>
  <si>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</si>
  <si>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</si>
  <si>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</si>
  <si>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</si>
  <si>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</si>
  <si>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</si>
  <si>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</si>
  <si>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</si>
  <si>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</si>
  <si>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</si>
  <si>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</si>
  <si>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</si>
  <si>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</si>
  <si>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</si>
  <si>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</si>
  <si>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</si>
  <si>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</si>
  <si>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</si>
  <si>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</si>
  <si>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</si>
  <si>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</si>
  <si>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</si>
  <si>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</si>
  <si>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</si>
  <si>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</si>
  <si>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</si>
  <si>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</si>
  <si>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</si>
  <si>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</si>
  <si>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</si>
  <si>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</si>
  <si>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</si>
  <si>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</si>
  <si>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</si>
  <si>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</si>
  <si>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</si>
  <si>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</si>
  <si>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</si>
  <si>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</si>
  <si>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</si>
  <si>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</si>
  <si>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</si>
  <si>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</si>
  <si>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</si>
  <si>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</si>
  <si>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</si>
  <si>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</si>
  <si>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</si>
  <si>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</si>
  <si>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</si>
  <si>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</si>
  <si>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</si>
  <si>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</si>
  <si>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</si>
  <si>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</si>
  <si>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</si>
  <si>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</si>
  <si>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</si>
  <si>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</si>
  <si>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</si>
  <si>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</si>
  <si>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</si>
  <si>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</si>
  <si>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</si>
  <si>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</si>
  <si>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</si>
  <si>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</si>
  <si>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</si>
  <si>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</si>
  <si>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</si>
  <si>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</si>
  <si>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</si>
  <si>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</si>
  <si>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</si>
  <si>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</si>
  <si>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</si>
  <si>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</si>
  <si>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</si>
  <si>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</si>
  <si>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</si>
  <si>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</si>
  <si>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</si>
  <si>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</si>
  <si>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</si>
  <si>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</si>
  <si>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</si>
  <si>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</si>
  <si>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</si>
  <si>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</si>
  <si>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</si>
  <si>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</si>
  <si>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</si>
  <si>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</si>
  <si>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</si>
  <si>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</si>
  <si>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</si>
  <si>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</si>
  <si>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</si>
  <si>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</si>
  <si>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</si>
  <si>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</si>
  <si>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</si>
  <si>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</si>
  <si>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</si>
  <si>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</si>
  <si>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</si>
  <si>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</si>
  <si>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</si>
  <si>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</si>
  <si>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</si>
  <si>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</si>
  <si>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</si>
  <si>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</si>
  <si>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</si>
  <si>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</si>
  <si>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</si>
  <si>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</si>
  <si>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</si>
  <si>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</si>
  <si>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</si>
  <si>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</si>
  <si>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</si>
  <si>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</si>
  <si>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</si>
  <si>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</si>
  <si>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</si>
  <si>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</si>
  <si>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</si>
  <si>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</si>
  <si>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</si>
  <si>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</si>
  <si>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</si>
  <si>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</si>
  <si>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</si>
  <si>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</si>
  <si>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</si>
  <si>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</si>
  <si>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</si>
  <si>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</si>
  <si>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</si>
  <si>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</si>
  <si>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</si>
  <si>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</si>
  <si>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</si>
  <si>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</si>
  <si>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</si>
  <si>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</si>
  <si>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</si>
  <si>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</si>
  <si>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</si>
  <si>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</si>
  <si>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</si>
  <si>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</si>
  <si>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</si>
  <si>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</si>
  <si>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</si>
  <si>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</si>
  <si>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</si>
  <si>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</si>
  <si>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</si>
  <si>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</si>
  <si>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</si>
  <si>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</si>
  <si>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</si>
  <si>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</si>
  <si>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</si>
  <si>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</si>
  <si>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</si>
  <si>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</si>
  <si>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</si>
  <si>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</si>
  <si>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</si>
  <si>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</si>
  <si>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</si>
  <si>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</si>
  <si>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</si>
  <si>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</si>
  <si>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</si>
  <si>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</si>
  <si>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</si>
  <si>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</si>
  <si>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</si>
  <si>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</si>
  <si>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</si>
  <si>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</si>
  <si>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</si>
  <si>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</si>
  <si>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</si>
  <si>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</si>
  <si>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</si>
  <si>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</si>
  <si>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</si>
  <si>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</si>
  <si>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</si>
  <si>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</si>
  <si>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</si>
  <si>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</si>
  <si>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</si>
  <si>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</si>
  <si>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</si>
  <si>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</si>
  <si>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</si>
  <si>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</si>
  <si>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</si>
  <si>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</si>
  <si>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</si>
  <si>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</si>
  <si>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</si>
  <si>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</si>
  <si>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</si>
  <si>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</si>
  <si>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</si>
  <si>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</si>
  <si>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</si>
  <si>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</si>
  <si>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</si>
  <si>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</si>
  <si>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</si>
  <si>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</si>
  <si>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</si>
  <si>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</si>
  <si>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</si>
  <si>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</si>
  <si>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</si>
  <si>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</si>
  <si>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</si>
  <si>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</si>
  <si>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</si>
  <si>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</si>
  <si>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</si>
  <si>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</si>
  <si>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</si>
  <si>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</si>
  <si>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</si>
  <si>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</si>
  <si>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</si>
  <si>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</si>
  <si>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</si>
  <si>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</si>
  <si>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</si>
  <si>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</si>
  <si>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</si>
  <si>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</si>
  <si>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</si>
  <si>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</si>
  <si>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</si>
  <si>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</si>
  <si>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</si>
  <si>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</si>
  <si>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</si>
  <si>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</si>
  <si>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</si>
  <si>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</si>
  <si>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</si>
  <si>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</si>
  <si>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</si>
  <si>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</si>
  <si>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</si>
  <si>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</si>
  <si>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</si>
  <si>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</si>
  <si>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</si>
  <si>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</si>
  <si>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</si>
  <si>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</si>
  <si>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</si>
  <si>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</si>
  <si>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</si>
  <si>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</si>
  <si>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</si>
  <si>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</si>
  <si>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</si>
  <si>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</si>
  <si>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</si>
  <si>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</si>
  <si>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</si>
  <si>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</si>
  <si>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</si>
  <si>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</si>
  <si>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</si>
  <si>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</si>
  <si>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</si>
  <si>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</si>
  <si>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</si>
  <si>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</si>
  <si>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</si>
  <si>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</si>
  <si>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</si>
  <si>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</si>
  <si>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</si>
  <si>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</si>
  <si>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</si>
  <si>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</si>
  <si>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</si>
  <si>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</si>
  <si>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</si>
  <si>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</si>
  <si>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</si>
  <si>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</si>
  <si>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</si>
  <si>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</si>
  <si>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</si>
  <si>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</si>
  <si>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</si>
  <si>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</si>
  <si>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</si>
  <si>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</si>
  <si>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</si>
  <si>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</si>
  <si>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</si>
  <si>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</si>
  <si>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</si>
  <si>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</si>
  <si>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</si>
  <si>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</si>
  <si>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</si>
  <si>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</si>
  <si>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</si>
  <si>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</si>
  <si>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</si>
  <si>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</si>
  <si>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</si>
  <si>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</si>
  <si>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</si>
  <si>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</si>
  <si>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</si>
  <si>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</si>
  <si>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</si>
  <si>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</si>
  <si>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</si>
  <si>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</si>
  <si>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</si>
  <si>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</si>
  <si>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</si>
  <si>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</si>
  <si>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</si>
  <si>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</si>
  <si>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</si>
  <si>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</si>
  <si>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</si>
  <si>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</si>
  <si>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</si>
  <si>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</si>
  <si>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</si>
  <si>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</si>
  <si>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</si>
  <si>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</si>
  <si>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</si>
  <si>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</si>
  <si>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</si>
  <si>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</si>
  <si>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</si>
  <si>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</si>
  <si>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</si>
  <si>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</si>
  <si>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</si>
  <si>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</si>
  <si>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</si>
  <si>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</si>
  <si>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</si>
  <si>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</si>
  <si>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</si>
  <si>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</si>
  <si>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</si>
  <si>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</si>
  <si>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</si>
  <si>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</si>
  <si>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</si>
  <si>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</si>
  <si>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</si>
  <si>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</si>
  <si>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</si>
  <si>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</si>
  <si>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</si>
  <si>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</si>
  <si>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</si>
  <si>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</si>
  <si>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</si>
  <si>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</si>
  <si>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</si>
  <si>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</si>
  <si>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</si>
  <si>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</si>
  <si>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</si>
  <si>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</si>
  <si>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</si>
  <si>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</si>
  <si>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</si>
  <si>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</si>
  <si>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</si>
  <si>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</si>
  <si>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</si>
  <si>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</si>
  <si>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</si>
  <si>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</si>
  <si>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</si>
  <si>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</si>
  <si>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</si>
  <si>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</si>
  <si>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</si>
  <si>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</si>
  <si>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</si>
  <si>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</si>
  <si>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</si>
  <si>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</si>
  <si>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</si>
  <si>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</si>
  <si>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</si>
  <si>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</si>
  <si>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</si>
  <si>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</si>
  <si>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</si>
  <si>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</si>
  <si>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</si>
  <si>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</si>
  <si>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</si>
  <si>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</si>
  <si>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</si>
  <si>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</si>
  <si>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</si>
  <si>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</si>
  <si>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</si>
  <si>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</si>
  <si>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</si>
  <si>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</si>
  <si>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</si>
  <si>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</si>
  <si>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</si>
  <si>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</si>
  <si>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</si>
  <si>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</si>
  <si>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</si>
  <si>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</si>
  <si>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12025</t>
  </si>
  <si>
    <t>MECHELEN</t>
  </si>
  <si>
    <t>referentietaak LNE (2017); Jaarverslag De Lijn</t>
  </si>
  <si>
    <t>waterkracht</t>
  </si>
  <si>
    <t>Interne verbrandingsmotor</t>
  </si>
  <si>
    <t>WKK interne verbrandinsgmotor (gas)</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</si>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</sst>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9E0663F-1787-45A3-9EE1-66433152C88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632641.01029890811</c:v>
                </c:pt>
                <c:pt idx="1">
                  <c:v>470475.07745570847</c:v>
                </c:pt>
                <c:pt idx="2">
                  <c:v>3590.1210000000001</c:v>
                </c:pt>
                <c:pt idx="3">
                  <c:v>6243.9076278312614</c:v>
                </c:pt>
                <c:pt idx="4">
                  <c:v>479991.91932332003</c:v>
                </c:pt>
                <c:pt idx="5">
                  <c:v>670979.59226644388</c:v>
                </c:pt>
                <c:pt idx="6">
                  <c:v>10196.742803990184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632641.01029890811</c:v>
                </c:pt>
                <c:pt idx="1">
                  <c:v>470475.07745570847</c:v>
                </c:pt>
                <c:pt idx="2">
                  <c:v>3590.1210000000001</c:v>
                </c:pt>
                <c:pt idx="3">
                  <c:v>6243.9076278312614</c:v>
                </c:pt>
                <c:pt idx="4">
                  <c:v>479991.91932332003</c:v>
                </c:pt>
                <c:pt idx="5">
                  <c:v>670979.59226644388</c:v>
                </c:pt>
                <c:pt idx="6">
                  <c:v>10196.742803990184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126251.66344812159</c:v>
                </c:pt>
                <c:pt idx="1">
                  <c:v>97729.396401949358</c:v>
                </c:pt>
                <c:pt idx="2">
                  <c:v>765.23593267750584</c:v>
                </c:pt>
                <c:pt idx="3">
                  <c:v>1535.5509320995614</c:v>
                </c:pt>
                <c:pt idx="4">
                  <c:v>100588.95356644265</c:v>
                </c:pt>
                <c:pt idx="5">
                  <c:v>166372.68312628442</c:v>
                </c:pt>
                <c:pt idx="6">
                  <c:v>2568.7256346550557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126251.66344812159</c:v>
                </c:pt>
                <c:pt idx="1">
                  <c:v>97729.396401949358</c:v>
                </c:pt>
                <c:pt idx="2">
                  <c:v>765.23593267750584</c:v>
                </c:pt>
                <c:pt idx="3">
                  <c:v>1535.5509320995614</c:v>
                </c:pt>
                <c:pt idx="4">
                  <c:v>100588.95356644265</c:v>
                </c:pt>
                <c:pt idx="5">
                  <c:v>166372.68312628442</c:v>
                </c:pt>
                <c:pt idx="6">
                  <c:v>2568.7256346550557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12025</v>
      </c>
      <c r="B6" s="384"/>
      <c r="C6" s="385"/>
    </row>
    <row r="7" spans="1:7" s="382" customFormat="1" ht="15.75" customHeight="1">
      <c r="A7" s="386" t="str">
        <f>txtMunicipality</f>
        <v>MECHELEN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203206.54450406553</v>
      </c>
      <c r="D10" s="681">
        <f ca="1">tertiair!C16</f>
        <v>128.57142857142858</v>
      </c>
      <c r="E10" s="681">
        <f ca="1">tertiair!D16</f>
        <v>228634.9257430227</v>
      </c>
      <c r="F10" s="681">
        <f>tertiair!E16</f>
        <v>600.73479892384125</v>
      </c>
      <c r="G10" s="681">
        <f ca="1">tertiair!F16</f>
        <v>33070.492821971959</v>
      </c>
      <c r="H10" s="681">
        <f>tertiair!G16</f>
        <v>0</v>
      </c>
      <c r="I10" s="681">
        <f>tertiair!H16</f>
        <v>0</v>
      </c>
      <c r="J10" s="681">
        <f>tertiair!I16</f>
        <v>0</v>
      </c>
      <c r="K10" s="681">
        <f>tertiair!J16</f>
        <v>0.18772814278290934</v>
      </c>
      <c r="L10" s="681">
        <f>tertiair!K16</f>
        <v>0</v>
      </c>
      <c r="M10" s="681">
        <f ca="1">tertiair!L16</f>
        <v>0</v>
      </c>
      <c r="N10" s="681">
        <f>tertiair!M16</f>
        <v>0</v>
      </c>
      <c r="O10" s="681">
        <f ca="1">tertiair!N16</f>
        <v>7405.9087601234996</v>
      </c>
      <c r="P10" s="681">
        <f>tertiair!O16</f>
        <v>19.589043063364617</v>
      </c>
      <c r="Q10" s="682">
        <f>tertiair!P16</f>
        <v>998.24362782340552</v>
      </c>
      <c r="R10" s="684">
        <f ca="1">SUM(C10:Q10)</f>
        <v>474065.19845570845</v>
      </c>
      <c r="S10" s="67"/>
    </row>
    <row r="11" spans="1:19" s="443" customFormat="1">
      <c r="A11" s="802" t="s">
        <v>214</v>
      </c>
      <c r="B11" s="807"/>
      <c r="C11" s="681">
        <f>huishoudens!B8</f>
        <v>109792.46207889024</v>
      </c>
      <c r="D11" s="681">
        <f>huishoudens!C8</f>
        <v>0</v>
      </c>
      <c r="E11" s="681">
        <f>huishoudens!D8</f>
        <v>362763.40570668317</v>
      </c>
      <c r="F11" s="681">
        <f>huishoudens!E8</f>
        <v>4831.6807990862499</v>
      </c>
      <c r="G11" s="681">
        <f>huishoudens!F8</f>
        <v>105845.72408283324</v>
      </c>
      <c r="H11" s="681">
        <f>huishoudens!G8</f>
        <v>0</v>
      </c>
      <c r="I11" s="681">
        <f>huishoudens!H8</f>
        <v>0</v>
      </c>
      <c r="J11" s="681">
        <f>huishoudens!I8</f>
        <v>0</v>
      </c>
      <c r="K11" s="681">
        <f>huishoudens!J8</f>
        <v>603.22635829270394</v>
      </c>
      <c r="L11" s="681">
        <f>huishoudens!K8</f>
        <v>0</v>
      </c>
      <c r="M11" s="681">
        <f>huishoudens!L8</f>
        <v>0</v>
      </c>
      <c r="N11" s="681">
        <f>huishoudens!M8</f>
        <v>0</v>
      </c>
      <c r="O11" s="681">
        <f>huishoudens!N8</f>
        <v>45528.315690844298</v>
      </c>
      <c r="P11" s="681">
        <f>huishoudens!O8</f>
        <v>916.58869735680867</v>
      </c>
      <c r="Q11" s="682">
        <f>huishoudens!P8</f>
        <v>2359.6068849214453</v>
      </c>
      <c r="R11" s="684">
        <f>SUM(C11:Q11)</f>
        <v>632641.01029890811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178425.70054560952</v>
      </c>
      <c r="D13" s="681">
        <f>industrie!C18</f>
        <v>21600</v>
      </c>
      <c r="E13" s="681">
        <f>industrie!D18</f>
        <v>244444.20769940334</v>
      </c>
      <c r="F13" s="681">
        <f>industrie!E18</f>
        <v>12875.79161079185</v>
      </c>
      <c r="G13" s="681">
        <f>industrie!F18</f>
        <v>19154.918489531316</v>
      </c>
      <c r="H13" s="681">
        <f>industrie!G18</f>
        <v>0</v>
      </c>
      <c r="I13" s="681">
        <f>industrie!H18</f>
        <v>0</v>
      </c>
      <c r="J13" s="681">
        <f>industrie!I18</f>
        <v>0</v>
      </c>
      <c r="K13" s="681">
        <f>industrie!J18</f>
        <v>26.439419552298141</v>
      </c>
      <c r="L13" s="681">
        <f>industrie!K18</f>
        <v>0</v>
      </c>
      <c r="M13" s="681">
        <f>industrie!L18</f>
        <v>0</v>
      </c>
      <c r="N13" s="681">
        <f>industrie!M18</f>
        <v>0</v>
      </c>
      <c r="O13" s="681">
        <f>industrie!N18</f>
        <v>3464.8615584317217</v>
      </c>
      <c r="P13" s="681">
        <f>industrie!O18</f>
        <v>0</v>
      </c>
      <c r="Q13" s="682">
        <f>industrie!P18</f>
        <v>0</v>
      </c>
      <c r="R13" s="684">
        <f>SUM(C13:Q13)</f>
        <v>479991.91932332003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491424.70712856529</v>
      </c>
      <c r="D16" s="717">
        <f t="shared" ref="D16:R16" ca="1" si="0">SUM(D9:D15)</f>
        <v>21728.571428571428</v>
      </c>
      <c r="E16" s="717">
        <f t="shared" ca="1" si="0"/>
        <v>835842.53914910927</v>
      </c>
      <c r="F16" s="717">
        <f t="shared" si="0"/>
        <v>18308.207208801941</v>
      </c>
      <c r="G16" s="717">
        <f t="shared" ca="1" si="0"/>
        <v>158071.13539433654</v>
      </c>
      <c r="H16" s="717">
        <f t="shared" si="0"/>
        <v>0</v>
      </c>
      <c r="I16" s="717">
        <f t="shared" si="0"/>
        <v>0</v>
      </c>
      <c r="J16" s="717">
        <f t="shared" si="0"/>
        <v>0</v>
      </c>
      <c r="K16" s="717">
        <f t="shared" si="0"/>
        <v>629.85350598778496</v>
      </c>
      <c r="L16" s="717">
        <f t="shared" si="0"/>
        <v>0</v>
      </c>
      <c r="M16" s="717">
        <f t="shared" ca="1" si="0"/>
        <v>0</v>
      </c>
      <c r="N16" s="717">
        <f t="shared" si="0"/>
        <v>0</v>
      </c>
      <c r="O16" s="717">
        <f t="shared" ca="1" si="0"/>
        <v>56399.086009399522</v>
      </c>
      <c r="P16" s="717">
        <f t="shared" si="0"/>
        <v>936.17774042017334</v>
      </c>
      <c r="Q16" s="717">
        <f t="shared" si="0"/>
        <v>3357.8505127448507</v>
      </c>
      <c r="R16" s="717">
        <f t="shared" ca="1" si="0"/>
        <v>1586698.1280779366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151.7427759737094</v>
      </c>
      <c r="D19" s="681">
        <f>transport!C54</f>
        <v>0</v>
      </c>
      <c r="E19" s="681">
        <f>transport!D54</f>
        <v>0</v>
      </c>
      <c r="F19" s="681">
        <f>transport!E54</f>
        <v>0</v>
      </c>
      <c r="G19" s="681">
        <f>transport!F54</f>
        <v>0</v>
      </c>
      <c r="H19" s="681">
        <f>transport!G54</f>
        <v>9499.5565264951802</v>
      </c>
      <c r="I19" s="681">
        <f>transport!H54</f>
        <v>0</v>
      </c>
      <c r="J19" s="681">
        <f>transport!I54</f>
        <v>0</v>
      </c>
      <c r="K19" s="681">
        <f>transport!J54</f>
        <v>0</v>
      </c>
      <c r="L19" s="681">
        <f>transport!K54</f>
        <v>0</v>
      </c>
      <c r="M19" s="681">
        <f>transport!L54</f>
        <v>0</v>
      </c>
      <c r="N19" s="681">
        <f>transport!M54</f>
        <v>545.44350152129459</v>
      </c>
      <c r="O19" s="681">
        <f>transport!N54</f>
        <v>0</v>
      </c>
      <c r="P19" s="681">
        <f>transport!O54</f>
        <v>0</v>
      </c>
      <c r="Q19" s="682">
        <f>transport!P54</f>
        <v>0</v>
      </c>
      <c r="R19" s="684">
        <f>SUM(C19:Q19)</f>
        <v>10196.742803990184</v>
      </c>
      <c r="S19" s="67"/>
    </row>
    <row r="20" spans="1:19" s="443" customFormat="1">
      <c r="A20" s="802" t="s">
        <v>296</v>
      </c>
      <c r="B20" s="807"/>
      <c r="C20" s="681">
        <f>transport!B14</f>
        <v>1641.959959235211</v>
      </c>
      <c r="D20" s="681">
        <f>transport!C14</f>
        <v>0</v>
      </c>
      <c r="E20" s="681">
        <f>transport!D14</f>
        <v>2634.739093801139</v>
      </c>
      <c r="F20" s="681">
        <f>transport!E14</f>
        <v>1141.8197443595313</v>
      </c>
      <c r="G20" s="681">
        <f>transport!F14</f>
        <v>0</v>
      </c>
      <c r="H20" s="681">
        <f>transport!G14</f>
        <v>495785.74876657629</v>
      </c>
      <c r="I20" s="681">
        <f>transport!H14</f>
        <v>131953.78839606119</v>
      </c>
      <c r="J20" s="681">
        <f>transport!I14</f>
        <v>0</v>
      </c>
      <c r="K20" s="681">
        <f>transport!J14</f>
        <v>0</v>
      </c>
      <c r="L20" s="681">
        <f>transport!K14</f>
        <v>0</v>
      </c>
      <c r="M20" s="681">
        <f>transport!L14</f>
        <v>0</v>
      </c>
      <c r="N20" s="681">
        <f>transport!M14</f>
        <v>37821.53630641057</v>
      </c>
      <c r="O20" s="681">
        <f>transport!N14</f>
        <v>0</v>
      </c>
      <c r="P20" s="681">
        <f>transport!O14</f>
        <v>0</v>
      </c>
      <c r="Q20" s="682">
        <f>transport!P14</f>
        <v>0</v>
      </c>
      <c r="R20" s="684">
        <f>SUM(C20:Q20)</f>
        <v>670979.59226644388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1793.7027352089203</v>
      </c>
      <c r="D22" s="805">
        <f t="shared" ref="D22:R22" si="1">SUM(D18:D21)</f>
        <v>0</v>
      </c>
      <c r="E22" s="805">
        <f t="shared" si="1"/>
        <v>2634.739093801139</v>
      </c>
      <c r="F22" s="805">
        <f t="shared" si="1"/>
        <v>1141.8197443595313</v>
      </c>
      <c r="G22" s="805">
        <f t="shared" si="1"/>
        <v>0</v>
      </c>
      <c r="H22" s="805">
        <f t="shared" si="1"/>
        <v>505285.30529307149</v>
      </c>
      <c r="I22" s="805">
        <f t="shared" si="1"/>
        <v>131953.78839606119</v>
      </c>
      <c r="J22" s="805">
        <f t="shared" si="1"/>
        <v>0</v>
      </c>
      <c r="K22" s="805">
        <f t="shared" si="1"/>
        <v>0</v>
      </c>
      <c r="L22" s="805">
        <f t="shared" si="1"/>
        <v>0</v>
      </c>
      <c r="M22" s="805">
        <f t="shared" si="1"/>
        <v>0</v>
      </c>
      <c r="N22" s="805">
        <f t="shared" si="1"/>
        <v>38366.979807931864</v>
      </c>
      <c r="O22" s="805">
        <f t="shared" si="1"/>
        <v>0</v>
      </c>
      <c r="P22" s="805">
        <f t="shared" si="1"/>
        <v>0</v>
      </c>
      <c r="Q22" s="805">
        <f t="shared" si="1"/>
        <v>0</v>
      </c>
      <c r="R22" s="805">
        <f t="shared" si="1"/>
        <v>681176.33507043403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1070.2763433591799</v>
      </c>
      <c r="D24" s="681">
        <f>+landbouw!C8</f>
        <v>0</v>
      </c>
      <c r="E24" s="681">
        <f>+landbouw!D8</f>
        <v>1482.8970557663054</v>
      </c>
      <c r="F24" s="681">
        <f>+landbouw!E8</f>
        <v>30.654525712980558</v>
      </c>
      <c r="G24" s="681">
        <f>+landbouw!F8</f>
        <v>3387.9420381138352</v>
      </c>
      <c r="H24" s="681">
        <f>+landbouw!G8</f>
        <v>0</v>
      </c>
      <c r="I24" s="681">
        <f>+landbouw!H8</f>
        <v>0</v>
      </c>
      <c r="J24" s="681">
        <f>+landbouw!I8</f>
        <v>0</v>
      </c>
      <c r="K24" s="681">
        <f>+landbouw!J8</f>
        <v>272.13766487896032</v>
      </c>
      <c r="L24" s="681">
        <f>+landbouw!K8</f>
        <v>0</v>
      </c>
      <c r="M24" s="681">
        <f>+landbouw!L8</f>
        <v>0</v>
      </c>
      <c r="N24" s="681">
        <f>+landbouw!M8</f>
        <v>0</v>
      </c>
      <c r="O24" s="681">
        <f>+landbouw!N8</f>
        <v>0</v>
      </c>
      <c r="P24" s="681">
        <f>+landbouw!O8</f>
        <v>0</v>
      </c>
      <c r="Q24" s="682">
        <f>+landbouw!P8</f>
        <v>0</v>
      </c>
      <c r="R24" s="684">
        <f>SUM(C24:Q24)</f>
        <v>6243.9076278312614</v>
      </c>
      <c r="S24" s="67"/>
    </row>
    <row r="25" spans="1:19" s="443" customFormat="1" ht="15" thickBot="1">
      <c r="A25" s="824" t="s">
        <v>690</v>
      </c>
      <c r="B25" s="937"/>
      <c r="C25" s="938">
        <f>IF(Onbekend_ele_kWh="---",0,Onbekend_ele_kWh)/1000+IF(REST_rest_ele_kWh="---",0,REST_rest_ele_kWh)/1000</f>
        <v>5269.2565053112703</v>
      </c>
      <c r="D25" s="938"/>
      <c r="E25" s="938">
        <f>IF(onbekend_gas_kWh="---",0,onbekend_gas_kWh)/1000+IF(REST_rest_gas_kWh="---",0,REST_rest_gas_kWh)/1000</f>
        <v>13422.828534673999</v>
      </c>
      <c r="F25" s="938"/>
      <c r="G25" s="938"/>
      <c r="H25" s="938"/>
      <c r="I25" s="938"/>
      <c r="J25" s="938"/>
      <c r="K25" s="938"/>
      <c r="L25" s="938"/>
      <c r="M25" s="938"/>
      <c r="N25" s="938"/>
      <c r="O25" s="938"/>
      <c r="P25" s="938"/>
      <c r="Q25" s="939"/>
      <c r="R25" s="684">
        <f>SUM(C25:Q25)</f>
        <v>18692.085039985272</v>
      </c>
      <c r="S25" s="67"/>
    </row>
    <row r="26" spans="1:19" s="443" customFormat="1" ht="15.75" thickBot="1">
      <c r="A26" s="689" t="s">
        <v>691</v>
      </c>
      <c r="B26" s="810"/>
      <c r="C26" s="805">
        <f>SUM(C24:C25)</f>
        <v>6339.5328486704502</v>
      </c>
      <c r="D26" s="805">
        <f t="shared" ref="D26:R26" si="2">SUM(D24:D25)</f>
        <v>0</v>
      </c>
      <c r="E26" s="805">
        <f t="shared" si="2"/>
        <v>14905.725590440305</v>
      </c>
      <c r="F26" s="805">
        <f t="shared" si="2"/>
        <v>30.654525712980558</v>
      </c>
      <c r="G26" s="805">
        <f t="shared" si="2"/>
        <v>3387.9420381138352</v>
      </c>
      <c r="H26" s="805">
        <f t="shared" si="2"/>
        <v>0</v>
      </c>
      <c r="I26" s="805">
        <f t="shared" si="2"/>
        <v>0</v>
      </c>
      <c r="J26" s="805">
        <f t="shared" si="2"/>
        <v>0</v>
      </c>
      <c r="K26" s="805">
        <f t="shared" si="2"/>
        <v>272.13766487896032</v>
      </c>
      <c r="L26" s="805">
        <f t="shared" si="2"/>
        <v>0</v>
      </c>
      <c r="M26" s="805">
        <f t="shared" si="2"/>
        <v>0</v>
      </c>
      <c r="N26" s="805">
        <f t="shared" si="2"/>
        <v>0</v>
      </c>
      <c r="O26" s="805">
        <f t="shared" si="2"/>
        <v>0</v>
      </c>
      <c r="P26" s="805">
        <f t="shared" si="2"/>
        <v>0</v>
      </c>
      <c r="Q26" s="805">
        <f t="shared" si="2"/>
        <v>0</v>
      </c>
      <c r="R26" s="805">
        <f t="shared" si="2"/>
        <v>24935.992667816532</v>
      </c>
      <c r="S26" s="67"/>
    </row>
    <row r="27" spans="1:19" s="443" customFormat="1" ht="17.25" thickTop="1" thickBot="1">
      <c r="A27" s="690" t="s">
        <v>109</v>
      </c>
      <c r="B27" s="797"/>
      <c r="C27" s="691">
        <f ca="1">C22+C16+C26</f>
        <v>499557.94271244464</v>
      </c>
      <c r="D27" s="691">
        <f t="shared" ref="D27:R27" ca="1" si="3">D22+D16+D26</f>
        <v>21728.571428571428</v>
      </c>
      <c r="E27" s="691">
        <f t="shared" ca="1" si="3"/>
        <v>853383.00383335073</v>
      </c>
      <c r="F27" s="691">
        <f t="shared" si="3"/>
        <v>19480.681478874452</v>
      </c>
      <c r="G27" s="691">
        <f t="shared" ca="1" si="3"/>
        <v>161459.07743245037</v>
      </c>
      <c r="H27" s="691">
        <f t="shared" si="3"/>
        <v>505285.30529307149</v>
      </c>
      <c r="I27" s="691">
        <f t="shared" si="3"/>
        <v>131953.78839606119</v>
      </c>
      <c r="J27" s="691">
        <f t="shared" si="3"/>
        <v>0</v>
      </c>
      <c r="K27" s="691">
        <f t="shared" si="3"/>
        <v>901.99117086674528</v>
      </c>
      <c r="L27" s="691">
        <f t="shared" si="3"/>
        <v>0</v>
      </c>
      <c r="M27" s="691">
        <f t="shared" ca="1" si="3"/>
        <v>0</v>
      </c>
      <c r="N27" s="691">
        <f t="shared" si="3"/>
        <v>38366.979807931864</v>
      </c>
      <c r="O27" s="691">
        <f t="shared" ca="1" si="3"/>
        <v>56399.086009399522</v>
      </c>
      <c r="P27" s="691">
        <f t="shared" si="3"/>
        <v>936.17774042017334</v>
      </c>
      <c r="Q27" s="691">
        <f t="shared" si="3"/>
        <v>3357.8505127448507</v>
      </c>
      <c r="R27" s="691">
        <f t="shared" ca="1" si="3"/>
        <v>2292810.455816187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43313.567874102759</v>
      </c>
      <c r="D40" s="681">
        <f ca="1">tertiair!C20</f>
        <v>30.554621848739501</v>
      </c>
      <c r="E40" s="681">
        <f ca="1">tertiair!D20</f>
        <v>46184.25500009059</v>
      </c>
      <c r="F40" s="681">
        <f>tertiair!E20</f>
        <v>136.36679935571198</v>
      </c>
      <c r="G40" s="681">
        <f ca="1">tertiair!F20</f>
        <v>8829.8215834665134</v>
      </c>
      <c r="H40" s="681">
        <f>tertiair!G20</f>
        <v>0</v>
      </c>
      <c r="I40" s="681">
        <f>tertiair!H20</f>
        <v>0</v>
      </c>
      <c r="J40" s="681">
        <f>tertiair!I20</f>
        <v>0</v>
      </c>
      <c r="K40" s="681">
        <f>tertiair!J20</f>
        <v>6.6455762545149899E-2</v>
      </c>
      <c r="L40" s="681">
        <f>tertiair!K20</f>
        <v>0</v>
      </c>
      <c r="M40" s="681">
        <f ca="1">tertiair!L20</f>
        <v>0</v>
      </c>
      <c r="N40" s="681">
        <f>tertiair!M20</f>
        <v>0</v>
      </c>
      <c r="O40" s="681">
        <f ca="1">tertiair!N20</f>
        <v>0</v>
      </c>
      <c r="P40" s="681">
        <f>tertiair!O20</f>
        <v>0</v>
      </c>
      <c r="Q40" s="764">
        <f>tertiair!P20</f>
        <v>0</v>
      </c>
      <c r="R40" s="843">
        <f t="shared" ca="1" si="4"/>
        <v>98494.632334626862</v>
      </c>
    </row>
    <row r="41" spans="1:18">
      <c r="A41" s="815" t="s">
        <v>214</v>
      </c>
      <c r="B41" s="822"/>
      <c r="C41" s="681">
        <f ca="1">huishoudens!B12</f>
        <v>23402.313493026908</v>
      </c>
      <c r="D41" s="681">
        <f ca="1">huishoudens!C12</f>
        <v>0</v>
      </c>
      <c r="E41" s="681">
        <f>huishoudens!D12</f>
        <v>73278.207952750003</v>
      </c>
      <c r="F41" s="681">
        <f>huishoudens!E12</f>
        <v>1096.7915413925787</v>
      </c>
      <c r="G41" s="681">
        <f>huishoudens!F12</f>
        <v>28260.808330116477</v>
      </c>
      <c r="H41" s="681">
        <f>huishoudens!G12</f>
        <v>0</v>
      </c>
      <c r="I41" s="681">
        <f>huishoudens!H12</f>
        <v>0</v>
      </c>
      <c r="J41" s="681">
        <f>huishoudens!I12</f>
        <v>0</v>
      </c>
      <c r="K41" s="681">
        <f>huishoudens!J12</f>
        <v>213.54213083561717</v>
      </c>
      <c r="L41" s="681">
        <f>huishoudens!K12</f>
        <v>0</v>
      </c>
      <c r="M41" s="681">
        <f>huishoudens!L12</f>
        <v>0</v>
      </c>
      <c r="N41" s="681">
        <f>huishoudens!M12</f>
        <v>0</v>
      </c>
      <c r="O41" s="681">
        <f>huishoudens!N12</f>
        <v>0</v>
      </c>
      <c r="P41" s="681">
        <f>huishoudens!O12</f>
        <v>0</v>
      </c>
      <c r="Q41" s="764">
        <f>huishoudens!P12</f>
        <v>0</v>
      </c>
      <c r="R41" s="843">
        <f t="shared" ca="1" si="4"/>
        <v>126251.66344812159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38031.519653698815</v>
      </c>
      <c r="D43" s="681">
        <f ca="1">industrie!C22</f>
        <v>5133.176470588236</v>
      </c>
      <c r="E43" s="681">
        <f>industrie!D22</f>
        <v>49377.729955279479</v>
      </c>
      <c r="F43" s="681">
        <f>industrie!E22</f>
        <v>2922.8046956497501</v>
      </c>
      <c r="G43" s="681">
        <f>industrie!F22</f>
        <v>5114.3632367048613</v>
      </c>
      <c r="H43" s="681">
        <f>industrie!G22</f>
        <v>0</v>
      </c>
      <c r="I43" s="681">
        <f>industrie!H22</f>
        <v>0</v>
      </c>
      <c r="J43" s="681">
        <f>industrie!I22</f>
        <v>0</v>
      </c>
      <c r="K43" s="681">
        <f>industrie!J22</f>
        <v>9.3595545215135409</v>
      </c>
      <c r="L43" s="681">
        <f>industrie!K22</f>
        <v>0</v>
      </c>
      <c r="M43" s="681">
        <f>industrie!L22</f>
        <v>0</v>
      </c>
      <c r="N43" s="681">
        <f>industrie!M22</f>
        <v>0</v>
      </c>
      <c r="O43" s="681">
        <f>industrie!N22</f>
        <v>0</v>
      </c>
      <c r="P43" s="681">
        <f>industrie!O22</f>
        <v>0</v>
      </c>
      <c r="Q43" s="764">
        <f>industrie!P22</f>
        <v>0</v>
      </c>
      <c r="R43" s="842">
        <f t="shared" ca="1" si="4"/>
        <v>100588.95356644265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104747.40102082849</v>
      </c>
      <c r="D46" s="717">
        <f t="shared" ref="D46:Q46" ca="1" si="5">SUM(D39:D45)</f>
        <v>5163.7310924369758</v>
      </c>
      <c r="E46" s="717">
        <f t="shared" ca="1" si="5"/>
        <v>168840.19290812008</v>
      </c>
      <c r="F46" s="717">
        <f t="shared" si="5"/>
        <v>4155.9630363980405</v>
      </c>
      <c r="G46" s="717">
        <f t="shared" ca="1" si="5"/>
        <v>42204.993150287853</v>
      </c>
      <c r="H46" s="717">
        <f t="shared" si="5"/>
        <v>0</v>
      </c>
      <c r="I46" s="717">
        <f t="shared" si="5"/>
        <v>0</v>
      </c>
      <c r="J46" s="717">
        <f t="shared" si="5"/>
        <v>0</v>
      </c>
      <c r="K46" s="717">
        <f t="shared" si="5"/>
        <v>222.96814111967586</v>
      </c>
      <c r="L46" s="717">
        <f t="shared" si="5"/>
        <v>0</v>
      </c>
      <c r="M46" s="717">
        <f t="shared" ca="1" si="5"/>
        <v>0</v>
      </c>
      <c r="N46" s="717">
        <f t="shared" si="5"/>
        <v>0</v>
      </c>
      <c r="O46" s="717">
        <f t="shared" ca="1" si="5"/>
        <v>0</v>
      </c>
      <c r="P46" s="717">
        <f t="shared" si="5"/>
        <v>0</v>
      </c>
      <c r="Q46" s="717">
        <f t="shared" si="5"/>
        <v>0</v>
      </c>
      <c r="R46" s="717">
        <f ca="1">SUM(R39:R45)</f>
        <v>325335.24934919109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32.344042080842215</v>
      </c>
      <c r="D49" s="681">
        <f ca="1">transport!C58</f>
        <v>0</v>
      </c>
      <c r="E49" s="681">
        <f>transport!D58</f>
        <v>0</v>
      </c>
      <c r="F49" s="681">
        <f>transport!E58</f>
        <v>0</v>
      </c>
      <c r="G49" s="681">
        <f>transport!F58</f>
        <v>0</v>
      </c>
      <c r="H49" s="681">
        <f>transport!G58</f>
        <v>2536.3815925742133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2568.7256346550557</v>
      </c>
    </row>
    <row r="50" spans="1:18">
      <c r="A50" s="818" t="s">
        <v>296</v>
      </c>
      <c r="B50" s="828"/>
      <c r="C50" s="687">
        <f ca="1">transport!B18</f>
        <v>349.98451607187502</v>
      </c>
      <c r="D50" s="687">
        <f>transport!C18</f>
        <v>0</v>
      </c>
      <c r="E50" s="687">
        <f>transport!D18</f>
        <v>532.21729694783016</v>
      </c>
      <c r="F50" s="687">
        <f>transport!E18</f>
        <v>259.19308196961362</v>
      </c>
      <c r="G50" s="687">
        <f>transport!F18</f>
        <v>0</v>
      </c>
      <c r="H50" s="687">
        <f>transport!G18</f>
        <v>132374.79492067586</v>
      </c>
      <c r="I50" s="687">
        <f>transport!H18</f>
        <v>32856.49331061924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166372.68312628442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382.32855815271722</v>
      </c>
      <c r="D52" s="717">
        <f t="shared" ref="D52:Q52" ca="1" si="6">SUM(D48:D51)</f>
        <v>0</v>
      </c>
      <c r="E52" s="717">
        <f t="shared" si="6"/>
        <v>532.21729694783016</v>
      </c>
      <c r="F52" s="717">
        <f t="shared" si="6"/>
        <v>259.19308196961362</v>
      </c>
      <c r="G52" s="717">
        <f t="shared" si="6"/>
        <v>0</v>
      </c>
      <c r="H52" s="717">
        <f t="shared" si="6"/>
        <v>134911.17651325007</v>
      </c>
      <c r="I52" s="717">
        <f t="shared" si="6"/>
        <v>32856.49331061924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168941.40876093946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228.12989195437493</v>
      </c>
      <c r="D54" s="687">
        <f ca="1">+landbouw!C12</f>
        <v>0</v>
      </c>
      <c r="E54" s="687">
        <f>+landbouw!D12</f>
        <v>299.54520526479371</v>
      </c>
      <c r="F54" s="687">
        <f>+landbouw!E12</f>
        <v>6.9585773368465871</v>
      </c>
      <c r="G54" s="687">
        <f>+landbouw!F12</f>
        <v>904.58052417639408</v>
      </c>
      <c r="H54" s="687">
        <f>+landbouw!G12</f>
        <v>0</v>
      </c>
      <c r="I54" s="687">
        <f>+landbouw!H12</f>
        <v>0</v>
      </c>
      <c r="J54" s="687">
        <f>+landbouw!I12</f>
        <v>0</v>
      </c>
      <c r="K54" s="687">
        <f>+landbouw!J12</f>
        <v>96.33673336715195</v>
      </c>
      <c r="L54" s="687">
        <f>+landbouw!K12</f>
        <v>0</v>
      </c>
      <c r="M54" s="687">
        <f>+landbouw!L12</f>
        <v>0</v>
      </c>
      <c r="N54" s="687">
        <f>+landbouw!M12</f>
        <v>0</v>
      </c>
      <c r="O54" s="687">
        <f>+landbouw!N12</f>
        <v>0</v>
      </c>
      <c r="P54" s="687">
        <f>+landbouw!O12</f>
        <v>0</v>
      </c>
      <c r="Q54" s="688">
        <f>+landbouw!P12</f>
        <v>0</v>
      </c>
      <c r="R54" s="716">
        <f ca="1">SUM(C54:Q54)</f>
        <v>1535.5509320995614</v>
      </c>
    </row>
    <row r="55" spans="1:18" ht="15" thickBot="1">
      <c r="A55" s="818" t="s">
        <v>690</v>
      </c>
      <c r="B55" s="828"/>
      <c r="C55" s="687">
        <f ca="1">C25*'EF ele_warmte'!B12</f>
        <v>1123.1444333934385</v>
      </c>
      <c r="D55" s="687"/>
      <c r="E55" s="687">
        <f>E25*EF_CO2_aardgas</f>
        <v>2711.4113640041483</v>
      </c>
      <c r="F55" s="687"/>
      <c r="G55" s="687"/>
      <c r="H55" s="687"/>
      <c r="I55" s="687"/>
      <c r="J55" s="687"/>
      <c r="K55" s="687"/>
      <c r="L55" s="687"/>
      <c r="M55" s="687"/>
      <c r="N55" s="687"/>
      <c r="O55" s="687"/>
      <c r="P55" s="687"/>
      <c r="Q55" s="688"/>
      <c r="R55" s="716">
        <f ca="1">SUM(C55:Q55)</f>
        <v>3834.5557973975865</v>
      </c>
    </row>
    <row r="56" spans="1:18" ht="15.75" thickBot="1">
      <c r="A56" s="816" t="s">
        <v>691</v>
      </c>
      <c r="B56" s="829"/>
      <c r="C56" s="717">
        <f ca="1">SUM(C54:C55)</f>
        <v>1351.2743253478134</v>
      </c>
      <c r="D56" s="717">
        <f t="shared" ref="D56:Q56" ca="1" si="7">SUM(D54:D55)</f>
        <v>0</v>
      </c>
      <c r="E56" s="717">
        <f t="shared" si="7"/>
        <v>3010.9565692689421</v>
      </c>
      <c r="F56" s="717">
        <f t="shared" si="7"/>
        <v>6.9585773368465871</v>
      </c>
      <c r="G56" s="717">
        <f t="shared" si="7"/>
        <v>904.58052417639408</v>
      </c>
      <c r="H56" s="717">
        <f t="shared" si="7"/>
        <v>0</v>
      </c>
      <c r="I56" s="717">
        <f t="shared" si="7"/>
        <v>0</v>
      </c>
      <c r="J56" s="717">
        <f t="shared" si="7"/>
        <v>0</v>
      </c>
      <c r="K56" s="717">
        <f t="shared" si="7"/>
        <v>96.33673336715195</v>
      </c>
      <c r="L56" s="717">
        <f t="shared" si="7"/>
        <v>0</v>
      </c>
      <c r="M56" s="717">
        <f t="shared" si="7"/>
        <v>0</v>
      </c>
      <c r="N56" s="717">
        <f t="shared" si="7"/>
        <v>0</v>
      </c>
      <c r="O56" s="717">
        <f t="shared" si="7"/>
        <v>0</v>
      </c>
      <c r="P56" s="717">
        <f t="shared" si="7"/>
        <v>0</v>
      </c>
      <c r="Q56" s="718">
        <f t="shared" si="7"/>
        <v>0</v>
      </c>
      <c r="R56" s="719">
        <f ca="1">SUM(R54:R55)</f>
        <v>5370.1067294971481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106481.00390432902</v>
      </c>
      <c r="D61" s="725">
        <f t="shared" ref="D61:Q61" ca="1" si="8">D46+D52+D56</f>
        <v>5163.7310924369758</v>
      </c>
      <c r="E61" s="725">
        <f t="shared" ca="1" si="8"/>
        <v>172383.36677433687</v>
      </c>
      <c r="F61" s="725">
        <f t="shared" si="8"/>
        <v>4422.1146957045003</v>
      </c>
      <c r="G61" s="725">
        <f t="shared" ca="1" si="8"/>
        <v>43109.573674464249</v>
      </c>
      <c r="H61" s="725">
        <f t="shared" si="8"/>
        <v>134911.17651325007</v>
      </c>
      <c r="I61" s="725">
        <f t="shared" si="8"/>
        <v>32856.49331061924</v>
      </c>
      <c r="J61" s="725">
        <f t="shared" si="8"/>
        <v>0</v>
      </c>
      <c r="K61" s="725">
        <f t="shared" si="8"/>
        <v>319.30487448682783</v>
      </c>
      <c r="L61" s="725">
        <f t="shared" si="8"/>
        <v>0</v>
      </c>
      <c r="M61" s="725">
        <f t="shared" ca="1" si="8"/>
        <v>0</v>
      </c>
      <c r="N61" s="725">
        <f t="shared" si="8"/>
        <v>0</v>
      </c>
      <c r="O61" s="725">
        <f t="shared" ca="1" si="8"/>
        <v>0</v>
      </c>
      <c r="P61" s="725">
        <f t="shared" si="8"/>
        <v>0</v>
      </c>
      <c r="Q61" s="725">
        <f t="shared" si="8"/>
        <v>0</v>
      </c>
      <c r="R61" s="725">
        <f ca="1">R46+R52+R56</f>
        <v>499646.76483962772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0.21315045723459064</v>
      </c>
      <c r="D63" s="771">
        <f t="shared" ca="1" si="9"/>
        <v>0.23764705882352946</v>
      </c>
      <c r="E63" s="963">
        <f t="shared" ca="1" si="9"/>
        <v>0.20200000000000004</v>
      </c>
      <c r="F63" s="771">
        <f t="shared" si="9"/>
        <v>0.22699999999999998</v>
      </c>
      <c r="G63" s="771">
        <f t="shared" ca="1" si="9"/>
        <v>0.26700000000000002</v>
      </c>
      <c r="H63" s="771">
        <f t="shared" si="9"/>
        <v>0.26699999999999996</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18889.154750348996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15210</v>
      </c>
      <c r="D76" s="946">
        <f>'lokale energieproductie'!C8</f>
        <v>17894.117647058825</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3614.6117647058827</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18889.154750348996</v>
      </c>
      <c r="C78" s="743">
        <f>SUM(C72:C77)</f>
        <v>15210</v>
      </c>
      <c r="D78" s="744">
        <f t="shared" ref="D78:H78" si="10">SUM(D76:D77)</f>
        <v>17894.117647058825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3614.6117647058827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21728.571428571428</v>
      </c>
      <c r="D87" s="767">
        <f>'lokale energieproductie'!C17</f>
        <v>25563.025210084033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5163.7310924369749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21728.571428571428</v>
      </c>
      <c r="D90" s="743">
        <f t="shared" ref="D90:H90" si="12">SUM(D87:D89)</f>
        <v>25563.025210084033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5163.7310924369749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109792.46207889024</v>
      </c>
      <c r="C4" s="447">
        <f>huishoudens!C8</f>
        <v>0</v>
      </c>
      <c r="D4" s="447">
        <f>huishoudens!D8</f>
        <v>362763.40570668317</v>
      </c>
      <c r="E4" s="447">
        <f>huishoudens!E8</f>
        <v>4831.6807990862499</v>
      </c>
      <c r="F4" s="447">
        <f>huishoudens!F8</f>
        <v>105845.72408283324</v>
      </c>
      <c r="G4" s="447">
        <f>huishoudens!G8</f>
        <v>0</v>
      </c>
      <c r="H4" s="447">
        <f>huishoudens!H8</f>
        <v>0</v>
      </c>
      <c r="I4" s="447">
        <f>huishoudens!I8</f>
        <v>0</v>
      </c>
      <c r="J4" s="447">
        <f>huishoudens!J8</f>
        <v>603.22635829270394</v>
      </c>
      <c r="K4" s="447">
        <f>huishoudens!K8</f>
        <v>0</v>
      </c>
      <c r="L4" s="447">
        <f>huishoudens!L8</f>
        <v>0</v>
      </c>
      <c r="M4" s="447">
        <f>huishoudens!M8</f>
        <v>0</v>
      </c>
      <c r="N4" s="447">
        <f>huishoudens!N8</f>
        <v>45528.315690844298</v>
      </c>
      <c r="O4" s="447">
        <f>huishoudens!O8</f>
        <v>916.58869735680867</v>
      </c>
      <c r="P4" s="448">
        <f>huishoudens!P8</f>
        <v>2359.6068849214453</v>
      </c>
      <c r="Q4" s="449">
        <f>SUM(B4:P4)</f>
        <v>632641.01029890811</v>
      </c>
    </row>
    <row r="5" spans="1:17">
      <c r="A5" s="446" t="s">
        <v>149</v>
      </c>
      <c r="B5" s="447">
        <f ca="1">tertiair!B16</f>
        <v>199616.42350406552</v>
      </c>
      <c r="C5" s="447">
        <f ca="1">tertiair!C16</f>
        <v>128.57142857142858</v>
      </c>
      <c r="D5" s="447">
        <f ca="1">tertiair!D16</f>
        <v>228634.9257430227</v>
      </c>
      <c r="E5" s="447">
        <f>tertiair!E16</f>
        <v>600.73479892384125</v>
      </c>
      <c r="F5" s="447">
        <f ca="1">tertiair!F16</f>
        <v>33070.492821971959</v>
      </c>
      <c r="G5" s="447">
        <f>tertiair!G16</f>
        <v>0</v>
      </c>
      <c r="H5" s="447">
        <f>tertiair!H16</f>
        <v>0</v>
      </c>
      <c r="I5" s="447">
        <f>tertiair!I16</f>
        <v>0</v>
      </c>
      <c r="J5" s="447">
        <f>tertiair!J16</f>
        <v>0.18772814278290934</v>
      </c>
      <c r="K5" s="447">
        <f>tertiair!K16</f>
        <v>0</v>
      </c>
      <c r="L5" s="447">
        <f ca="1">tertiair!L16</f>
        <v>0</v>
      </c>
      <c r="M5" s="447">
        <f>tertiair!M16</f>
        <v>0</v>
      </c>
      <c r="N5" s="447">
        <f ca="1">tertiair!N16</f>
        <v>7405.9087601234996</v>
      </c>
      <c r="O5" s="447">
        <f>tertiair!O16</f>
        <v>19.589043063364617</v>
      </c>
      <c r="P5" s="448">
        <f>tertiair!P16</f>
        <v>998.24362782340552</v>
      </c>
      <c r="Q5" s="446">
        <f t="shared" ref="Q5:Q14" ca="1" si="0">SUM(B5:P5)</f>
        <v>470475.07745570847</v>
      </c>
    </row>
    <row r="6" spans="1:17">
      <c r="A6" s="446" t="s">
        <v>187</v>
      </c>
      <c r="B6" s="447">
        <f>'openbare verlichting'!B8</f>
        <v>3590.1210000000001</v>
      </c>
      <c r="C6" s="447"/>
      <c r="D6" s="447"/>
      <c r="E6" s="447"/>
      <c r="F6" s="447"/>
      <c r="G6" s="447"/>
      <c r="H6" s="447"/>
      <c r="I6" s="447"/>
      <c r="J6" s="447"/>
      <c r="K6" s="447"/>
      <c r="L6" s="447"/>
      <c r="M6" s="447"/>
      <c r="N6" s="447"/>
      <c r="O6" s="447"/>
      <c r="P6" s="448"/>
      <c r="Q6" s="446">
        <f t="shared" si="0"/>
        <v>3590.1210000000001</v>
      </c>
    </row>
    <row r="7" spans="1:17">
      <c r="A7" s="446" t="s">
        <v>105</v>
      </c>
      <c r="B7" s="447">
        <f>landbouw!B8</f>
        <v>1070.2763433591799</v>
      </c>
      <c r="C7" s="447">
        <f>landbouw!C8</f>
        <v>0</v>
      </c>
      <c r="D7" s="447">
        <f>landbouw!D8</f>
        <v>1482.8970557663054</v>
      </c>
      <c r="E7" s="447">
        <f>landbouw!E8</f>
        <v>30.654525712980558</v>
      </c>
      <c r="F7" s="447">
        <f>landbouw!F8</f>
        <v>3387.9420381138352</v>
      </c>
      <c r="G7" s="447">
        <f>landbouw!G8</f>
        <v>0</v>
      </c>
      <c r="H7" s="447">
        <f>landbouw!H8</f>
        <v>0</v>
      </c>
      <c r="I7" s="447">
        <f>landbouw!I8</f>
        <v>0</v>
      </c>
      <c r="J7" s="447">
        <f>landbouw!J8</f>
        <v>272.13766487896032</v>
      </c>
      <c r="K7" s="447">
        <f>landbouw!K8</f>
        <v>0</v>
      </c>
      <c r="L7" s="447">
        <f>landbouw!L8</f>
        <v>0</v>
      </c>
      <c r="M7" s="447">
        <f>landbouw!M8</f>
        <v>0</v>
      </c>
      <c r="N7" s="447">
        <f>landbouw!N8</f>
        <v>0</v>
      </c>
      <c r="O7" s="447">
        <f>landbouw!O8</f>
        <v>0</v>
      </c>
      <c r="P7" s="448">
        <f>landbouw!P8</f>
        <v>0</v>
      </c>
      <c r="Q7" s="446">
        <f t="shared" si="0"/>
        <v>6243.9076278312614</v>
      </c>
    </row>
    <row r="8" spans="1:17">
      <c r="A8" s="446" t="s">
        <v>611</v>
      </c>
      <c r="B8" s="447">
        <f>industrie!B18</f>
        <v>178425.70054560952</v>
      </c>
      <c r="C8" s="447">
        <f>industrie!C18</f>
        <v>21600</v>
      </c>
      <c r="D8" s="447">
        <f>industrie!D18</f>
        <v>244444.20769940334</v>
      </c>
      <c r="E8" s="447">
        <f>industrie!E18</f>
        <v>12875.79161079185</v>
      </c>
      <c r="F8" s="447">
        <f>industrie!F18</f>
        <v>19154.918489531316</v>
      </c>
      <c r="G8" s="447">
        <f>industrie!G18</f>
        <v>0</v>
      </c>
      <c r="H8" s="447">
        <f>industrie!H18</f>
        <v>0</v>
      </c>
      <c r="I8" s="447">
        <f>industrie!I18</f>
        <v>0</v>
      </c>
      <c r="J8" s="447">
        <f>industrie!J18</f>
        <v>26.439419552298141</v>
      </c>
      <c r="K8" s="447">
        <f>industrie!K18</f>
        <v>0</v>
      </c>
      <c r="L8" s="447">
        <f>industrie!L18</f>
        <v>0</v>
      </c>
      <c r="M8" s="447">
        <f>industrie!M18</f>
        <v>0</v>
      </c>
      <c r="N8" s="447">
        <f>industrie!N18</f>
        <v>3464.8615584317217</v>
      </c>
      <c r="O8" s="447">
        <f>industrie!O18</f>
        <v>0</v>
      </c>
      <c r="P8" s="448">
        <f>industrie!P18</f>
        <v>0</v>
      </c>
      <c r="Q8" s="446">
        <f t="shared" si="0"/>
        <v>479991.91932332003</v>
      </c>
    </row>
    <row r="9" spans="1:17" s="452" customFormat="1">
      <c r="A9" s="450" t="s">
        <v>537</v>
      </c>
      <c r="B9" s="451">
        <f>transport!B14</f>
        <v>1641.959959235211</v>
      </c>
      <c r="C9" s="451">
        <f>transport!C14</f>
        <v>0</v>
      </c>
      <c r="D9" s="451">
        <f>transport!D14</f>
        <v>2634.739093801139</v>
      </c>
      <c r="E9" s="451">
        <f>transport!E14</f>
        <v>1141.8197443595313</v>
      </c>
      <c r="F9" s="451">
        <f>transport!F14</f>
        <v>0</v>
      </c>
      <c r="G9" s="451">
        <f>transport!G14</f>
        <v>495785.74876657629</v>
      </c>
      <c r="H9" s="451">
        <f>transport!H14</f>
        <v>131953.78839606119</v>
      </c>
      <c r="I9" s="451">
        <f>transport!I14</f>
        <v>0</v>
      </c>
      <c r="J9" s="451">
        <f>transport!J14</f>
        <v>0</v>
      </c>
      <c r="K9" s="451">
        <f>transport!K14</f>
        <v>0</v>
      </c>
      <c r="L9" s="451">
        <f>transport!L14</f>
        <v>0</v>
      </c>
      <c r="M9" s="451">
        <f>transport!M14</f>
        <v>37821.53630641057</v>
      </c>
      <c r="N9" s="451">
        <f>transport!N14</f>
        <v>0</v>
      </c>
      <c r="O9" s="451">
        <f>transport!O14</f>
        <v>0</v>
      </c>
      <c r="P9" s="451">
        <f>transport!P14</f>
        <v>0</v>
      </c>
      <c r="Q9" s="450">
        <f>SUM(B9:P9)</f>
        <v>670979.59226644388</v>
      </c>
    </row>
    <row r="10" spans="1:17">
      <c r="A10" s="446" t="s">
        <v>527</v>
      </c>
      <c r="B10" s="447">
        <f>transport!B54</f>
        <v>151.7427759737094</v>
      </c>
      <c r="C10" s="447">
        <f>transport!C54</f>
        <v>0</v>
      </c>
      <c r="D10" s="447">
        <f>transport!D54</f>
        <v>0</v>
      </c>
      <c r="E10" s="447">
        <f>transport!E54</f>
        <v>0</v>
      </c>
      <c r="F10" s="447">
        <f>transport!F54</f>
        <v>0</v>
      </c>
      <c r="G10" s="447">
        <f>transport!G54</f>
        <v>9499.5565264951802</v>
      </c>
      <c r="H10" s="447">
        <f>transport!H54</f>
        <v>0</v>
      </c>
      <c r="I10" s="447">
        <f>transport!I54</f>
        <v>0</v>
      </c>
      <c r="J10" s="447">
        <f>transport!J54</f>
        <v>0</v>
      </c>
      <c r="K10" s="447">
        <f>transport!K54</f>
        <v>0</v>
      </c>
      <c r="L10" s="447">
        <f>transport!L54</f>
        <v>0</v>
      </c>
      <c r="M10" s="447">
        <f>transport!M54</f>
        <v>545.44350152129459</v>
      </c>
      <c r="N10" s="447">
        <f>transport!N54</f>
        <v>0</v>
      </c>
      <c r="O10" s="447">
        <f>transport!O54</f>
        <v>0</v>
      </c>
      <c r="P10" s="448">
        <f>transport!P54</f>
        <v>0</v>
      </c>
      <c r="Q10" s="446">
        <f t="shared" si="0"/>
        <v>10196.742803990184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5269.2565053112703</v>
      </c>
      <c r="C14" s="454"/>
      <c r="D14" s="454">
        <f>'SEAP template'!E25</f>
        <v>13422.828534673999</v>
      </c>
      <c r="E14" s="454"/>
      <c r="F14" s="454"/>
      <c r="G14" s="454"/>
      <c r="H14" s="454"/>
      <c r="I14" s="454"/>
      <c r="J14" s="454"/>
      <c r="K14" s="454"/>
      <c r="L14" s="454"/>
      <c r="M14" s="454"/>
      <c r="N14" s="454"/>
      <c r="O14" s="454"/>
      <c r="P14" s="455"/>
      <c r="Q14" s="446">
        <f t="shared" si="0"/>
        <v>18692.085039985272</v>
      </c>
    </row>
    <row r="15" spans="1:17" s="458" customFormat="1">
      <c r="A15" s="456" t="s">
        <v>531</v>
      </c>
      <c r="B15" s="457">
        <f ca="1">SUM(B4:B14)</f>
        <v>499557.9427124447</v>
      </c>
      <c r="C15" s="457">
        <f t="shared" ref="C15:Q15" ca="1" si="1">SUM(C4:C14)</f>
        <v>21728.571428571428</v>
      </c>
      <c r="D15" s="457">
        <f t="shared" ca="1" si="1"/>
        <v>853383.00383335073</v>
      </c>
      <c r="E15" s="457">
        <f t="shared" si="1"/>
        <v>19480.681478874452</v>
      </c>
      <c r="F15" s="457">
        <f t="shared" ca="1" si="1"/>
        <v>161459.07743245037</v>
      </c>
      <c r="G15" s="457">
        <f t="shared" si="1"/>
        <v>505285.30529307149</v>
      </c>
      <c r="H15" s="457">
        <f t="shared" si="1"/>
        <v>131953.78839606119</v>
      </c>
      <c r="I15" s="457">
        <f t="shared" si="1"/>
        <v>0</v>
      </c>
      <c r="J15" s="457">
        <f t="shared" si="1"/>
        <v>901.99117086674528</v>
      </c>
      <c r="K15" s="457">
        <f t="shared" si="1"/>
        <v>0</v>
      </c>
      <c r="L15" s="457">
        <f t="shared" ca="1" si="1"/>
        <v>0</v>
      </c>
      <c r="M15" s="457">
        <f t="shared" si="1"/>
        <v>38366.979807931864</v>
      </c>
      <c r="N15" s="457">
        <f t="shared" ca="1" si="1"/>
        <v>56399.086009399522</v>
      </c>
      <c r="O15" s="457">
        <f t="shared" si="1"/>
        <v>936.17774042017334</v>
      </c>
      <c r="P15" s="457">
        <f t="shared" si="1"/>
        <v>3357.8505127448507</v>
      </c>
      <c r="Q15" s="457">
        <f t="shared" ca="1" si="1"/>
        <v>2292810.4558161874</v>
      </c>
    </row>
    <row r="17" spans="1:17">
      <c r="A17" s="459" t="s">
        <v>532</v>
      </c>
      <c r="B17" s="776">
        <f ca="1">huishoudens!B10</f>
        <v>0.21315045723459064</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23402.313493026908</v>
      </c>
      <c r="C22" s="447">
        <f t="shared" ref="C22:C32" ca="1" si="3">C4*$C$17</f>
        <v>0</v>
      </c>
      <c r="D22" s="447">
        <f t="shared" ref="D22:D32" si="4">D4*$D$17</f>
        <v>73278.207952750003</v>
      </c>
      <c r="E22" s="447">
        <f t="shared" ref="E22:E32" si="5">E4*$E$17</f>
        <v>1096.7915413925787</v>
      </c>
      <c r="F22" s="447">
        <f t="shared" ref="F22:F32" si="6">F4*$F$17</f>
        <v>28260.808330116477</v>
      </c>
      <c r="G22" s="447">
        <f t="shared" ref="G22:G32" si="7">G4*$G$17</f>
        <v>0</v>
      </c>
      <c r="H22" s="447">
        <f t="shared" ref="H22:H32" si="8">H4*$H$17</f>
        <v>0</v>
      </c>
      <c r="I22" s="447">
        <f t="shared" ref="I22:I32" si="9">I4*$I$17</f>
        <v>0</v>
      </c>
      <c r="J22" s="447">
        <f t="shared" ref="J22:J32" si="10">J4*$J$17</f>
        <v>213.54213083561717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126251.66344812159</v>
      </c>
    </row>
    <row r="23" spans="1:17">
      <c r="A23" s="446" t="s">
        <v>149</v>
      </c>
      <c r="B23" s="447">
        <f t="shared" ca="1" si="2"/>
        <v>42548.331941425255</v>
      </c>
      <c r="C23" s="447">
        <f t="shared" ca="1" si="3"/>
        <v>30.554621848739501</v>
      </c>
      <c r="D23" s="447">
        <f t="shared" ca="1" si="4"/>
        <v>46184.25500009059</v>
      </c>
      <c r="E23" s="447">
        <f t="shared" si="5"/>
        <v>136.36679935571198</v>
      </c>
      <c r="F23" s="447">
        <f t="shared" ca="1" si="6"/>
        <v>8829.8215834665134</v>
      </c>
      <c r="G23" s="447">
        <f t="shared" si="7"/>
        <v>0</v>
      </c>
      <c r="H23" s="447">
        <f t="shared" si="8"/>
        <v>0</v>
      </c>
      <c r="I23" s="447">
        <f t="shared" si="9"/>
        <v>0</v>
      </c>
      <c r="J23" s="447">
        <f t="shared" si="10"/>
        <v>6.6455762545149899E-2</v>
      </c>
      <c r="K23" s="447">
        <f t="shared" si="11"/>
        <v>0</v>
      </c>
      <c r="L23" s="447">
        <f t="shared" ca="1" si="12"/>
        <v>0</v>
      </c>
      <c r="M23" s="447">
        <f t="shared" si="13"/>
        <v>0</v>
      </c>
      <c r="N23" s="447">
        <f t="shared" ca="1" si="14"/>
        <v>0</v>
      </c>
      <c r="O23" s="447">
        <f t="shared" si="15"/>
        <v>0</v>
      </c>
      <c r="P23" s="448">
        <f t="shared" si="16"/>
        <v>0</v>
      </c>
      <c r="Q23" s="446">
        <f t="shared" ref="Q23:Q31" ca="1" si="17">SUM(B23:P23)</f>
        <v>97729.396401949358</v>
      </c>
    </row>
    <row r="24" spans="1:17">
      <c r="A24" s="446" t="s">
        <v>187</v>
      </c>
      <c r="B24" s="447">
        <f t="shared" ca="1" si="2"/>
        <v>765.23593267750584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765.23593267750584</v>
      </c>
    </row>
    <row r="25" spans="1:17">
      <c r="A25" s="446" t="s">
        <v>105</v>
      </c>
      <c r="B25" s="447">
        <f t="shared" ca="1" si="2"/>
        <v>228.12989195437493</v>
      </c>
      <c r="C25" s="447">
        <f t="shared" ca="1" si="3"/>
        <v>0</v>
      </c>
      <c r="D25" s="447">
        <f t="shared" si="4"/>
        <v>299.54520526479371</v>
      </c>
      <c r="E25" s="447">
        <f t="shared" si="5"/>
        <v>6.9585773368465871</v>
      </c>
      <c r="F25" s="447">
        <f t="shared" si="6"/>
        <v>904.58052417639408</v>
      </c>
      <c r="G25" s="447">
        <f t="shared" si="7"/>
        <v>0</v>
      </c>
      <c r="H25" s="447">
        <f t="shared" si="8"/>
        <v>0</v>
      </c>
      <c r="I25" s="447">
        <f t="shared" si="9"/>
        <v>0</v>
      </c>
      <c r="J25" s="447">
        <f t="shared" si="10"/>
        <v>96.33673336715195</v>
      </c>
      <c r="K25" s="447">
        <f t="shared" si="11"/>
        <v>0</v>
      </c>
      <c r="L25" s="447">
        <f t="shared" si="12"/>
        <v>0</v>
      </c>
      <c r="M25" s="447">
        <f t="shared" si="13"/>
        <v>0</v>
      </c>
      <c r="N25" s="447">
        <f t="shared" si="14"/>
        <v>0</v>
      </c>
      <c r="O25" s="447">
        <f t="shared" si="15"/>
        <v>0</v>
      </c>
      <c r="P25" s="448">
        <f t="shared" si="16"/>
        <v>0</v>
      </c>
      <c r="Q25" s="446">
        <f t="shared" ca="1" si="17"/>
        <v>1535.5509320995614</v>
      </c>
    </row>
    <row r="26" spans="1:17">
      <c r="A26" s="446" t="s">
        <v>611</v>
      </c>
      <c r="B26" s="447">
        <f t="shared" ca="1" si="2"/>
        <v>38031.519653698815</v>
      </c>
      <c r="C26" s="447">
        <f t="shared" ca="1" si="3"/>
        <v>5133.176470588236</v>
      </c>
      <c r="D26" s="447">
        <f t="shared" si="4"/>
        <v>49377.729955279479</v>
      </c>
      <c r="E26" s="447">
        <f t="shared" si="5"/>
        <v>2922.8046956497501</v>
      </c>
      <c r="F26" s="447">
        <f t="shared" si="6"/>
        <v>5114.3632367048613</v>
      </c>
      <c r="G26" s="447">
        <f t="shared" si="7"/>
        <v>0</v>
      </c>
      <c r="H26" s="447">
        <f t="shared" si="8"/>
        <v>0</v>
      </c>
      <c r="I26" s="447">
        <f t="shared" si="9"/>
        <v>0</v>
      </c>
      <c r="J26" s="447">
        <f t="shared" si="10"/>
        <v>9.3595545215135409</v>
      </c>
      <c r="K26" s="447">
        <f t="shared" si="11"/>
        <v>0</v>
      </c>
      <c r="L26" s="447">
        <f t="shared" si="12"/>
        <v>0</v>
      </c>
      <c r="M26" s="447">
        <f t="shared" si="13"/>
        <v>0</v>
      </c>
      <c r="N26" s="447">
        <f t="shared" si="14"/>
        <v>0</v>
      </c>
      <c r="O26" s="447">
        <f t="shared" si="15"/>
        <v>0</v>
      </c>
      <c r="P26" s="448">
        <f t="shared" si="16"/>
        <v>0</v>
      </c>
      <c r="Q26" s="446">
        <f t="shared" ca="1" si="17"/>
        <v>100588.95356644265</v>
      </c>
    </row>
    <row r="27" spans="1:17" s="452" customFormat="1">
      <c r="A27" s="450" t="s">
        <v>537</v>
      </c>
      <c r="B27" s="770">
        <f t="shared" ca="1" si="2"/>
        <v>349.98451607187502</v>
      </c>
      <c r="C27" s="451">
        <f t="shared" ca="1" si="3"/>
        <v>0</v>
      </c>
      <c r="D27" s="451">
        <f t="shared" si="4"/>
        <v>532.21729694783016</v>
      </c>
      <c r="E27" s="451">
        <f t="shared" si="5"/>
        <v>259.19308196961362</v>
      </c>
      <c r="F27" s="451">
        <f t="shared" si="6"/>
        <v>0</v>
      </c>
      <c r="G27" s="451">
        <f t="shared" si="7"/>
        <v>132374.79492067586</v>
      </c>
      <c r="H27" s="451">
        <f t="shared" si="8"/>
        <v>32856.49331061924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166372.68312628442</v>
      </c>
    </row>
    <row r="28" spans="1:17" ht="16.5" customHeight="1">
      <c r="A28" s="446" t="s">
        <v>527</v>
      </c>
      <c r="B28" s="447">
        <f t="shared" ca="1" si="2"/>
        <v>32.344042080842215</v>
      </c>
      <c r="C28" s="447">
        <f t="shared" ca="1" si="3"/>
        <v>0</v>
      </c>
      <c r="D28" s="447">
        <f t="shared" si="4"/>
        <v>0</v>
      </c>
      <c r="E28" s="447">
        <f t="shared" si="5"/>
        <v>0</v>
      </c>
      <c r="F28" s="447">
        <f t="shared" si="6"/>
        <v>0</v>
      </c>
      <c r="G28" s="447">
        <f t="shared" si="7"/>
        <v>2536.3815925742133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2568.7256346550557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1123.1444333934385</v>
      </c>
      <c r="C32" s="447">
        <f t="shared" ca="1" si="3"/>
        <v>0</v>
      </c>
      <c r="D32" s="447">
        <f t="shared" si="4"/>
        <v>2711.4113640041483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3834.5557973975865</v>
      </c>
    </row>
    <row r="33" spans="1:17" s="458" customFormat="1">
      <c r="A33" s="456" t="s">
        <v>531</v>
      </c>
      <c r="B33" s="457">
        <f ca="1">SUM(B22:B32)</f>
        <v>106481.003904329</v>
      </c>
      <c r="C33" s="457">
        <f t="shared" ref="C33:Q33" ca="1" si="19">SUM(C22:C32)</f>
        <v>5163.7310924369758</v>
      </c>
      <c r="D33" s="457">
        <f t="shared" ca="1" si="19"/>
        <v>172383.36677433687</v>
      </c>
      <c r="E33" s="457">
        <f t="shared" si="19"/>
        <v>4422.1146957045003</v>
      </c>
      <c r="F33" s="457">
        <f t="shared" ca="1" si="19"/>
        <v>43109.573674464249</v>
      </c>
      <c r="G33" s="457">
        <f t="shared" si="19"/>
        <v>134911.17651325007</v>
      </c>
      <c r="H33" s="457">
        <f t="shared" si="19"/>
        <v>32856.49331061924</v>
      </c>
      <c r="I33" s="457">
        <f t="shared" si="19"/>
        <v>0</v>
      </c>
      <c r="J33" s="457">
        <f t="shared" si="19"/>
        <v>319.30487448682783</v>
      </c>
      <c r="K33" s="457">
        <f t="shared" si="19"/>
        <v>0</v>
      </c>
      <c r="L33" s="457">
        <f t="shared" ca="1" si="19"/>
        <v>0</v>
      </c>
      <c r="M33" s="457">
        <f t="shared" si="19"/>
        <v>0</v>
      </c>
      <c r="N33" s="457">
        <f t="shared" ca="1" si="19"/>
        <v>0</v>
      </c>
      <c r="O33" s="457">
        <f t="shared" si="19"/>
        <v>0</v>
      </c>
      <c r="P33" s="457">
        <f t="shared" si="19"/>
        <v>0</v>
      </c>
      <c r="Q33" s="457">
        <f t="shared" ca="1" si="19"/>
        <v>499646.76483962766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18889.154750348996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15210</v>
      </c>
      <c r="D8" s="1014">
        <f>'SEAP template'!D76</f>
        <v>17894.117647058825</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3614.6117647058827</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18889.154750348996</v>
      </c>
      <c r="C10" s="1016">
        <f>SUM(C4:C9)</f>
        <v>15210</v>
      </c>
      <c r="D10" s="1016">
        <f t="shared" ref="D10:H10" si="0">SUM(D8:D9)</f>
        <v>17894.117647058825</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3614.6117647058827</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0.21315045723459064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21728.571428571428</v>
      </c>
      <c r="D17" s="1015">
        <f>'SEAP template'!D87</f>
        <v>25563.025210084033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5163.7310924369749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21728.571428571428</v>
      </c>
      <c r="D20" s="1016">
        <f t="shared" ref="D20:H20" si="2">SUM(D17:D19)</f>
        <v>25563.025210084033</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5163.7310924369749</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0.21315045723459064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0.21315045723459064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0.21315045723459064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36577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1891.34</v>
      </c>
      <c r="C14" s="326"/>
      <c r="D14" s="326"/>
      <c r="E14" s="326"/>
      <c r="F14" s="326"/>
    </row>
    <row r="15" spans="1:6">
      <c r="A15" s="1310" t="s">
        <v>177</v>
      </c>
      <c r="B15" s="1311">
        <v>8</v>
      </c>
      <c r="C15" s="326"/>
      <c r="D15" s="326"/>
      <c r="E15" s="326"/>
      <c r="F15" s="326"/>
    </row>
    <row r="16" spans="1:6">
      <c r="A16" s="1310" t="s">
        <v>6</v>
      </c>
      <c r="B16" s="1311">
        <v>159</v>
      </c>
      <c r="C16" s="326"/>
      <c r="D16" s="326"/>
      <c r="E16" s="326"/>
      <c r="F16" s="326"/>
    </row>
    <row r="17" spans="1:6">
      <c r="A17" s="1310" t="s">
        <v>7</v>
      </c>
      <c r="B17" s="1311">
        <v>350</v>
      </c>
      <c r="C17" s="326"/>
      <c r="D17" s="326"/>
      <c r="E17" s="326"/>
      <c r="F17" s="326"/>
    </row>
    <row r="18" spans="1:6">
      <c r="A18" s="1310" t="s">
        <v>8</v>
      </c>
      <c r="B18" s="1311">
        <v>405</v>
      </c>
      <c r="C18" s="326"/>
      <c r="D18" s="326"/>
      <c r="E18" s="326"/>
      <c r="F18" s="326"/>
    </row>
    <row r="19" spans="1:6">
      <c r="A19" s="1310" t="s">
        <v>9</v>
      </c>
      <c r="B19" s="1311">
        <v>308</v>
      </c>
      <c r="C19" s="326"/>
      <c r="D19" s="326"/>
      <c r="E19" s="326"/>
      <c r="F19" s="326"/>
    </row>
    <row r="20" spans="1:6">
      <c r="A20" s="1310" t="s">
        <v>10</v>
      </c>
      <c r="B20" s="1311">
        <v>420</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299</v>
      </c>
      <c r="C26" s="326"/>
      <c r="D26" s="326"/>
      <c r="E26" s="326"/>
      <c r="F26" s="326"/>
    </row>
    <row r="27" spans="1:6">
      <c r="A27" s="1310" t="s">
        <v>17</v>
      </c>
      <c r="B27" s="1311">
        <v>0</v>
      </c>
      <c r="C27" s="326"/>
      <c r="D27" s="326"/>
      <c r="E27" s="326"/>
      <c r="F27" s="326"/>
    </row>
    <row r="28" spans="1:6">
      <c r="A28" s="1310" t="s">
        <v>18</v>
      </c>
      <c r="B28" s="1312">
        <v>4</v>
      </c>
      <c r="C28" s="326"/>
      <c r="D28" s="326"/>
      <c r="E28" s="326"/>
      <c r="F28" s="326"/>
    </row>
    <row r="29" spans="1:6">
      <c r="A29" s="1310" t="s">
        <v>678</v>
      </c>
      <c r="B29" s="1312">
        <v>326</v>
      </c>
      <c r="C29" s="326"/>
      <c r="D29" s="326"/>
      <c r="E29" s="326"/>
      <c r="F29" s="326"/>
    </row>
    <row r="30" spans="1:6">
      <c r="A30" s="1305" t="s">
        <v>679</v>
      </c>
      <c r="B30" s="1313">
        <v>67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12</v>
      </c>
      <c r="D36" s="1311">
        <v>2366460.3138116901</v>
      </c>
      <c r="E36" s="1311">
        <v>15</v>
      </c>
      <c r="F36" s="1311">
        <v>2282125.9593384098</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8904.8631936000002</v>
      </c>
    </row>
    <row r="39" spans="1:6">
      <c r="A39" s="1310" t="s">
        <v>29</v>
      </c>
      <c r="B39" s="1310" t="s">
        <v>30</v>
      </c>
      <c r="C39" s="1311">
        <v>30254</v>
      </c>
      <c r="D39" s="1311">
        <v>401731346.29754502</v>
      </c>
      <c r="E39" s="1311">
        <v>36897</v>
      </c>
      <c r="F39" s="1311">
        <v>98516281.7076727</v>
      </c>
    </row>
    <row r="40" spans="1:6">
      <c r="A40" s="1310" t="s">
        <v>29</v>
      </c>
      <c r="B40" s="1310" t="s">
        <v>28</v>
      </c>
      <c r="C40" s="1311">
        <v>0</v>
      </c>
      <c r="D40" s="1311">
        <v>0</v>
      </c>
      <c r="E40" s="1311">
        <v>1</v>
      </c>
      <c r="F40" s="1311">
        <v>2869.5608386560002</v>
      </c>
    </row>
    <row r="41" spans="1:6">
      <c r="A41" s="1310" t="s">
        <v>31</v>
      </c>
      <c r="B41" s="1310" t="s">
        <v>32</v>
      </c>
      <c r="C41" s="1311">
        <v>257</v>
      </c>
      <c r="D41" s="1311">
        <v>16259177.8598129</v>
      </c>
      <c r="E41" s="1311">
        <v>515</v>
      </c>
      <c r="F41" s="1311">
        <v>26579514.323413201</v>
      </c>
    </row>
    <row r="42" spans="1:6">
      <c r="A42" s="1310" t="s">
        <v>31</v>
      </c>
      <c r="B42" s="1310" t="s">
        <v>33</v>
      </c>
      <c r="C42" s="1311">
        <v>5</v>
      </c>
      <c r="D42" s="1311">
        <v>49192107.219975397</v>
      </c>
      <c r="E42" s="1311">
        <v>8</v>
      </c>
      <c r="F42" s="1311">
        <v>60461881.742063597</v>
      </c>
    </row>
    <row r="43" spans="1:6">
      <c r="A43" s="1310" t="s">
        <v>31</v>
      </c>
      <c r="B43" s="1310" t="s">
        <v>34</v>
      </c>
      <c r="C43" s="1311">
        <v>0</v>
      </c>
      <c r="D43" s="1311">
        <v>0</v>
      </c>
      <c r="E43" s="1311">
        <v>0</v>
      </c>
      <c r="F43" s="1311">
        <v>0</v>
      </c>
    </row>
    <row r="44" spans="1:6">
      <c r="A44" s="1310" t="s">
        <v>31</v>
      </c>
      <c r="B44" s="1310" t="s">
        <v>35</v>
      </c>
      <c r="C44" s="1311">
        <v>44</v>
      </c>
      <c r="D44" s="1311">
        <v>15016327.922271401</v>
      </c>
      <c r="E44" s="1311">
        <v>66</v>
      </c>
      <c r="F44" s="1311">
        <v>7954279.4891898297</v>
      </c>
    </row>
    <row r="45" spans="1:6">
      <c r="A45" s="1310" t="s">
        <v>31</v>
      </c>
      <c r="B45" s="1310" t="s">
        <v>36</v>
      </c>
      <c r="C45" s="1311">
        <v>5</v>
      </c>
      <c r="D45" s="1311">
        <v>97024.429837455202</v>
      </c>
      <c r="E45" s="1311">
        <v>10</v>
      </c>
      <c r="F45" s="1311">
        <v>429023.345744305</v>
      </c>
    </row>
    <row r="46" spans="1:6">
      <c r="A46" s="1310" t="s">
        <v>31</v>
      </c>
      <c r="B46" s="1310" t="s">
        <v>37</v>
      </c>
      <c r="C46" s="1311">
        <v>0</v>
      </c>
      <c r="D46" s="1311">
        <v>0</v>
      </c>
      <c r="E46" s="1311">
        <v>0</v>
      </c>
      <c r="F46" s="1311">
        <v>0</v>
      </c>
    </row>
    <row r="47" spans="1:6">
      <c r="A47" s="1310" t="s">
        <v>31</v>
      </c>
      <c r="B47" s="1310" t="s">
        <v>38</v>
      </c>
      <c r="C47" s="1311">
        <v>24</v>
      </c>
      <c r="D47" s="1311">
        <v>8490883.7643643003</v>
      </c>
      <c r="E47" s="1311">
        <v>35</v>
      </c>
      <c r="F47" s="1311">
        <v>18421215.569939099</v>
      </c>
    </row>
    <row r="48" spans="1:6">
      <c r="A48" s="1310" t="s">
        <v>31</v>
      </c>
      <c r="B48" s="1310" t="s">
        <v>28</v>
      </c>
      <c r="C48" s="1311">
        <v>1</v>
      </c>
      <c r="D48" s="1311">
        <v>144377.34379939301</v>
      </c>
      <c r="E48" s="1311">
        <v>1</v>
      </c>
      <c r="F48" s="1311">
        <v>170694.70245319</v>
      </c>
    </row>
    <row r="49" spans="1:6">
      <c r="A49" s="1310" t="s">
        <v>31</v>
      </c>
      <c r="B49" s="1310" t="s">
        <v>39</v>
      </c>
      <c r="C49" s="1311">
        <v>10</v>
      </c>
      <c r="D49" s="1311">
        <v>243188.961432307</v>
      </c>
      <c r="E49" s="1311">
        <v>13</v>
      </c>
      <c r="F49" s="1311">
        <v>80986.897107698605</v>
      </c>
    </row>
    <row r="50" spans="1:6">
      <c r="A50" s="1310" t="s">
        <v>31</v>
      </c>
      <c r="B50" s="1310" t="s">
        <v>40</v>
      </c>
      <c r="C50" s="1311">
        <v>56</v>
      </c>
      <c r="D50" s="1311">
        <v>229099778.167835</v>
      </c>
      <c r="E50" s="1311">
        <v>81</v>
      </c>
      <c r="F50" s="1311">
        <v>49208104.475698598</v>
      </c>
    </row>
    <row r="51" spans="1:6">
      <c r="A51" s="1310" t="s">
        <v>41</v>
      </c>
      <c r="B51" s="1310" t="s">
        <v>42</v>
      </c>
      <c r="C51" s="1311">
        <v>30</v>
      </c>
      <c r="D51" s="1311">
        <v>1642189.4305274701</v>
      </c>
      <c r="E51" s="1311">
        <v>151</v>
      </c>
      <c r="F51" s="1311">
        <v>1070276.34335918</v>
      </c>
    </row>
    <row r="52" spans="1:6">
      <c r="A52" s="1310" t="s">
        <v>41</v>
      </c>
      <c r="B52" s="1310" t="s">
        <v>28</v>
      </c>
      <c r="C52" s="1311">
        <v>0</v>
      </c>
      <c r="D52" s="1311">
        <v>0</v>
      </c>
      <c r="E52" s="1311">
        <v>0</v>
      </c>
      <c r="F52" s="1311">
        <v>0</v>
      </c>
    </row>
    <row r="53" spans="1:6">
      <c r="A53" s="1310" t="s">
        <v>43</v>
      </c>
      <c r="B53" s="1310" t="s">
        <v>44</v>
      </c>
      <c r="C53" s="1311">
        <v>702</v>
      </c>
      <c r="D53" s="1311">
        <v>13422828.534674</v>
      </c>
      <c r="E53" s="1311">
        <v>1366</v>
      </c>
      <c r="F53" s="1311">
        <v>5269256.5053112702</v>
      </c>
    </row>
    <row r="54" spans="1:6">
      <c r="A54" s="1310" t="s">
        <v>45</v>
      </c>
      <c r="B54" s="1310" t="s">
        <v>46</v>
      </c>
      <c r="C54" s="1311">
        <v>0</v>
      </c>
      <c r="D54" s="1311">
        <v>0</v>
      </c>
      <c r="E54" s="1311">
        <v>1</v>
      </c>
      <c r="F54" s="1311">
        <v>3590121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444</v>
      </c>
      <c r="D57" s="1311">
        <v>46885412.618048102</v>
      </c>
      <c r="E57" s="1311">
        <v>694</v>
      </c>
      <c r="F57" s="1311">
        <v>18560900.546230301</v>
      </c>
    </row>
    <row r="58" spans="1:6">
      <c r="A58" s="1310" t="s">
        <v>48</v>
      </c>
      <c r="B58" s="1310" t="s">
        <v>50</v>
      </c>
      <c r="C58" s="1311">
        <v>260</v>
      </c>
      <c r="D58" s="1311">
        <v>26554186.885170501</v>
      </c>
      <c r="E58" s="1311">
        <v>430</v>
      </c>
      <c r="F58" s="1311">
        <v>19307036.638905399</v>
      </c>
    </row>
    <row r="59" spans="1:6">
      <c r="A59" s="1310" t="s">
        <v>48</v>
      </c>
      <c r="B59" s="1310" t="s">
        <v>51</v>
      </c>
      <c r="C59" s="1311">
        <v>713</v>
      </c>
      <c r="D59" s="1311">
        <v>39628588.7367208</v>
      </c>
      <c r="E59" s="1311">
        <v>1121</v>
      </c>
      <c r="F59" s="1311">
        <v>42075405.605633996</v>
      </c>
    </row>
    <row r="60" spans="1:6">
      <c r="A60" s="1310" t="s">
        <v>48</v>
      </c>
      <c r="B60" s="1310" t="s">
        <v>52</v>
      </c>
      <c r="C60" s="1311">
        <v>381</v>
      </c>
      <c r="D60" s="1311">
        <v>26438604.9982359</v>
      </c>
      <c r="E60" s="1311">
        <v>453</v>
      </c>
      <c r="F60" s="1311">
        <v>15747633.353817699</v>
      </c>
    </row>
    <row r="61" spans="1:6">
      <c r="A61" s="1310" t="s">
        <v>48</v>
      </c>
      <c r="B61" s="1310" t="s">
        <v>53</v>
      </c>
      <c r="C61" s="1311">
        <v>1313</v>
      </c>
      <c r="D61" s="1311">
        <v>89345382.711997405</v>
      </c>
      <c r="E61" s="1311">
        <v>2820</v>
      </c>
      <c r="F61" s="1311">
        <v>99749360.242760003</v>
      </c>
    </row>
    <row r="62" spans="1:6">
      <c r="A62" s="1310" t="s">
        <v>48</v>
      </c>
      <c r="B62" s="1310" t="s">
        <v>54</v>
      </c>
      <c r="C62" s="1311">
        <v>126</v>
      </c>
      <c r="D62" s="1311">
        <v>24627412.754329599</v>
      </c>
      <c r="E62" s="1311">
        <v>89</v>
      </c>
      <c r="F62" s="1311">
        <v>4086087.1167180901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3</v>
      </c>
      <c r="D66" s="1311">
        <v>307925.32530539198</v>
      </c>
      <c r="E66" s="1311">
        <v>60</v>
      </c>
      <c r="F66" s="1311">
        <v>2185959.4794115201</v>
      </c>
    </row>
    <row r="67" spans="1:6">
      <c r="A67" s="1310" t="s">
        <v>55</v>
      </c>
      <c r="B67" s="1310" t="s">
        <v>58</v>
      </c>
      <c r="C67" s="1311">
        <v>0</v>
      </c>
      <c r="D67" s="1311">
        <v>0</v>
      </c>
      <c r="E67" s="1311">
        <v>0</v>
      </c>
      <c r="F67" s="1311">
        <v>0</v>
      </c>
    </row>
    <row r="68" spans="1:6">
      <c r="A68" s="1305" t="s">
        <v>55</v>
      </c>
      <c r="B68" s="1305" t="s">
        <v>59</v>
      </c>
      <c r="C68" s="1313">
        <v>31</v>
      </c>
      <c r="D68" s="1313">
        <v>2450728.0104820798</v>
      </c>
      <c r="E68" s="1313">
        <v>50</v>
      </c>
      <c r="F68" s="1313">
        <v>2752051.5770358802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308845832</v>
      </c>
      <c r="E73" s="445"/>
      <c r="F73" s="326"/>
    </row>
    <row r="74" spans="1:6">
      <c r="A74" s="1310" t="s">
        <v>63</v>
      </c>
      <c r="B74" s="1310" t="s">
        <v>632</v>
      </c>
      <c r="C74" s="1323" t="s">
        <v>634</v>
      </c>
      <c r="D74" s="1311">
        <v>19279230.360757001</v>
      </c>
      <c r="E74" s="445"/>
      <c r="F74" s="326"/>
    </row>
    <row r="75" spans="1:6">
      <c r="A75" s="1310" t="s">
        <v>64</v>
      </c>
      <c r="B75" s="1310" t="s">
        <v>631</v>
      </c>
      <c r="C75" s="1323" t="s">
        <v>635</v>
      </c>
      <c r="D75" s="1311">
        <v>77569309</v>
      </c>
      <c r="E75" s="445"/>
      <c r="F75" s="326"/>
    </row>
    <row r="76" spans="1:6">
      <c r="A76" s="1310" t="s">
        <v>64</v>
      </c>
      <c r="B76" s="1310" t="s">
        <v>632</v>
      </c>
      <c r="C76" s="1323" t="s">
        <v>636</v>
      </c>
      <c r="D76" s="1311">
        <v>2382801.3607569998</v>
      </c>
      <c r="E76" s="445"/>
      <c r="F76" s="326"/>
    </row>
    <row r="77" spans="1:6">
      <c r="A77" s="1310" t="s">
        <v>65</v>
      </c>
      <c r="B77" s="1310" t="s">
        <v>631</v>
      </c>
      <c r="C77" s="1323" t="s">
        <v>637</v>
      </c>
      <c r="D77" s="1311">
        <v>368123058</v>
      </c>
      <c r="E77" s="445"/>
      <c r="F77" s="326"/>
    </row>
    <row r="78" spans="1:6">
      <c r="A78" s="1305" t="s">
        <v>65</v>
      </c>
      <c r="B78" s="1305" t="s">
        <v>632</v>
      </c>
      <c r="C78" s="1305" t="s">
        <v>638</v>
      </c>
      <c r="D78" s="1313">
        <v>44854561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2830333.2784859999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11273.310810378889</v>
      </c>
      <c r="C91" s="326"/>
      <c r="D91" s="326"/>
      <c r="E91" s="326"/>
      <c r="F91" s="326"/>
    </row>
    <row r="92" spans="1:6">
      <c r="A92" s="1305" t="s">
        <v>68</v>
      </c>
      <c r="B92" s="1306">
        <v>7615.8439399701065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22345</v>
      </c>
      <c r="C97" s="326"/>
      <c r="D97" s="326"/>
      <c r="E97" s="326"/>
      <c r="F97" s="326"/>
    </row>
    <row r="98" spans="1:6">
      <c r="A98" s="1310" t="s">
        <v>71</v>
      </c>
      <c r="B98" s="1311">
        <v>44</v>
      </c>
      <c r="C98" s="326"/>
      <c r="D98" s="326"/>
      <c r="E98" s="326"/>
      <c r="F98" s="326"/>
    </row>
    <row r="99" spans="1:6">
      <c r="A99" s="1310" t="s">
        <v>72</v>
      </c>
      <c r="B99" s="1311">
        <v>106</v>
      </c>
      <c r="C99" s="326"/>
      <c r="D99" s="326"/>
      <c r="E99" s="326"/>
      <c r="F99" s="326"/>
    </row>
    <row r="100" spans="1:6">
      <c r="A100" s="1310" t="s">
        <v>73</v>
      </c>
      <c r="B100" s="1311">
        <v>1577</v>
      </c>
      <c r="C100" s="326"/>
      <c r="D100" s="326"/>
      <c r="E100" s="326"/>
      <c r="F100" s="326"/>
    </row>
    <row r="101" spans="1:6">
      <c r="A101" s="1310" t="s">
        <v>74</v>
      </c>
      <c r="B101" s="1311">
        <v>147</v>
      </c>
      <c r="C101" s="326"/>
      <c r="D101" s="326"/>
      <c r="E101" s="326"/>
      <c r="F101" s="326"/>
    </row>
    <row r="102" spans="1:6">
      <c r="A102" s="1310" t="s">
        <v>75</v>
      </c>
      <c r="B102" s="1311">
        <v>648</v>
      </c>
      <c r="C102" s="326"/>
      <c r="D102" s="326"/>
      <c r="E102" s="326"/>
      <c r="F102" s="326"/>
    </row>
    <row r="103" spans="1:6">
      <c r="A103" s="1310" t="s">
        <v>76</v>
      </c>
      <c r="B103" s="1311">
        <v>662</v>
      </c>
      <c r="C103" s="326"/>
      <c r="D103" s="326"/>
      <c r="E103" s="326"/>
      <c r="F103" s="326"/>
    </row>
    <row r="104" spans="1:6">
      <c r="A104" s="1310" t="s">
        <v>77</v>
      </c>
      <c r="B104" s="1311">
        <v>5761</v>
      </c>
      <c r="C104" s="326"/>
      <c r="D104" s="326"/>
      <c r="E104" s="326"/>
      <c r="F104" s="326"/>
    </row>
    <row r="105" spans="1:6">
      <c r="A105" s="1305" t="s">
        <v>78</v>
      </c>
      <c r="B105" s="1313">
        <v>35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6</v>
      </c>
      <c r="C121" s="1311">
        <v>0</v>
      </c>
      <c r="D121" s="326"/>
      <c r="E121" s="326"/>
      <c r="F121" s="326"/>
    </row>
    <row r="122" spans="1:6">
      <c r="A122" s="1310" t="s">
        <v>86</v>
      </c>
      <c r="B122" s="1311">
        <v>3</v>
      </c>
      <c r="C122" s="1311">
        <v>0</v>
      </c>
      <c r="D122" s="326"/>
      <c r="E122" s="326"/>
      <c r="F122" s="326"/>
    </row>
    <row r="123" spans="1:6">
      <c r="A123" s="1310" t="s">
        <v>87</v>
      </c>
      <c r="B123" s="1311">
        <v>161</v>
      </c>
      <c r="C123" s="1311">
        <v>103</v>
      </c>
      <c r="D123" s="326"/>
      <c r="E123" s="326"/>
      <c r="F123" s="326"/>
    </row>
    <row r="124" spans="1:6">
      <c r="A124" s="1310" t="s">
        <v>88</v>
      </c>
      <c r="B124" s="1311">
        <v>3</v>
      </c>
      <c r="C124" s="1311">
        <v>0</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359</v>
      </c>
      <c r="C129" s="326"/>
      <c r="D129" s="326"/>
      <c r="E129" s="326"/>
      <c r="F129" s="326"/>
    </row>
    <row r="130" spans="1:6">
      <c r="A130" s="1310" t="s">
        <v>284</v>
      </c>
      <c r="B130" s="1311">
        <v>4</v>
      </c>
      <c r="C130" s="326"/>
      <c r="D130" s="326"/>
      <c r="E130" s="326"/>
      <c r="F130" s="326"/>
    </row>
    <row r="131" spans="1:6">
      <c r="A131" s="1310" t="s">
        <v>285</v>
      </c>
      <c r="B131" s="1311">
        <v>9</v>
      </c>
      <c r="C131" s="326"/>
      <c r="D131" s="326"/>
      <c r="E131" s="326"/>
      <c r="F131" s="326"/>
    </row>
    <row r="132" spans="1:6">
      <c r="A132" s="1305" t="s">
        <v>286</v>
      </c>
      <c r="B132" s="1306">
        <v>60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499557.94271244464</v>
      </c>
      <c r="C3" s="43" t="s">
        <v>163</v>
      </c>
      <c r="D3" s="43"/>
      <c r="E3" s="154"/>
      <c r="F3" s="43"/>
      <c r="G3" s="43"/>
      <c r="H3" s="43"/>
      <c r="I3" s="43"/>
      <c r="J3" s="43"/>
      <c r="K3" s="96"/>
    </row>
    <row r="4" spans="1:11">
      <c r="A4" s="352" t="s">
        <v>164</v>
      </c>
      <c r="B4" s="49">
        <f>IF(ISERROR('SEAP template'!B78+'SEAP template'!C78),0,'SEAP template'!B78+'SEAP template'!C78)</f>
        <v>34099.154750349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3614.6117647058827</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0.21315045723459064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5163.7310924369749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21728.571428571428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3590.1210000000001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3590.1210000000001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0.21315045723459064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765.23593267750584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98519.151268511356</v>
      </c>
      <c r="C5" s="17">
        <f>IF(ISERROR('Eigen informatie GS &amp; warmtenet'!B59),0,'Eigen informatie GS &amp; warmtenet'!B59)</f>
        <v>0</v>
      </c>
      <c r="D5" s="30">
        <f>(SUM(HH_hh_gas_kWh,HH_rest_gas_kWh)/1000)*0.903</f>
        <v>362763.40570668317</v>
      </c>
      <c r="E5" s="17">
        <f>B32*B41</f>
        <v>4831.6807990862499</v>
      </c>
      <c r="F5" s="17">
        <f>B36*B45</f>
        <v>105845.72408283324</v>
      </c>
      <c r="G5" s="18"/>
      <c r="H5" s="17"/>
      <c r="I5" s="17"/>
      <c r="J5" s="17">
        <f>B35*B44+C35*C44</f>
        <v>603.22635829270394</v>
      </c>
      <c r="K5" s="17"/>
      <c r="L5" s="17"/>
      <c r="M5" s="17"/>
      <c r="N5" s="17">
        <f>B34*B43+C34*C43</f>
        <v>45528.315690844298</v>
      </c>
      <c r="O5" s="17">
        <f>B52*B53*B54</f>
        <v>916.58869735680867</v>
      </c>
      <c r="P5" s="17">
        <f>B60*B61*B62/1000-B60*B61*B62/1000/B63</f>
        <v>2359.6068849214453</v>
      </c>
    </row>
    <row r="6" spans="1:16">
      <c r="A6" s="16" t="s">
        <v>597</v>
      </c>
      <c r="B6" s="778">
        <f>kWh_PV_kleiner_dan_10kW</f>
        <v>11273.310810378889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109792.46207889024</v>
      </c>
      <c r="C8" s="21">
        <f>C5</f>
        <v>0</v>
      </c>
      <c r="D8" s="21">
        <f>D5</f>
        <v>362763.40570668317</v>
      </c>
      <c r="E8" s="21">
        <f>E5</f>
        <v>4831.6807990862499</v>
      </c>
      <c r="F8" s="21">
        <f>F5</f>
        <v>105845.72408283324</v>
      </c>
      <c r="G8" s="21"/>
      <c r="H8" s="21"/>
      <c r="I8" s="21"/>
      <c r="J8" s="21">
        <f>J5</f>
        <v>603.22635829270394</v>
      </c>
      <c r="K8" s="21"/>
      <c r="L8" s="21">
        <f>L5</f>
        <v>0</v>
      </c>
      <c r="M8" s="21">
        <f>M5</f>
        <v>0</v>
      </c>
      <c r="N8" s="21">
        <f>N5</f>
        <v>45528.315690844298</v>
      </c>
      <c r="O8" s="21">
        <f>O5</f>
        <v>916.58869735680867</v>
      </c>
      <c r="P8" s="21">
        <f>P5</f>
        <v>2359.6068849214453</v>
      </c>
    </row>
    <row r="9" spans="1:16">
      <c r="B9" s="19"/>
      <c r="C9" s="19"/>
      <c r="D9" s="254"/>
      <c r="E9" s="19"/>
      <c r="F9" s="19"/>
      <c r="G9" s="19"/>
      <c r="H9" s="19"/>
      <c r="I9" s="19"/>
      <c r="J9" s="19"/>
      <c r="K9" s="19"/>
      <c r="L9" s="19"/>
      <c r="M9" s="19"/>
      <c r="N9" s="19"/>
      <c r="O9" s="19"/>
      <c r="P9" s="19"/>
    </row>
    <row r="10" spans="1:16">
      <c r="A10" s="24" t="s">
        <v>207</v>
      </c>
      <c r="B10" s="25">
        <f ca="1">'EF ele_warmte'!B12</f>
        <v>0.21315045723459064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23402.313493026908</v>
      </c>
      <c r="C12" s="23">
        <f ca="1">C10*C8</f>
        <v>0</v>
      </c>
      <c r="D12" s="23">
        <f>D8*D10</f>
        <v>73278.207952750003</v>
      </c>
      <c r="E12" s="23">
        <f>E10*E8</f>
        <v>1096.7915413925787</v>
      </c>
      <c r="F12" s="23">
        <f>F10*F8</f>
        <v>28260.808330116477</v>
      </c>
      <c r="G12" s="23"/>
      <c r="H12" s="23"/>
      <c r="I12" s="23"/>
      <c r="J12" s="23">
        <f>J10*J8</f>
        <v>213.54213083561717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36577</v>
      </c>
      <c r="C26" s="36"/>
      <c r="D26" s="225"/>
    </row>
    <row r="27" spans="1:5" s="15" customFormat="1">
      <c r="A27" s="227" t="s">
        <v>860</v>
      </c>
      <c r="B27" s="37">
        <f>SUM(HH_hh_gas_aantal,HH_rest_gas_aantal)</f>
        <v>30254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28741.3</v>
      </c>
      <c r="C31" s="34" t="s">
        <v>104</v>
      </c>
      <c r="D31" s="171"/>
    </row>
    <row r="32" spans="1:5">
      <c r="A32" s="168" t="s">
        <v>72</v>
      </c>
      <c r="B32" s="33">
        <f>IF((B21*($B$26-($B$27-0.05*$B$27)-$B$60))&lt;0,0,(B21*($B$26-($B$27-0.05*$B$27)-$B$60)))</f>
        <v>120.83724989862276</v>
      </c>
      <c r="C32" s="34" t="s">
        <v>104</v>
      </c>
      <c r="D32" s="171"/>
    </row>
    <row r="33" spans="1:6">
      <c r="A33" s="168" t="s">
        <v>73</v>
      </c>
      <c r="B33" s="33">
        <f>IF((B22*($B$26-($B$27-0.05*$B$27)-$B$60))&lt;0,0,B22*($B$26-($B$27-0.05*$B$27)-$B$60))</f>
        <v>1962.157617553451</v>
      </c>
      <c r="C33" s="34" t="s">
        <v>104</v>
      </c>
      <c r="D33" s="171"/>
    </row>
    <row r="34" spans="1:6">
      <c r="A34" s="168" t="s">
        <v>74</v>
      </c>
      <c r="B34" s="33">
        <f>IF((B24*($B$26-($B$27-0.05*$B$27)-$B$60))&lt;0,0,B24*($B$26-($B$27-0.05*$B$27)-$B$60))</f>
        <v>376.17187378886393</v>
      </c>
      <c r="C34" s="33">
        <f>B26*C24</f>
        <v>7494.8445603039663</v>
      </c>
      <c r="D34" s="230"/>
    </row>
    <row r="35" spans="1:6">
      <c r="A35" s="168" t="s">
        <v>76</v>
      </c>
      <c r="B35" s="33">
        <f>IF((B19*($B$26-($B$27-0.05*$B$27)-$B$60))&lt;0,0,B19*($B$26-($B$27-0.05*$B$27)-$B$60))</f>
        <v>52.527664447042291</v>
      </c>
      <c r="C35" s="33">
        <f>B35/2</f>
        <v>26.263832223521145</v>
      </c>
      <c r="D35" s="230"/>
    </row>
    <row r="36" spans="1:6">
      <c r="A36" s="168" t="s">
        <v>77</v>
      </c>
      <c r="B36" s="33">
        <f>IF((B18*($B$26-($B$27-0.05*$B$27)-$B$60))&lt;0,0,B18*($B$26-($B$27-0.05*$B$27)-$B$60))</f>
        <v>5100.0055943120196</v>
      </c>
      <c r="C36" s="34" t="s">
        <v>104</v>
      </c>
      <c r="D36" s="171"/>
    </row>
    <row r="37" spans="1:6">
      <c r="A37" s="168" t="s">
        <v>78</v>
      </c>
      <c r="B37" s="33">
        <f>B60</f>
        <v>224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462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224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199526.42350406552</v>
      </c>
      <c r="C5" s="17">
        <f>IF(ISERROR('Eigen informatie GS &amp; warmtenet'!B60),0,'Eigen informatie GS &amp; warmtenet'!B60)</f>
        <v>0</v>
      </c>
      <c r="D5" s="30">
        <f>SUM(D6:D12)</f>
        <v>228892.06860016557</v>
      </c>
      <c r="E5" s="17">
        <f>SUM(E6:E12)</f>
        <v>600.73479892384125</v>
      </c>
      <c r="F5" s="17">
        <f>SUM(F6:F12)</f>
        <v>33070.492821971959</v>
      </c>
      <c r="G5" s="18"/>
      <c r="H5" s="17"/>
      <c r="I5" s="17"/>
      <c r="J5" s="17">
        <f>SUM(J6:J12)</f>
        <v>0.18772814278290934</v>
      </c>
      <c r="K5" s="17"/>
      <c r="L5" s="17"/>
      <c r="M5" s="17"/>
      <c r="N5" s="17">
        <f>SUM(N6:N12)</f>
        <v>7405.9087601234996</v>
      </c>
      <c r="O5" s="17">
        <f>B38*B39*B40</f>
        <v>19.589043063364617</v>
      </c>
      <c r="P5" s="17">
        <f>B46*B47*B48/1000-B46*B47*B48/1000/B49</f>
        <v>998.24362782340552</v>
      </c>
      <c r="R5" s="32"/>
    </row>
    <row r="6" spans="1:18">
      <c r="A6" s="32" t="s">
        <v>53</v>
      </c>
      <c r="B6" s="37">
        <f>B26</f>
        <v>99749.360242759998</v>
      </c>
      <c r="C6" s="33"/>
      <c r="D6" s="37">
        <f>IF(ISERROR(TER_kantoor_gas_kWh/1000),0,TER_kantoor_gas_kWh/1000)*0.903</f>
        <v>80678.880588933651</v>
      </c>
      <c r="E6" s="33">
        <f>$C$26*'E Balans VL '!I12/100/3.6*1000000</f>
        <v>23.767332465604184</v>
      </c>
      <c r="F6" s="33">
        <f>$C$26*('E Balans VL '!L12+'E Balans VL '!N12)/100/3.6*1000000</f>
        <v>8664.2090966742689</v>
      </c>
      <c r="G6" s="34"/>
      <c r="H6" s="33"/>
      <c r="I6" s="33"/>
      <c r="J6" s="33">
        <f>$C$26*('E Balans VL '!D12+'E Balans VL '!E12)/100/3.6*1000000</f>
        <v>0</v>
      </c>
      <c r="K6" s="33"/>
      <c r="L6" s="33"/>
      <c r="M6" s="33"/>
      <c r="N6" s="33">
        <f>$C$26*'E Balans VL '!Y12/100/3.6*1000000</f>
        <v>133.32897491980191</v>
      </c>
      <c r="O6" s="33"/>
      <c r="P6" s="33"/>
      <c r="R6" s="32"/>
    </row>
    <row r="7" spans="1:18">
      <c r="A7" s="32" t="s">
        <v>52</v>
      </c>
      <c r="B7" s="37">
        <f t="shared" ref="B7:B12" si="0">B27</f>
        <v>15747.633353817699</v>
      </c>
      <c r="C7" s="33"/>
      <c r="D7" s="37">
        <f>IF(ISERROR(TER_horeca_gas_kWh/1000),0,TER_horeca_gas_kWh/1000)*0.903</f>
        <v>23874.060313407019</v>
      </c>
      <c r="E7" s="33">
        <f>$C$27*'E Balans VL '!I9/100/3.6*1000000</f>
        <v>0</v>
      </c>
      <c r="F7" s="33">
        <f>$C$27*('E Balans VL '!L9+'E Balans VL '!N9)/100/3.6*1000000</f>
        <v>1283.1471268825433</v>
      </c>
      <c r="G7" s="34"/>
      <c r="H7" s="33"/>
      <c r="I7" s="33"/>
      <c r="J7" s="33">
        <f>$C$27*('E Balans VL '!D9+'E Balans VL '!E9)/100/3.6*1000000</f>
        <v>0</v>
      </c>
      <c r="K7" s="33"/>
      <c r="L7" s="33"/>
      <c r="M7" s="33"/>
      <c r="N7" s="33">
        <f>$C$27*'E Balans VL '!Y9/100/3.6*1000000</f>
        <v>4.3618012597935145</v>
      </c>
      <c r="O7" s="33"/>
      <c r="P7" s="33"/>
      <c r="R7" s="32"/>
    </row>
    <row r="8" spans="1:18">
      <c r="A8" s="6" t="s">
        <v>51</v>
      </c>
      <c r="B8" s="37">
        <f t="shared" si="0"/>
        <v>42075.405605633998</v>
      </c>
      <c r="C8" s="33"/>
      <c r="D8" s="37">
        <f>IF(ISERROR(TER_handel_gas_kWh/1000),0,TER_handel_gas_kWh/1000)*0.903</f>
        <v>35784.615629258878</v>
      </c>
      <c r="E8" s="33">
        <f>$C$28*'E Balans VL '!I13/100/3.6*1000000</f>
        <v>336.33457649203336</v>
      </c>
      <c r="F8" s="33">
        <f>$C$28*('E Balans VL '!L13+'E Balans VL '!N13)/100/3.6*1000000</f>
        <v>4179.929990938057</v>
      </c>
      <c r="G8" s="34"/>
      <c r="H8" s="33"/>
      <c r="I8" s="33"/>
      <c r="J8" s="33">
        <f>$C$28*('E Balans VL '!D13+'E Balans VL '!E13)/100/3.6*1000000</f>
        <v>0</v>
      </c>
      <c r="K8" s="33"/>
      <c r="L8" s="33"/>
      <c r="M8" s="33"/>
      <c r="N8" s="33">
        <f>$C$28*'E Balans VL '!Y13/100/3.6*1000000</f>
        <v>15.717668488553882</v>
      </c>
      <c r="O8" s="33"/>
      <c r="P8" s="33"/>
      <c r="R8" s="32"/>
    </row>
    <row r="9" spans="1:18">
      <c r="A9" s="32" t="s">
        <v>50</v>
      </c>
      <c r="B9" s="37">
        <f t="shared" si="0"/>
        <v>19307.0366389054</v>
      </c>
      <c r="C9" s="33"/>
      <c r="D9" s="37">
        <f>IF(ISERROR(TER_gezond_gas_kWh/1000),0,TER_gezond_gas_kWh/1000)*0.903</f>
        <v>23978.430757308961</v>
      </c>
      <c r="E9" s="33">
        <f>$C$29*'E Balans VL '!I10/100/3.6*1000000</f>
        <v>0</v>
      </c>
      <c r="F9" s="33">
        <f>$C$29*('E Balans VL '!L10+'E Balans VL '!N10)/100/3.6*1000000</f>
        <v>1760.1510112485755</v>
      </c>
      <c r="G9" s="34"/>
      <c r="H9" s="33"/>
      <c r="I9" s="33"/>
      <c r="J9" s="33">
        <f>$C$29*('E Balans VL '!D10+'E Balans VL '!E10)/100/3.6*1000000</f>
        <v>0</v>
      </c>
      <c r="K9" s="33"/>
      <c r="L9" s="33"/>
      <c r="M9" s="33"/>
      <c r="N9" s="33">
        <f>$C$29*'E Balans VL '!Y10/100/3.6*1000000</f>
        <v>141.11713563559962</v>
      </c>
      <c r="O9" s="33"/>
      <c r="P9" s="33"/>
      <c r="R9" s="32"/>
    </row>
    <row r="10" spans="1:18">
      <c r="A10" s="32" t="s">
        <v>49</v>
      </c>
      <c r="B10" s="37">
        <f t="shared" si="0"/>
        <v>18560.900546230303</v>
      </c>
      <c r="C10" s="33"/>
      <c r="D10" s="37">
        <f>IF(ISERROR(TER_ander_gas_kWh/1000),0,TER_ander_gas_kWh/1000)*0.903</f>
        <v>42337.527594097439</v>
      </c>
      <c r="E10" s="33">
        <f>$C$30*'E Balans VL '!I14/100/3.6*1000000</f>
        <v>240.63288996620366</v>
      </c>
      <c r="F10" s="33">
        <f>$C$30*('E Balans VL '!L14+'E Balans VL '!N14)/100/3.6*1000000</f>
        <v>17022.951800810541</v>
      </c>
      <c r="G10" s="34"/>
      <c r="H10" s="33"/>
      <c r="I10" s="33"/>
      <c r="J10" s="33">
        <f>$C$30*('E Balans VL '!D14+'E Balans VL '!E14)/100/3.6*1000000</f>
        <v>0.18772814278290934</v>
      </c>
      <c r="K10" s="33"/>
      <c r="L10" s="33"/>
      <c r="M10" s="33"/>
      <c r="N10" s="33">
        <f>$C$30*'E Balans VL '!Y14/100/3.6*1000000</f>
        <v>7098.5150819281125</v>
      </c>
      <c r="O10" s="33"/>
      <c r="P10" s="33"/>
      <c r="R10" s="32"/>
    </row>
    <row r="11" spans="1:18">
      <c r="A11" s="32" t="s">
        <v>54</v>
      </c>
      <c r="B11" s="37">
        <f t="shared" si="0"/>
        <v>4086.0871167180903</v>
      </c>
      <c r="C11" s="33"/>
      <c r="D11" s="37">
        <f>IF(ISERROR(TER_onderwijs_gas_kWh/1000),0,TER_onderwijs_gas_kWh/1000)*0.903</f>
        <v>22238.553717159626</v>
      </c>
      <c r="E11" s="33">
        <f>$C$31*'E Balans VL '!I11/100/3.6*1000000</f>
        <v>0</v>
      </c>
      <c r="F11" s="33">
        <f>$C$31*('E Balans VL '!L11+'E Balans VL '!N11)/100/3.6*1000000</f>
        <v>160.10379541797809</v>
      </c>
      <c r="G11" s="34"/>
      <c r="H11" s="33"/>
      <c r="I11" s="33"/>
      <c r="J11" s="33">
        <f>$C$31*('E Balans VL '!D11+'E Balans VL '!E11)/100/3.6*1000000</f>
        <v>0</v>
      </c>
      <c r="K11" s="33"/>
      <c r="L11" s="33"/>
      <c r="M11" s="33"/>
      <c r="N11" s="33">
        <f>$C$31*'E Balans VL '!Y11/100/3.6*1000000</f>
        <v>12.868097891638095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90</v>
      </c>
      <c r="C13" s="243">
        <f ca="1">'lokale energieproductie'!O39+'lokale energieproductie'!O32</f>
        <v>128.57142857142858</v>
      </c>
      <c r="D13" s="304">
        <f ca="1">('lokale energieproductie'!P32+'lokale energieproductie'!P39)*(-1)</f>
        <v>-257.14285714285717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199616.42350406552</v>
      </c>
      <c r="C16" s="21">
        <f t="shared" ca="1" si="1"/>
        <v>128.57142857142858</v>
      </c>
      <c r="D16" s="21">
        <f t="shared" ca="1" si="1"/>
        <v>228634.9257430227</v>
      </c>
      <c r="E16" s="21">
        <f t="shared" si="1"/>
        <v>600.73479892384125</v>
      </c>
      <c r="F16" s="21">
        <f t="shared" ca="1" si="1"/>
        <v>33070.492821971959</v>
      </c>
      <c r="G16" s="21">
        <f t="shared" si="1"/>
        <v>0</v>
      </c>
      <c r="H16" s="21">
        <f t="shared" si="1"/>
        <v>0</v>
      </c>
      <c r="I16" s="21">
        <f t="shared" si="1"/>
        <v>0</v>
      </c>
      <c r="J16" s="21">
        <f t="shared" si="1"/>
        <v>0.18772814278290934</v>
      </c>
      <c r="K16" s="21">
        <f t="shared" si="1"/>
        <v>0</v>
      </c>
      <c r="L16" s="21">
        <f t="shared" ca="1" si="1"/>
        <v>0</v>
      </c>
      <c r="M16" s="21">
        <f t="shared" si="1"/>
        <v>0</v>
      </c>
      <c r="N16" s="21">
        <f t="shared" ca="1" si="1"/>
        <v>7405.9087601234996</v>
      </c>
      <c r="O16" s="21">
        <f>O5</f>
        <v>19.589043063364617</v>
      </c>
      <c r="P16" s="21">
        <f>P5</f>
        <v>998.24362782340552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0.21315045723459064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42548.331941425255</v>
      </c>
      <c r="C20" s="23">
        <f t="shared" ref="C20:P20" ca="1" si="2">C16*C18</f>
        <v>30.554621848739501</v>
      </c>
      <c r="D20" s="23">
        <f t="shared" ca="1" si="2"/>
        <v>46184.25500009059</v>
      </c>
      <c r="E20" s="23">
        <f t="shared" si="2"/>
        <v>136.36679935571198</v>
      </c>
      <c r="F20" s="23">
        <f t="shared" ca="1" si="2"/>
        <v>8829.8215834665134</v>
      </c>
      <c r="G20" s="23">
        <f t="shared" si="2"/>
        <v>0</v>
      </c>
      <c r="H20" s="23">
        <f t="shared" si="2"/>
        <v>0</v>
      </c>
      <c r="I20" s="23">
        <f t="shared" si="2"/>
        <v>0</v>
      </c>
      <c r="J20" s="23">
        <f t="shared" si="2"/>
        <v>6.6455762545149899E-2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99749.360242759998</v>
      </c>
      <c r="C26" s="39">
        <f>IF(ISERROR(B26*3.6/1000000/'E Balans VL '!Z12*100),0,B26*3.6/1000000/'E Balans VL '!Z12*100)</f>
        <v>2.8617997584406312</v>
      </c>
      <c r="D26" s="233" t="s">
        <v>835</v>
      </c>
      <c r="F26" s="6"/>
    </row>
    <row r="27" spans="1:18" ht="30">
      <c r="A27" s="228" t="s">
        <v>52</v>
      </c>
      <c r="B27" s="33">
        <f>IF(ISERROR(TER_horeca_ele_kWh/1000),0,TER_horeca_ele_kWh/1000)</f>
        <v>15747.633353817699</v>
      </c>
      <c r="C27" s="39">
        <f>IF(ISERROR(B27*3.6/1000000/'E Balans VL '!Z9*100),0,B27*3.6/1000000/'E Balans VL '!Z9*100)</f>
        <v>1.1536771947228783</v>
      </c>
      <c r="D27" s="233" t="s">
        <v>835</v>
      </c>
      <c r="F27" s="6"/>
    </row>
    <row r="28" spans="1:18" ht="30">
      <c r="A28" s="168" t="s">
        <v>51</v>
      </c>
      <c r="B28" s="33">
        <f>IF(ISERROR(TER_handel_ele_kWh/1000),0,TER_handel_ele_kWh/1000)</f>
        <v>42075.405605633998</v>
      </c>
      <c r="C28" s="39">
        <f>IF(ISERROR(B28*3.6/1000000/'E Balans VL '!Z13*100),0,B28*3.6/1000000/'E Balans VL '!Z13*100)</f>
        <v>1.3001655217711907</v>
      </c>
      <c r="D28" s="233" t="s">
        <v>835</v>
      </c>
      <c r="F28" s="6"/>
    </row>
    <row r="29" spans="1:18" ht="30">
      <c r="A29" s="228" t="s">
        <v>50</v>
      </c>
      <c r="B29" s="33">
        <f>IF(ISERROR(TER_gezond_ele_kWh/1000),0,TER_gezond_ele_kWh/1000)</f>
        <v>19307.0366389054</v>
      </c>
      <c r="C29" s="39">
        <f>IF(ISERROR(B29*3.6/1000000/'E Balans VL '!Z10*100),0,B29*3.6/1000000/'E Balans VL '!Z10*100)</f>
        <v>1.8922083087121808</v>
      </c>
      <c r="D29" s="233" t="s">
        <v>835</v>
      </c>
      <c r="F29" s="6"/>
    </row>
    <row r="30" spans="1:18" ht="30">
      <c r="A30" s="228" t="s">
        <v>49</v>
      </c>
      <c r="B30" s="33">
        <f>IF(ISERROR(TER_ander_ele_kWh/1000),0,TER_ander_ele_kWh/1000)</f>
        <v>18560.900546230303</v>
      </c>
      <c r="C30" s="39">
        <f>IF(ISERROR(B30*3.6/1000000/'E Balans VL '!Z14*100),0,B30*3.6/1000000/'E Balans VL '!Z14*100)</f>
        <v>0.76885246190952627</v>
      </c>
      <c r="D30" s="233" t="s">
        <v>835</v>
      </c>
      <c r="F30" s="6"/>
    </row>
    <row r="31" spans="1:18" ht="30">
      <c r="A31" s="228" t="s">
        <v>54</v>
      </c>
      <c r="B31" s="33">
        <f>IF(ISERROR(TER_onderwijs_ele_kWh/1000),0,TER_onderwijs_ele_kWh/1000)</f>
        <v>4086.0871167180903</v>
      </c>
      <c r="C31" s="39">
        <f>IF(ISERROR(B31*3.6/1000000/'E Balans VL '!Z11*100),0,B31*3.6/1000000/'E Balans VL '!Z11*100)</f>
        <v>1.2555303432132239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19</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163305.70054560952</v>
      </c>
      <c r="C5" s="17">
        <f>IF(ISERROR('Eigen informatie GS &amp; warmtenet'!B61),0,'Eigen informatie GS &amp; warmtenet'!B61)</f>
        <v>0</v>
      </c>
      <c r="D5" s="30">
        <f>SUM(D6:D15)</f>
        <v>287644.20769940334</v>
      </c>
      <c r="E5" s="17">
        <f>SUM(E6:E15)</f>
        <v>12875.79161079185</v>
      </c>
      <c r="F5" s="17">
        <f>SUM(F6:F15)</f>
        <v>19154.918489531316</v>
      </c>
      <c r="G5" s="18"/>
      <c r="H5" s="17"/>
      <c r="I5" s="17"/>
      <c r="J5" s="17">
        <f>SUM(J6:J15)</f>
        <v>26.439419552298141</v>
      </c>
      <c r="K5" s="17"/>
      <c r="L5" s="17"/>
      <c r="M5" s="17"/>
      <c r="N5" s="17">
        <f>SUM(N6:N15)</f>
        <v>3464.8615584317217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7954.2794891898293</v>
      </c>
      <c r="C8" s="33"/>
      <c r="D8" s="37">
        <f>IF( ISERROR(IND_metaal_Gas_kWH/1000),0,IND_metaal_Gas_kWH/1000)*0.903</f>
        <v>13559.744113811075</v>
      </c>
      <c r="E8" s="33">
        <f>C30*'E Balans VL '!I18/100/3.6*1000000</f>
        <v>43.360018024894643</v>
      </c>
      <c r="F8" s="33">
        <f>C30*'E Balans VL '!L18/100/3.6*1000000+C30*'E Balans VL '!N18/100/3.6*1000000</f>
        <v>512.25620667318105</v>
      </c>
      <c r="G8" s="34"/>
      <c r="H8" s="33"/>
      <c r="I8" s="33"/>
      <c r="J8" s="40">
        <f>C30*'E Balans VL '!D18/100/3.6*1000000+C30*'E Balans VL '!E18/100/3.6*1000000</f>
        <v>6.5155251519954458</v>
      </c>
      <c r="K8" s="33"/>
      <c r="L8" s="33"/>
      <c r="M8" s="33"/>
      <c r="N8" s="33">
        <f>C30*'E Balans VL '!Y18/100/3.6*1000000</f>
        <v>171.84695220073814</v>
      </c>
      <c r="O8" s="33"/>
      <c r="P8" s="33"/>
      <c r="R8" s="32"/>
    </row>
    <row r="9" spans="1:18">
      <c r="A9" s="6" t="s">
        <v>32</v>
      </c>
      <c r="B9" s="37">
        <f t="shared" si="0"/>
        <v>26579.514323413201</v>
      </c>
      <c r="C9" s="33"/>
      <c r="D9" s="37">
        <f>IF( ISERROR(IND_andere_gas_kWh/1000),0,IND_andere_gas_kWh/1000)*0.903</f>
        <v>14682.03760741105</v>
      </c>
      <c r="E9" s="33">
        <f>C31*'E Balans VL '!I19/100/3.6*1000000</f>
        <v>85.803198742035676</v>
      </c>
      <c r="F9" s="33">
        <f>C31*'E Balans VL '!L19/100/3.6*1000000+C31*'E Balans VL '!N19/100/3.6*1000000</f>
        <v>17186.522612338893</v>
      </c>
      <c r="G9" s="34"/>
      <c r="H9" s="33"/>
      <c r="I9" s="33"/>
      <c r="J9" s="40">
        <f>C31*'E Balans VL '!D19/100/3.6*1000000+C31*'E Balans VL '!E19/100/3.6*1000000</f>
        <v>0</v>
      </c>
      <c r="K9" s="33"/>
      <c r="L9" s="33"/>
      <c r="M9" s="33"/>
      <c r="N9" s="33">
        <f>C31*'E Balans VL '!Y19/100/3.6*1000000</f>
        <v>1074.0474717775187</v>
      </c>
      <c r="O9" s="33"/>
      <c r="P9" s="33"/>
      <c r="R9" s="32"/>
    </row>
    <row r="10" spans="1:18">
      <c r="A10" s="6" t="s">
        <v>40</v>
      </c>
      <c r="B10" s="37">
        <f t="shared" si="0"/>
        <v>49208.104475698601</v>
      </c>
      <c r="C10" s="33"/>
      <c r="D10" s="37">
        <f>IF( ISERROR(IND_voed_gas_kWh/1000),0,IND_voed_gas_kWh/1000)*0.903</f>
        <v>206877.099685555</v>
      </c>
      <c r="E10" s="33">
        <f>C32*'E Balans VL '!I20/100/3.6*1000000</f>
        <v>103.15224658637682</v>
      </c>
      <c r="F10" s="33">
        <f>C32*'E Balans VL '!L20/100/3.6*1000000+C32*'E Balans VL '!N20/100/3.6*1000000</f>
        <v>958.74393235077105</v>
      </c>
      <c r="G10" s="34"/>
      <c r="H10" s="33"/>
      <c r="I10" s="33"/>
      <c r="J10" s="40">
        <f>C32*'E Balans VL '!D20/100/3.6*1000000+C32*'E Balans VL '!E20/100/3.6*1000000</f>
        <v>0</v>
      </c>
      <c r="K10" s="33"/>
      <c r="L10" s="33"/>
      <c r="M10" s="33"/>
      <c r="N10" s="33">
        <f>C32*'E Balans VL '!Y20/100/3.6*1000000</f>
        <v>1957.3619711835368</v>
      </c>
      <c r="O10" s="33"/>
      <c r="P10" s="33"/>
      <c r="R10" s="32"/>
    </row>
    <row r="11" spans="1:18">
      <c r="A11" s="6" t="s">
        <v>39</v>
      </c>
      <c r="B11" s="37">
        <f t="shared" si="0"/>
        <v>80.98689710769861</v>
      </c>
      <c r="C11" s="33"/>
      <c r="D11" s="37">
        <f>IF( ISERROR(IND_textiel_gas_kWh/1000),0,IND_textiel_gas_kWh/1000)*0.903</f>
        <v>219.59963217337324</v>
      </c>
      <c r="E11" s="33">
        <f>C33*'E Balans VL '!I21/100/3.6*1000000</f>
        <v>6.9589606180072344E-2</v>
      </c>
      <c r="F11" s="33">
        <f>C33*'E Balans VL '!L21/100/3.6*1000000+C33*'E Balans VL '!N21/100/3.6*1000000</f>
        <v>1.6979743527174875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429.023345744305</v>
      </c>
      <c r="C12" s="33"/>
      <c r="D12" s="37">
        <f>IF( ISERROR(IND_min_gas_kWh/1000),0,IND_min_gas_kWh/1000)*0.903</f>
        <v>87.613060143222043</v>
      </c>
      <c r="E12" s="33">
        <f>C34*'E Balans VL '!I22/100/3.6*1000000</f>
        <v>7.0209923166593908</v>
      </c>
      <c r="F12" s="33">
        <f>C34*'E Balans VL '!L22/100/3.6*1000000+C34*'E Balans VL '!N22/100/3.6*1000000</f>
        <v>65.483690174026307</v>
      </c>
      <c r="G12" s="34"/>
      <c r="H12" s="33"/>
      <c r="I12" s="33"/>
      <c r="J12" s="40">
        <f>C34*'E Balans VL '!D22/100/3.6*1000000+C34*'E Balans VL '!E22/100/3.6*1000000</f>
        <v>15.353272128187799</v>
      </c>
      <c r="K12" s="33"/>
      <c r="L12" s="33"/>
      <c r="M12" s="33"/>
      <c r="N12" s="33">
        <f>C34*'E Balans VL '!Y22/100/3.6*1000000</f>
        <v>235.11389900080002</v>
      </c>
      <c r="O12" s="33"/>
      <c r="P12" s="33"/>
      <c r="R12" s="32"/>
    </row>
    <row r="13" spans="1:18">
      <c r="A13" s="6" t="s">
        <v>38</v>
      </c>
      <c r="B13" s="37">
        <f t="shared" si="0"/>
        <v>18421.215569939101</v>
      </c>
      <c r="C13" s="33"/>
      <c r="D13" s="37">
        <f>IF( ISERROR(IND_papier_gas_kWh/1000),0,IND_papier_gas_kWh/1000)*0.903</f>
        <v>7667.2680392209631</v>
      </c>
      <c r="E13" s="33">
        <f>C35*'E Balans VL '!I23/100/3.6*1000000</f>
        <v>0</v>
      </c>
      <c r="F13" s="33">
        <f>C35*'E Balans VL '!L23/100/3.6*1000000+C35*'E Balans VL '!N23/100/3.6*1000000</f>
        <v>2.4675799015178677</v>
      </c>
      <c r="G13" s="34"/>
      <c r="H13" s="33"/>
      <c r="I13" s="33"/>
      <c r="J13" s="40">
        <f>C35*'E Balans VL '!D23/100/3.6*1000000+C35*'E Balans VL '!E23/100/3.6*1000000</f>
        <v>3.6438323454810897</v>
      </c>
      <c r="K13" s="33"/>
      <c r="L13" s="33"/>
      <c r="M13" s="33"/>
      <c r="N13" s="33">
        <f>C35*'E Balans VL '!Y23/100/3.6*1000000</f>
        <v>0</v>
      </c>
      <c r="O13" s="33"/>
      <c r="P13" s="33"/>
      <c r="R13" s="32"/>
    </row>
    <row r="14" spans="1:18">
      <c r="A14" s="6" t="s">
        <v>33</v>
      </c>
      <c r="B14" s="37">
        <f t="shared" si="0"/>
        <v>60461.881742063597</v>
      </c>
      <c r="C14" s="33"/>
      <c r="D14" s="37">
        <f>IF( ISERROR(IND_chemie_gas_kWh/1000),0,IND_chemie_gas_kWh/1000)*0.903</f>
        <v>44420.472819637784</v>
      </c>
      <c r="E14" s="33">
        <f>C36*'E Balans VL '!I24/100/3.6*1000000</f>
        <v>12626.336343591556</v>
      </c>
      <c r="F14" s="33">
        <f>C36*'E Balans VL '!L24/100/3.6*1000000+C36*'E Balans VL '!N24/100/3.6*1000000</f>
        <v>401.70641430585323</v>
      </c>
      <c r="G14" s="34"/>
      <c r="H14" s="33"/>
      <c r="I14" s="33"/>
      <c r="J14" s="40">
        <f>C36*'E Balans VL '!D24/100/3.6*1000000+C36*'E Balans VL '!E24/100/3.6*1000000</f>
        <v>0</v>
      </c>
      <c r="K14" s="33"/>
      <c r="L14" s="33"/>
      <c r="M14" s="33"/>
      <c r="N14" s="33">
        <f>C36*'E Balans VL '!Y24/100/3.6*1000000</f>
        <v>21.098372735162787</v>
      </c>
      <c r="O14" s="33"/>
      <c r="P14" s="33"/>
      <c r="R14" s="32"/>
    </row>
    <row r="15" spans="1:18">
      <c r="A15" s="6" t="s">
        <v>259</v>
      </c>
      <c r="B15" s="37">
        <f t="shared" si="0"/>
        <v>170.69470245318999</v>
      </c>
      <c r="C15" s="33"/>
      <c r="D15" s="37">
        <f>IF( ISERROR(IND_rest_gas_kWh/1000),0,IND_rest_gas_kWh/1000)*0.903</f>
        <v>130.37274145085189</v>
      </c>
      <c r="E15" s="33">
        <f>C37*'E Balans VL '!I15/100/3.6*1000000</f>
        <v>10.049221924147778</v>
      </c>
      <c r="F15" s="33">
        <f>C37*'E Balans VL '!L15/100/3.6*1000000+C37*'E Balans VL '!N15/100/3.6*1000000</f>
        <v>26.040079434353995</v>
      </c>
      <c r="G15" s="34"/>
      <c r="H15" s="33"/>
      <c r="I15" s="33"/>
      <c r="J15" s="40">
        <f>C37*'E Balans VL '!D15/100/3.6*1000000+C37*'E Balans VL '!E15/100/3.6*1000000</f>
        <v>0.92678992663380699</v>
      </c>
      <c r="K15" s="33"/>
      <c r="L15" s="33"/>
      <c r="M15" s="33"/>
      <c r="N15" s="33">
        <f>C37*'E Balans VL '!Y15/100/3.6*1000000</f>
        <v>5.3928915339657744</v>
      </c>
      <c r="O15" s="33"/>
      <c r="P15" s="33"/>
      <c r="R15" s="32"/>
    </row>
    <row r="16" spans="1:18">
      <c r="A16" s="16" t="s">
        <v>467</v>
      </c>
      <c r="B16" s="243">
        <f>'lokale energieproductie'!N38+'lokale energieproductie'!N31</f>
        <v>15120</v>
      </c>
      <c r="C16" s="243">
        <f>'lokale energieproductie'!O38+'lokale energieproductie'!O31</f>
        <v>21600</v>
      </c>
      <c r="D16" s="304">
        <f>('lokale energieproductie'!P31+'lokale energieproductie'!P38)*(-1)</f>
        <v>-43200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178425.70054560952</v>
      </c>
      <c r="C18" s="21">
        <f>C5+C16</f>
        <v>21600</v>
      </c>
      <c r="D18" s="21">
        <f>MAX((D5+D16),0)</f>
        <v>244444.20769940334</v>
      </c>
      <c r="E18" s="21">
        <f>MAX((E5+E16),0)</f>
        <v>12875.79161079185</v>
      </c>
      <c r="F18" s="21">
        <f>MAX((F5+F16),0)</f>
        <v>19154.918489531316</v>
      </c>
      <c r="G18" s="21"/>
      <c r="H18" s="21"/>
      <c r="I18" s="21"/>
      <c r="J18" s="21">
        <f>MAX((J5+J16),0)</f>
        <v>26.439419552298141</v>
      </c>
      <c r="K18" s="21"/>
      <c r="L18" s="21">
        <f>MAX((L5+L16),0)</f>
        <v>0</v>
      </c>
      <c r="M18" s="21"/>
      <c r="N18" s="21">
        <f>MAX((N5+N16),0)</f>
        <v>3464.8615584317217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0.21315045723459064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38031.519653698815</v>
      </c>
      <c r="C22" s="23">
        <f ca="1">C18*C20</f>
        <v>5133.176470588236</v>
      </c>
      <c r="D22" s="23">
        <f>D18*D20</f>
        <v>49377.729955279479</v>
      </c>
      <c r="E22" s="23">
        <f>E18*E20</f>
        <v>2922.8046956497501</v>
      </c>
      <c r="F22" s="23">
        <f>F18*F20</f>
        <v>5114.3632367048613</v>
      </c>
      <c r="G22" s="23"/>
      <c r="H22" s="23"/>
      <c r="I22" s="23"/>
      <c r="J22" s="23">
        <f>J18*J20</f>
        <v>9.3595545215135409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7954.2794891898293</v>
      </c>
      <c r="C30" s="39">
        <f>IF(ISERROR(B30*3.6/1000000/'E Balans VL '!Z18*100),0,B30*3.6/1000000/'E Balans VL '!Z18*100)</f>
        <v>0.47898489988122683</v>
      </c>
      <c r="D30" s="233" t="s">
        <v>835</v>
      </c>
    </row>
    <row r="31" spans="1:18" ht="30">
      <c r="A31" s="6" t="s">
        <v>32</v>
      </c>
      <c r="B31" s="37">
        <f>IF( ISERROR(IND_ander_ele_kWh/1000),0,IND_ander_ele_kWh/1000)</f>
        <v>26579.514323413201</v>
      </c>
      <c r="C31" s="39">
        <f>IF(ISERROR(B31*3.6/1000000/'E Balans VL '!Z19*100),0,B31*3.6/1000000/'E Balans VL '!Z19*100)</f>
        <v>1.0829044394629572</v>
      </c>
      <c r="D31" s="233" t="s">
        <v>835</v>
      </c>
    </row>
    <row r="32" spans="1:18" ht="30">
      <c r="A32" s="168" t="s">
        <v>40</v>
      </c>
      <c r="B32" s="37">
        <f>IF( ISERROR(IND_voed_ele_kWh/1000),0,IND_voed_ele_kWh/1000)</f>
        <v>49208.104475698601</v>
      </c>
      <c r="C32" s="39">
        <f>IF(ISERROR(B32*3.6/1000000/'E Balans VL '!Z20*100),0,B32*3.6/1000000/'E Balans VL '!Z20*100)</f>
        <v>1.4228043286020742</v>
      </c>
      <c r="D32" s="233" t="s">
        <v>835</v>
      </c>
    </row>
    <row r="33" spans="1:5" ht="30">
      <c r="A33" s="168" t="s">
        <v>39</v>
      </c>
      <c r="B33" s="37">
        <f>IF( ISERROR(IND_textiel_ele_kWh/1000),0,IND_textiel_ele_kWh/1000)</f>
        <v>80.98689710769861</v>
      </c>
      <c r="C33" s="39">
        <f>IF(ISERROR(B33*3.6/1000000/'E Balans VL '!Z21*100),0,B33*3.6/1000000/'E Balans VL '!Z21*100)</f>
        <v>1.3318584914846381E-2</v>
      </c>
      <c r="D33" s="233" t="s">
        <v>835</v>
      </c>
    </row>
    <row r="34" spans="1:5" ht="30">
      <c r="A34" s="168" t="s">
        <v>36</v>
      </c>
      <c r="B34" s="37">
        <f>IF( ISERROR(IND_min_ele_kWh/1000),0,IND_min_ele_kWh/1000)</f>
        <v>429.023345744305</v>
      </c>
      <c r="C34" s="39">
        <f>IF(ISERROR(B34*3.6/1000000/'E Balans VL '!Z22*100),0,B34*3.6/1000000/'E Balans VL '!Z22*100)</f>
        <v>0.18318898204121709</v>
      </c>
      <c r="D34" s="233" t="s">
        <v>835</v>
      </c>
    </row>
    <row r="35" spans="1:5" ht="30">
      <c r="A35" s="168" t="s">
        <v>38</v>
      </c>
      <c r="B35" s="37">
        <f>IF( ISERROR(IND_papier_ele_kWh/1000),0,IND_papier_ele_kWh/1000)</f>
        <v>18421.215569939101</v>
      </c>
      <c r="C35" s="39">
        <f>IF(ISERROR(B35*3.6/1000000/'E Balans VL '!Z22*100),0,B35*3.6/1000000/'E Balans VL '!Z22*100)</f>
        <v>7.8656878738486649</v>
      </c>
      <c r="D35" s="233" t="s">
        <v>835</v>
      </c>
    </row>
    <row r="36" spans="1:5" ht="30">
      <c r="A36" s="168" t="s">
        <v>33</v>
      </c>
      <c r="B36" s="37">
        <f>IF( ISERROR(IND_chemie_ele_kWh/1000),0,IND_chemie_ele_kWh/1000)</f>
        <v>60461.881742063597</v>
      </c>
      <c r="C36" s="39">
        <f>IF(ISERROR(B36*3.6/1000000/'E Balans VL '!Z24*100),0,B36*3.6/1000000/'E Balans VL '!Z24*100)</f>
        <v>1.83464110740547</v>
      </c>
      <c r="D36" s="233" t="s">
        <v>835</v>
      </c>
    </row>
    <row r="37" spans="1:5" ht="30">
      <c r="A37" s="168" t="s">
        <v>259</v>
      </c>
      <c r="B37" s="37">
        <f>IF( ISERROR(IND_rest_ele_kWh/1000),0,IND_rest_ele_kWh/1000)</f>
        <v>170.69470245318999</v>
      </c>
      <c r="C37" s="39">
        <f>IF(ISERROR(B37*3.6/1000000/'E Balans VL '!Z15*100),0,B37*3.6/1000000/'E Balans VL '!Z15*100)</f>
        <v>1.4015327949904203E-3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1070.2763433591799</v>
      </c>
      <c r="C5" s="17">
        <f>'Eigen informatie GS &amp; warmtenet'!B62</f>
        <v>0</v>
      </c>
      <c r="D5" s="30">
        <f>IF(ISERROR(SUM(LB_lb_gas_kWh,LB_rest_gas_kWh)/1000),0,SUM(LB_lb_gas_kWh,LB_rest_gas_kWh)/1000)*0.903</f>
        <v>1482.8970557663054</v>
      </c>
      <c r="E5" s="17">
        <f>B17*'E Balans VL '!I25/3.6*1000000/100</f>
        <v>30.654525712980558</v>
      </c>
      <c r="F5" s="17">
        <f>B17*('E Balans VL '!L25/3.6*1000000+'E Balans VL '!N25/3.6*1000000)/100</f>
        <v>3387.9420381138352</v>
      </c>
      <c r="G5" s="18"/>
      <c r="H5" s="17"/>
      <c r="I5" s="17"/>
      <c r="J5" s="17">
        <f>('E Balans VL '!D25+'E Balans VL '!E25)/3.6*1000000*landbouw!B17/100</f>
        <v>272.13766487896032</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1070.2763433591799</v>
      </c>
      <c r="C8" s="21">
        <f>C5+C6</f>
        <v>0</v>
      </c>
      <c r="D8" s="21">
        <f>MAX((D5+D6),0)</f>
        <v>1482.8970557663054</v>
      </c>
      <c r="E8" s="21">
        <f>MAX((E5+E6),0)</f>
        <v>30.654525712980558</v>
      </c>
      <c r="F8" s="21">
        <f>MAX((F5+F6),0)</f>
        <v>3387.9420381138352</v>
      </c>
      <c r="G8" s="21"/>
      <c r="H8" s="21"/>
      <c r="I8" s="21"/>
      <c r="J8" s="21">
        <f>MAX((J5+J6),0)</f>
        <v>272.13766487896032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0.21315045723459064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228.12989195437493</v>
      </c>
      <c r="C12" s="23">
        <f ca="1">C8*C10</f>
        <v>0</v>
      </c>
      <c r="D12" s="23">
        <f>D8*D10</f>
        <v>299.54520526479371</v>
      </c>
      <c r="E12" s="23">
        <f>E8*E10</f>
        <v>6.9585773368465871</v>
      </c>
      <c r="F12" s="23">
        <f>F8*F10</f>
        <v>904.58052417639408</v>
      </c>
      <c r="G12" s="23"/>
      <c r="H12" s="23"/>
      <c r="I12" s="23"/>
      <c r="J12" s="23">
        <f>J8*J10</f>
        <v>96.33673336715195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0.14820899380152136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99.677687602545475</v>
      </c>
      <c r="C26" s="243">
        <f>B26*'GWP N2O_CH4'!B5</f>
        <v>2093.2314396534548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10.097956719177262</v>
      </c>
      <c r="C27" s="243">
        <f>B27*'GWP N2O_CH4'!B5</f>
        <v>212.0570911027225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1.4945094567235453</v>
      </c>
      <c r="C28" s="243">
        <f>B28*'GWP N2O_CH4'!B4</f>
        <v>463.29793158429902</v>
      </c>
      <c r="D28" s="50"/>
    </row>
    <row r="29" spans="1:4">
      <c r="A29" s="41" t="s">
        <v>266</v>
      </c>
      <c r="B29" s="243">
        <f>B34*'ha_N2O bodem landbouw'!B4</f>
        <v>12.334756749529491</v>
      </c>
      <c r="C29" s="243">
        <f>B29*'GWP N2O_CH4'!B4</f>
        <v>3823.7745923541424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2.8022359749262887E-3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5.9110558532467598E-3</v>
      </c>
      <c r="C5" s="432" t="s">
        <v>204</v>
      </c>
      <c r="D5" s="417">
        <f>SUM(D6:D11)</f>
        <v>9.4850607376841013E-3</v>
      </c>
      <c r="E5" s="417">
        <f>SUM(E6:E11)</f>
        <v>4.1105510796943124E-3</v>
      </c>
      <c r="F5" s="430" t="s">
        <v>204</v>
      </c>
      <c r="G5" s="417">
        <f>SUM(G6:G11)</f>
        <v>1.7848286955596748</v>
      </c>
      <c r="H5" s="417">
        <f>SUM(H6:H11)</f>
        <v>0.47503363822582029</v>
      </c>
      <c r="I5" s="432" t="s">
        <v>204</v>
      </c>
      <c r="J5" s="432" t="s">
        <v>204</v>
      </c>
      <c r="K5" s="432" t="s">
        <v>204</v>
      </c>
      <c r="L5" s="432" t="s">
        <v>204</v>
      </c>
      <c r="M5" s="417">
        <f>SUM(M6:M11)</f>
        <v>0.13615753070307807</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2.1656904145223271E-3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3.6108258885003261E-3</v>
      </c>
      <c r="E6" s="884">
        <f>vkm_GW_PW*SUMIFS(TableVerdeelsleutelVkm[LPG],TableVerdeelsleutelVkm[Voertuigtype],"Lichte voertuigen")*SUMIFS(TableECFTransport[EnergieConsumptieFactor (PJ per km)],TableECFTransport[Index],CONCATENATE($A6,"_LPG_LPG"))</f>
        <v>1.4315456046287013E-3</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0.43021541524673657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0.17708122140613097</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3.7255857686958577E-2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4.6906036305546959E-6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0.18593848445299735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1.3719568783996071E-6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1.0676273328502272E-2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6.7872636739873865E-4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1.5498399094077747E-3</v>
      </c>
      <c r="E8" s="420">
        <f>vkm_NGW_PW*SUMIFS(TableVerdeelsleutelVkm[LPG],TableVerdeelsleutelVkm[Voertuigtype],"Lichte voertuigen")*SUMIFS(TableECFTransport[EnergieConsumptieFactor (PJ per km)],TableECFTransport[Index],CONCATENATE($A8,"_LPG_LPG"))</f>
        <v>5.8832720869477211E-4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0.16195476197037703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7.5297169085469629E-2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1.4637135436828881E-2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5.7973147809924281E-7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2.9594026184258684E-2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2.0467040760603565E-7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1.6992379651601509E-3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3.0504556985730788E-3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4.3243949397760014E-3</v>
      </c>
      <c r="E10" s="420">
        <f>vkm_SW_PW*SUMIFS(TableVerdeelsleutelVkm[LPG],TableVerdeelsleutelVkm[Voertuigtype],"Lichte voertuigen")*SUMIFS(TableECFTransport[EnergieConsumptieFactor (PJ per km)],TableECFTransport[Index],CONCATENATE($A10,"_LPG_LPG"))</f>
        <v>2.0906782663708389E-3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0.57001713091045458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0.22265038571021789</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4.8513503101874085E-2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1.0913037643961008E-5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0.40710887679485064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3.285396715747515E-6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2.3375523183754091E-2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1641.959959235211</v>
      </c>
      <c r="C14" s="21"/>
      <c r="D14" s="21">
        <f t="shared" ref="D14:M14" si="0">((D5)*10^9/3600)+D12</f>
        <v>2634.739093801139</v>
      </c>
      <c r="E14" s="21">
        <f t="shared" si="0"/>
        <v>1141.8197443595313</v>
      </c>
      <c r="F14" s="21"/>
      <c r="G14" s="21">
        <f t="shared" si="0"/>
        <v>495785.74876657629</v>
      </c>
      <c r="H14" s="21">
        <f t="shared" si="0"/>
        <v>131953.78839606119</v>
      </c>
      <c r="I14" s="21"/>
      <c r="J14" s="21"/>
      <c r="K14" s="21"/>
      <c r="L14" s="21"/>
      <c r="M14" s="21">
        <f t="shared" si="0"/>
        <v>37821.53630641057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0.21315045723459064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349.98451607187502</v>
      </c>
      <c r="C18" s="23"/>
      <c r="D18" s="23">
        <f t="shared" ref="D18:M18" si="1">D14*D16</f>
        <v>532.21729694783016</v>
      </c>
      <c r="E18" s="23">
        <f t="shared" si="1"/>
        <v>259.19308196961362</v>
      </c>
      <c r="F18" s="23"/>
      <c r="G18" s="23">
        <f t="shared" si="1"/>
        <v>132374.79492067586</v>
      </c>
      <c r="H18" s="23">
        <f t="shared" si="1"/>
        <v>32856.49331061924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5.4627399350535384E-4</v>
      </c>
      <c r="C50" s="315">
        <f t="shared" ref="C50:P50" si="2">SUM(C51:C52)</f>
        <v>0</v>
      </c>
      <c r="D50" s="315">
        <f t="shared" si="2"/>
        <v>0</v>
      </c>
      <c r="E50" s="315">
        <f t="shared" si="2"/>
        <v>0</v>
      </c>
      <c r="F50" s="315">
        <f t="shared" si="2"/>
        <v>0</v>
      </c>
      <c r="G50" s="315">
        <f t="shared" si="2"/>
        <v>3.4198403495382654E-2</v>
      </c>
      <c r="H50" s="315">
        <f t="shared" si="2"/>
        <v>0</v>
      </c>
      <c r="I50" s="315">
        <f t="shared" si="2"/>
        <v>0</v>
      </c>
      <c r="J50" s="315">
        <f t="shared" si="2"/>
        <v>0</v>
      </c>
      <c r="K50" s="315">
        <f t="shared" si="2"/>
        <v>0</v>
      </c>
      <c r="L50" s="315">
        <f t="shared" si="2"/>
        <v>0</v>
      </c>
      <c r="M50" s="315">
        <f t="shared" si="2"/>
        <v>1.9635966054766607E-3</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5.4627399350535384E-4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3.4198403495382654E-2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1.9635966054766607E-3</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151.7427759737094</v>
      </c>
      <c r="C54" s="21">
        <f t="shared" ref="C54:P54" si="3">(C50)*10^9/3600</f>
        <v>0</v>
      </c>
      <c r="D54" s="21">
        <f t="shared" si="3"/>
        <v>0</v>
      </c>
      <c r="E54" s="21">
        <f t="shared" si="3"/>
        <v>0</v>
      </c>
      <c r="F54" s="21">
        <f t="shared" si="3"/>
        <v>0</v>
      </c>
      <c r="G54" s="21">
        <f t="shared" si="3"/>
        <v>9499.5565264951802</v>
      </c>
      <c r="H54" s="21">
        <f t="shared" si="3"/>
        <v>0</v>
      </c>
      <c r="I54" s="21">
        <f t="shared" si="3"/>
        <v>0</v>
      </c>
      <c r="J54" s="21">
        <f t="shared" si="3"/>
        <v>0</v>
      </c>
      <c r="K54" s="21">
        <f t="shared" si="3"/>
        <v>0</v>
      </c>
      <c r="L54" s="21">
        <f t="shared" si="3"/>
        <v>0</v>
      </c>
      <c r="M54" s="21">
        <f t="shared" si="3"/>
        <v>545.44350152129459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0.21315045723459064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32.344042080842215</v>
      </c>
      <c r="C58" s="23">
        <f t="shared" ref="C58:P58" ca="1" si="4">C54*C56</f>
        <v>0</v>
      </c>
      <c r="D58" s="23">
        <f t="shared" si="4"/>
        <v>0</v>
      </c>
      <c r="E58" s="23">
        <f t="shared" si="4"/>
        <v>0</v>
      </c>
      <c r="F58" s="23">
        <f t="shared" si="4"/>
        <v>0</v>
      </c>
      <c r="G58" s="23">
        <f t="shared" si="4"/>
        <v>2536.3815925742133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18889.154750348996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15210</v>
      </c>
      <c r="C8" s="543">
        <f>B49</f>
        <v>17894.117647058825</v>
      </c>
      <c r="D8" s="544"/>
      <c r="E8" s="544">
        <f>E49</f>
        <v>0</v>
      </c>
      <c r="F8" s="545"/>
      <c r="G8" s="546"/>
      <c r="H8" s="544">
        <f>I49</f>
        <v>0</v>
      </c>
      <c r="I8" s="544">
        <f>G49+F49</f>
        <v>0</v>
      </c>
      <c r="J8" s="544">
        <f>H49+D49+C49</f>
        <v>0</v>
      </c>
      <c r="K8" s="544"/>
      <c r="L8" s="544"/>
      <c r="M8" s="544"/>
      <c r="N8" s="547"/>
      <c r="O8" s="548">
        <f>C8*$C$12+D8*$D$12+E8*$E$12+F8*$F$12+G8*$G$12+H8*$H$12+I8*$I$12+J8*$J$12</f>
        <v>3614.6117647058827</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34099.154750349</v>
      </c>
      <c r="C10" s="558">
        <f t="shared" ref="C10:L10" si="0">SUM(C8:C9)</f>
        <v>17894.117647058825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3614.6117647058827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21728.571428571428</v>
      </c>
      <c r="C17" s="574">
        <f>B50</f>
        <v>25563.025210084033</v>
      </c>
      <c r="D17" s="575"/>
      <c r="E17" s="575">
        <f>E50</f>
        <v>0</v>
      </c>
      <c r="F17" s="576"/>
      <c r="G17" s="577"/>
      <c r="H17" s="574">
        <f>I50</f>
        <v>0</v>
      </c>
      <c r="I17" s="575">
        <f>G50+F50</f>
        <v>0</v>
      </c>
      <c r="J17" s="575">
        <f>H50+D50+C50</f>
        <v>0</v>
      </c>
      <c r="K17" s="575"/>
      <c r="L17" s="575"/>
      <c r="M17" s="575"/>
      <c r="N17" s="960"/>
      <c r="O17" s="578">
        <f>C17*$C$22+E17*$E$22+H17*$H$22+I17*$I$22+J17*$J$22+D17*$D$22+F17*$F$22+G17*$G$22+K17*$K$22+L17*$L$22</f>
        <v>5163.7310924369749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21728.571428571428</v>
      </c>
      <c r="C20" s="557">
        <f>SUM(C17:C19)</f>
        <v>25563.025210084033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5163.7310924369749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12025</v>
      </c>
      <c r="C28" s="785">
        <v>2800</v>
      </c>
      <c r="D28" s="635"/>
      <c r="E28" s="634"/>
      <c r="F28" s="634"/>
      <c r="G28" s="634" t="s">
        <v>868</v>
      </c>
      <c r="H28" s="634" t="s">
        <v>869</v>
      </c>
      <c r="I28" s="634"/>
      <c r="J28" s="784"/>
      <c r="K28" s="784"/>
      <c r="L28" s="634" t="s">
        <v>870</v>
      </c>
      <c r="M28" s="634">
        <v>3360</v>
      </c>
      <c r="N28" s="634">
        <v>15120</v>
      </c>
      <c r="O28" s="634">
        <v>21600</v>
      </c>
      <c r="P28" s="634">
        <v>43200</v>
      </c>
      <c r="Q28" s="634">
        <v>0</v>
      </c>
      <c r="R28" s="634">
        <v>0</v>
      </c>
      <c r="S28" s="634">
        <v>0</v>
      </c>
      <c r="T28" s="634">
        <v>0</v>
      </c>
      <c r="U28" s="634">
        <v>0</v>
      </c>
      <c r="V28" s="634">
        <v>0</v>
      </c>
      <c r="W28" s="634">
        <v>0</v>
      </c>
      <c r="X28" s="634">
        <v>500</v>
      </c>
      <c r="Y28" s="634" t="s">
        <v>40</v>
      </c>
      <c r="Z28" s="636" t="s">
        <v>373</v>
      </c>
    </row>
    <row r="29" spans="1:26" s="588" customFormat="1" ht="63.75" hidden="1">
      <c r="A29" s="587"/>
      <c r="B29" s="785">
        <v>12025</v>
      </c>
      <c r="C29" s="785">
        <v>2800</v>
      </c>
      <c r="D29" s="635"/>
      <c r="E29" s="634"/>
      <c r="F29" s="634"/>
      <c r="G29" s="634" t="s">
        <v>868</v>
      </c>
      <c r="H29" s="634" t="s">
        <v>869</v>
      </c>
      <c r="I29" s="634"/>
      <c r="J29" s="784"/>
      <c r="K29" s="784"/>
      <c r="L29" s="634" t="s">
        <v>870</v>
      </c>
      <c r="M29" s="634">
        <v>40</v>
      </c>
      <c r="N29" s="634">
        <v>90</v>
      </c>
      <c r="O29" s="634">
        <v>128.57142857142858</v>
      </c>
      <c r="P29" s="634">
        <v>257.14285714285717</v>
      </c>
      <c r="Q29" s="634">
        <v>0</v>
      </c>
      <c r="R29" s="634">
        <v>0</v>
      </c>
      <c r="S29" s="634">
        <v>0</v>
      </c>
      <c r="T29" s="634">
        <v>0</v>
      </c>
      <c r="U29" s="634">
        <v>0</v>
      </c>
      <c r="V29" s="634">
        <v>0</v>
      </c>
      <c r="W29" s="634">
        <v>0</v>
      </c>
      <c r="X29" s="634">
        <v>1600</v>
      </c>
      <c r="Y29" s="634" t="s">
        <v>49</v>
      </c>
      <c r="Z29" s="636" t="s">
        <v>149</v>
      </c>
    </row>
    <row r="30" spans="1:26" s="568" customFormat="1" hidden="1">
      <c r="A30" s="590" t="s">
        <v>269</v>
      </c>
      <c r="B30" s="591"/>
      <c r="C30" s="591"/>
      <c r="D30" s="591"/>
      <c r="E30" s="591"/>
      <c r="F30" s="591"/>
      <c r="G30" s="591"/>
      <c r="H30" s="591"/>
      <c r="I30" s="591"/>
      <c r="J30" s="591"/>
      <c r="K30" s="591"/>
      <c r="L30" s="592"/>
      <c r="M30" s="592">
        <f>SUM(M28:M29)</f>
        <v>3400</v>
      </c>
      <c r="N30" s="592">
        <f>SUM(N28:N29)</f>
        <v>15210</v>
      </c>
      <c r="O30" s="592">
        <f>SUM(O28:O29)</f>
        <v>21728.571428571428</v>
      </c>
      <c r="P30" s="592">
        <f>SUM(P28:P29)</f>
        <v>43457.142857142855</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3360</v>
      </c>
      <c r="N31" s="592">
        <f>SUMIF($Z$28:$Z$29,"industrie",N28:N29)</f>
        <v>15120</v>
      </c>
      <c r="O31" s="592">
        <f>SUMIF($Z$28:$Z$29,"industrie",O28:O29)</f>
        <v>21600</v>
      </c>
      <c r="P31" s="592">
        <f>SUMIF($Z$28:$Z$29,"industrie",P28:P29)</f>
        <v>43200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40</v>
      </c>
      <c r="N32" s="592">
        <f ca="1">SUMIF($Z$28:AD29,"tertiair",N28:N29)</f>
        <v>90</v>
      </c>
      <c r="O32" s="592">
        <f ca="1">SUMIF($Z$28:AE29,"tertiair",O28:O29)</f>
        <v>128.57142857142858</v>
      </c>
      <c r="P32" s="592">
        <f ca="1">SUMIF($Z$28:AF29,"tertiair",P28:P29)</f>
        <v>257.14285714285717</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0.41176470588235298</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17894.117647058825</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25563.025210084033</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2021-11-11T12:13:03Z</dcterms:modified>
</cp:coreProperties>
</file>