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35E217F-B72F-4FC0-86A8-4C84671562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<sst xmlns="http://schemas.openxmlformats.org/spreadsheetml/2006/main" count="2427" uniqueCount="873">
  <si>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</si>
  <si>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</si>
  <si>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</si>
  <si>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</si>
  <si>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</si>
  <si>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</si>
  <si>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</si>
  <si>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</si>
  <si>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</si>
  <si>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</si>
  <si>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</si>
  <si>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</si>
  <si>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</si>
  <si>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</si>
  <si>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</si>
  <si>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</si>
  <si>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</si>
  <si>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</si>
  <si>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</si>
  <si>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</si>
  <si>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</si>
  <si>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</si>
  <si>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</si>
  <si>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</si>
  <si>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</si>
  <si>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</si>
  <si>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</si>
  <si>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</si>
  <si>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</si>
  <si>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</si>
  <si>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</si>
  <si>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</si>
  <si>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</si>
  <si>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</si>
  <si>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</si>
  <si>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</si>
  <si>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</si>
  <si>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</si>
  <si>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</si>
  <si>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</si>
  <si>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</si>
  <si>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</si>
  <si>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</si>
  <si>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</si>
  <si>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</si>
  <si>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</si>
  <si>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</si>
  <si>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</si>
  <si>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</si>
  <si>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</si>
  <si>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</si>
  <si>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</si>
  <si>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</si>
  <si>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</si>
  <si>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</si>
  <si>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</si>
  <si>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</si>
  <si>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</si>
  <si>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</si>
  <si>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</si>
  <si>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</si>
  <si>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</si>
  <si>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</si>
  <si>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</si>
  <si>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</si>
  <si>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</si>
  <si>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</si>
  <si>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</si>
  <si>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</si>
  <si>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</si>
  <si>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</si>
  <si>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</si>
  <si>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</si>
  <si>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</si>
  <si>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</si>
  <si>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</si>
  <si>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</si>
  <si>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</si>
  <si>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</si>
  <si>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</si>
  <si>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</si>
  <si>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</si>
  <si>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</si>
  <si>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</si>
  <si>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</si>
  <si>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</si>
  <si>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</si>
  <si>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</si>
  <si>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</si>
  <si>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</si>
  <si>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</si>
  <si>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</si>
  <si>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</si>
  <si>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</si>
  <si>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</si>
  <si>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</si>
  <si>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</si>
  <si>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</si>
  <si>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</si>
  <si>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</si>
  <si>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</si>
  <si>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</si>
  <si>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</si>
  <si>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</si>
  <si>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</si>
  <si>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</si>
  <si>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</si>
  <si>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</si>
  <si>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</si>
  <si>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</si>
  <si>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</si>
  <si>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</si>
  <si>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</si>
  <si>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</si>
  <si>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</si>
  <si>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</si>
  <si>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</si>
  <si>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</si>
  <si>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</si>
  <si>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</si>
  <si>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</si>
  <si>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</si>
  <si>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</si>
  <si>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</si>
  <si>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</si>
  <si>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</si>
  <si>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</si>
  <si>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</si>
  <si>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</si>
  <si>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</si>
  <si>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</si>
  <si>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</si>
  <si>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</si>
  <si>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</si>
  <si>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</si>
  <si>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</si>
  <si>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</si>
  <si>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</si>
  <si>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</si>
  <si>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</si>
  <si>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</si>
  <si>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</si>
  <si>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</si>
  <si>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</si>
  <si>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</si>
  <si>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</si>
  <si>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</si>
  <si>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</si>
  <si>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</si>
  <si>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</si>
  <si>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</si>
  <si>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</si>
  <si>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</si>
  <si>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</si>
  <si>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</si>
  <si>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</si>
  <si>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</si>
  <si>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</si>
  <si>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</si>
  <si>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</si>
  <si>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</si>
  <si>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</si>
  <si>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</si>
  <si>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</si>
  <si>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</si>
  <si>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</si>
  <si>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</si>
  <si>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</si>
  <si>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</si>
  <si>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</si>
  <si>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</si>
  <si>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</si>
  <si>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</si>
  <si>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</si>
  <si>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</si>
  <si>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</si>
  <si>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</si>
  <si>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</si>
  <si>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</si>
  <si>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</si>
  <si>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</si>
  <si>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</si>
  <si>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</si>
  <si>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</si>
  <si>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</si>
  <si>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</si>
  <si>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</si>
  <si>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</si>
  <si>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</si>
  <si>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</si>
  <si>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</si>
  <si>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</si>
  <si>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</si>
  <si>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</si>
  <si>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</si>
  <si>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</si>
  <si>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</si>
  <si>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</si>
  <si>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</si>
  <si>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</si>
  <si>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</si>
  <si>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</si>
  <si>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</si>
  <si>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</si>
  <si>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</si>
  <si>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</si>
  <si>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</si>
  <si>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</si>
  <si>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</si>
  <si>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</si>
  <si>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</si>
  <si>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</si>
  <si>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</si>
  <si>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</si>
  <si>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</si>
  <si>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</si>
  <si>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</si>
  <si>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</si>
  <si>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</si>
  <si>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</si>
  <si>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</si>
  <si>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</si>
  <si>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</si>
  <si>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</si>
  <si>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</si>
  <si>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</si>
  <si>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</si>
  <si>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</si>
  <si>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</si>
  <si>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</si>
  <si>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</si>
  <si>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</si>
  <si>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</si>
  <si>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</si>
  <si>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</si>
  <si>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</si>
  <si>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</si>
  <si>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</si>
  <si>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</si>
  <si>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</si>
  <si>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</si>
  <si>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</si>
  <si>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</si>
  <si>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</si>
  <si>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</si>
  <si>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</si>
  <si>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</si>
  <si>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</si>
  <si>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</si>
  <si>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</si>
  <si>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</si>
  <si>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</si>
  <si>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</si>
  <si>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</si>
  <si>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</si>
  <si>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</si>
  <si>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</si>
  <si>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</si>
  <si>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</si>
  <si>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</si>
  <si>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</si>
  <si>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</si>
  <si>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</si>
  <si>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</si>
  <si>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</si>
  <si>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</si>
  <si>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</si>
  <si>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</si>
  <si>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</si>
  <si>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</si>
  <si>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</si>
  <si>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</si>
  <si>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</si>
  <si>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</si>
  <si>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</si>
  <si>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</si>
  <si>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</si>
  <si>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</si>
  <si>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</si>
  <si>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</si>
  <si>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</si>
  <si>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</si>
  <si>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</si>
  <si>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</si>
  <si>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</si>
  <si>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</si>
  <si>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</si>
  <si>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</si>
  <si>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</si>
  <si>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</si>
  <si>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</si>
  <si>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</si>
  <si>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</si>
  <si>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</si>
  <si>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</si>
  <si>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</si>
  <si>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</si>
  <si>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</si>
  <si>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</si>
  <si>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</si>
  <si>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</si>
  <si>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</si>
  <si>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</si>
  <si>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</si>
  <si>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</si>
  <si>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</si>
  <si>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</si>
  <si>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</si>
  <si>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</si>
  <si>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</si>
  <si>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</si>
  <si>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</si>
  <si>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</si>
  <si>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</si>
  <si>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</si>
  <si>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</si>
  <si>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</si>
  <si>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</si>
  <si>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</si>
  <si>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</si>
  <si>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</si>
  <si>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</si>
  <si>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</si>
  <si>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</si>
  <si>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</si>
  <si>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</si>
  <si>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</si>
  <si>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</si>
  <si>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</si>
  <si>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</si>
  <si>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</si>
  <si>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</si>
  <si>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</si>
  <si>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</si>
  <si>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</si>
  <si>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</si>
  <si>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</si>
  <si>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</si>
  <si>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</si>
  <si>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</si>
  <si>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</si>
  <si>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</si>
  <si>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</si>
  <si>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</si>
  <si>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</si>
  <si>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</si>
  <si>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</si>
  <si>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</si>
  <si>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</si>
  <si>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</si>
  <si>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</si>
  <si>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</si>
  <si>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</si>
  <si>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</si>
  <si>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</si>
  <si>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</si>
  <si>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</si>
  <si>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</si>
  <si>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</si>
  <si>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</si>
  <si>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</si>
  <si>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</si>
  <si>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</si>
  <si>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</si>
  <si>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</si>
  <si>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</si>
  <si>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</si>
  <si>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</si>
  <si>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</si>
  <si>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</si>
  <si>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</si>
  <si>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</si>
  <si>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</si>
  <si>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</si>
  <si>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</si>
  <si>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</si>
  <si>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</si>
  <si>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</si>
  <si>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</si>
  <si>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</si>
  <si>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</si>
  <si>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</si>
  <si>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</si>
  <si>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</si>
  <si>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</si>
  <si>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</si>
  <si>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</si>
  <si>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</si>
  <si>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</si>
  <si>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</si>
  <si>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</si>
  <si>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</si>
  <si>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</si>
  <si>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</si>
  <si>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</si>
  <si>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</si>
  <si>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</si>
  <si>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</si>
  <si>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</si>
  <si>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</si>
  <si>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</si>
  <si>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</si>
  <si>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</si>
  <si>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</si>
  <si>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</si>
  <si>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</si>
  <si>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</si>
  <si>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</si>
  <si>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</si>
  <si>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</si>
  <si>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</si>
  <si>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</si>
  <si>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</si>
  <si>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</si>
  <si>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</si>
  <si>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</si>
  <si>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</si>
  <si>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</si>
  <si>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</si>
  <si>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</si>
  <si>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</si>
  <si>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</si>
  <si>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</si>
  <si>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</si>
  <si>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</si>
  <si>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</si>
  <si>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</si>
  <si>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</si>
  <si>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</si>
  <si>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</si>
  <si>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</si>
  <si>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</si>
  <si>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</si>
  <si>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</si>
  <si>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</si>
  <si>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</si>
  <si>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</si>
  <si>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</si>
  <si>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</si>
  <si>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</si>
  <si>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</si>
  <si>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</si>
  <si>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</si>
  <si>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</si>
  <si>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</si>
  <si>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</si>
  <si>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</si>
  <si>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</si>
  <si>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</si>
  <si>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</si>
  <si>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</si>
  <si>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</si>
  <si>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</si>
  <si>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</si>
  <si>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</si>
  <si>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</si>
  <si>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</si>
  <si>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</si>
  <si>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</si>
  <si>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</si>
  <si>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</si>
  <si>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</si>
  <si>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</si>
  <si>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</si>
  <si>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</si>
  <si>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</si>
  <si>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</si>
  <si>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</si>
  <si>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</si>
  <si>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</si>
  <si>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</si>
  <si>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</si>
  <si>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</si>
  <si>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</si>
  <si>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</si>
  <si>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</si>
  <si>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</si>
  <si>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</si>
  <si>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</si>
  <si>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</si>
  <si>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</si>
  <si>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</si>
  <si>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</si>
  <si>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</si>
  <si>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</si>
  <si>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</si>
  <si>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</si>
  <si>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</si>
  <si>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</si>
  <si>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</si>
  <si>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</si>
  <si>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</si>
  <si>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</si>
  <si>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</si>
  <si>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</si>
  <si>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</si>
  <si>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</si>
  <si>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</si>
  <si>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</si>
  <si>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</si>
  <si>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</si>
  <si>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</si>
  <si>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</si>
  <si>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</si>
  <si>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</si>
  <si>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</si>
  <si>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</si>
  <si>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</si>
  <si>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</si>
  <si>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</si>
  <si>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</si>
  <si>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</si>
  <si>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</si>
  <si>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</si>
  <si>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</si>
  <si>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</si>
  <si>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</si>
  <si>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</si>
  <si>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</si>
  <si>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</si>
  <si>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</si>
  <si>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</si>
  <si>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</si>
  <si>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</si>
  <si>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</si>
  <si>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</si>
  <si>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</si>
  <si>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</si>
  <si>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</si>
  <si>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</si>
  <si>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</si>
  <si>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</si>
  <si>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</si>
  <si>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</si>
  <si>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</si>
  <si>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</si>
  <si>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</si>
  <si>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</si>
  <si>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</si>
  <si>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</si>
  <si>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</si>
  <si>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</si>
  <si>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</si>
  <si>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</si>
  <si>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</si>
  <si>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</si>
  <si>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</si>
  <si>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</si>
  <si>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</si>
  <si>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</si>
  <si>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</si>
  <si>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</si>
  <si>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</si>
  <si>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</si>
  <si>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</si>
  <si>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</si>
  <si>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</si>
  <si>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</si>
  <si>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</si>
  <si>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</si>
  <si>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</si>
  <si>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</si>
  <si>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</si>
  <si>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</si>
  <si>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</si>
  <si>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</si>
  <si>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</si>
  <si>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</si>
  <si>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</si>
  <si>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</si>
  <si>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</si>
  <si>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</si>
  <si>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</si>
  <si>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</si>
  <si>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</si>
  <si>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</si>
  <si>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</si>
  <si>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</si>
  <si>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</si>
  <si>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</si>
  <si>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</si>
  <si>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</si>
  <si>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</si>
  <si>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</si>
  <si>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</si>
  <si>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</si>
  <si>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</si>
  <si>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</si>
  <si>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</si>
  <si>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</si>
  <si>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</si>
  <si>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</si>
  <si>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</si>
  <si>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</si>
  <si>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</si>
  <si>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</si>
  <si>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</si>
  <si>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</si>
  <si>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</si>
  <si>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</si>
  <si>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</si>
  <si>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</si>
  <si>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</si>
  <si>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</si>
  <si>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</si>
  <si>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</si>
  <si>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</si>
  <si>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</si>
  <si>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</si>
  <si>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</si>
  <si>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</si>
  <si>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</si>
  <si>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</si>
  <si>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</si>
  <si>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</si>
  <si>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</si>
  <si>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</si>
  <si>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</si>
  <si>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</si>
  <si>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</si>
  <si>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</si>
  <si>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</si>
  <si>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</si>
  <si>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</si>
  <si>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</si>
  <si>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</si>
  <si>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</si>
  <si>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</si>
  <si>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</si>
  <si>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</si>
  <si>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</si>
  <si>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</si>
  <si>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</si>
  <si>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</si>
  <si>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</si>
  <si>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</si>
  <si>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</si>
  <si>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</si>
  <si>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</si>
  <si>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</si>
  <si>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</si>
  <si>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</si>
  <si>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</si>
  <si>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</si>
  <si>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</si>
  <si>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</si>
  <si>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</si>
  <si>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</si>
  <si>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</si>
  <si>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</si>
  <si>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</si>
  <si>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</si>
  <si>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</si>
  <si>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</si>
  <si>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</si>
  <si>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</si>
  <si>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</si>
  <si>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</si>
  <si>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</si>
  <si>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</si>
  <si>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</si>
  <si>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</si>
  <si>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</si>
  <si>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</si>
  <si>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</si>
  <si>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</si>
  <si>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</si>
  <si>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</si>
  <si>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</si>
  <si>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</si>
  <si>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</si>
  <si>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</si>
  <si>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</si>
  <si>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</si>
  <si>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</si>
  <si>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</si>
  <si>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</si>
  <si>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</si>
  <si>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</si>
  <si>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</si>
  <si>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</si>
  <si>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</si>
  <si>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</si>
  <si>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</si>
  <si>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</si>
  <si>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</si>
  <si>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</si>
  <si>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</si>
  <si>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</si>
  <si>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</si>
  <si>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</si>
  <si>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</si>
  <si>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</si>
  <si>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</si>
  <si>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</si>
  <si>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</si>
  <si>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</si>
  <si>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</si>
  <si>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</si>
  <si>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</si>
  <si>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</si>
  <si>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</si>
  <si>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</si>
  <si>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</si>
  <si>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</si>
  <si>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</si>
  <si>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</si>
  <si>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</si>
  <si>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</si>
  <si>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</si>
  <si>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</si>
  <si>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</si>
  <si>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</si>
  <si>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</si>
  <si>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</si>
  <si>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</si>
  <si>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</si>
  <si>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</si>
  <si>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</si>
  <si>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</si>
  <si>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</si>
  <si>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</si>
  <si>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</si>
  <si>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</si>
  <si>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</si>
  <si>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</si>
  <si>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</si>
  <si>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</si>
  <si>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</si>
  <si>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</si>
  <si>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</si>
  <si>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</si>
  <si>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</si>
  <si>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</si>
  <si>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</si>
  <si>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</si>
  <si>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</si>
  <si>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</si>
  <si>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</si>
  <si>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</si>
  <si>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</si>
  <si>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</si>
  <si>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</si>
  <si>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</si>
  <si>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</si>
  <si>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</si>
  <si>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</si>
  <si>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</si>
  <si>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</si>
  <si>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</si>
  <si>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</si>
  <si>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</si>
  <si>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</si>
  <si>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</si>
  <si>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</si>
  <si>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</si>
  <si>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</si>
  <si>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</si>
  <si>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</si>
  <si>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</si>
  <si>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</si>
  <si>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</si>
  <si>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</si>
  <si>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</si>
  <si>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</si>
  <si>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</si>
  <si>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</si>
  <si>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</si>
  <si>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</si>
  <si>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</si>
  <si>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</si>
  <si>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</si>
  <si>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</si>
  <si>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</si>
  <si>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</si>
  <si>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</si>
  <si>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</si>
  <si>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</si>
  <si>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</si>
  <si>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</si>
  <si>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</si>
  <si>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</si>
  <si>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</si>
  <si>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</si>
  <si>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</si>
  <si>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</si>
  <si>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</si>
  <si>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</si>
  <si>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</si>
  <si>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</si>
  <si>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</si>
  <si>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</si>
  <si>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</si>
  <si>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</si>
  <si>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</si>
  <si>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</si>
  <si>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</si>
  <si>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</si>
  <si>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</si>
  <si>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</si>
  <si>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</si>
  <si>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</si>
  <si>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</si>
  <si>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</si>
  <si>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</si>
  <si>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</si>
  <si>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</si>
  <si>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</si>
  <si>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</si>
  <si>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</si>
  <si>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</si>
  <si>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</si>
  <si>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</si>
  <si>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</si>
  <si>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</si>
  <si>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</si>
  <si>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</si>
  <si>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</si>
  <si>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</si>
  <si>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</si>
  <si>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</si>
  <si>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</si>
  <si>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</si>
  <si>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</si>
  <si>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</si>
  <si>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</si>
  <si>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</si>
  <si>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</si>
  <si>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</si>
  <si>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</si>
  <si>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</si>
  <si>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</si>
  <si>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</si>
  <si>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</si>
  <si>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</si>
  <si>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</si>
  <si>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</si>
  <si>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</si>
  <si>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</si>
  <si>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</si>
  <si>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</si>
  <si>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</si>
  <si>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</si>
  <si>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</si>
  <si>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</si>
  <si>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</si>
  <si>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</si>
  <si>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</si>
  <si>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</si>
  <si>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</si>
  <si>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</si>
  <si>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</si>
  <si>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</si>
  <si>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</si>
  <si>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</si>
  <si>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</si>
  <si>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</si>
  <si>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</si>
  <si>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</si>
  <si>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</si>
  <si>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</si>
  <si>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</si>
  <si>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</si>
  <si>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</si>
  <si>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12007</t>
  </si>
  <si>
    <t>BORNEM</t>
  </si>
  <si>
    <t>referentietaak LNE (2017); Jaarverslag De Lijn</t>
  </si>
  <si>
    <t>waterkracht</t>
  </si>
  <si>
    <t>interne verbrandingsmotor</t>
  </si>
  <si>
    <t>WKK interne verbrandinsgmotor (gas)</t>
  </si>
  <si>
    <t>IVERLEK</t>
  </si>
  <si>
    <t>Interne verbrandingsmotor</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</si>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</sst>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A432D52-1CD1-497E-91F8-43C2A76DE4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174564.29127917264</c:v>
                </c:pt>
                <c:pt idx="1">
                  <c:v>86114.559810072824</c:v>
                </c:pt>
                <c:pt idx="2">
                  <c:v>1567.7570000000001</c:v>
                </c:pt>
                <c:pt idx="3">
                  <c:v>5223.7977970590273</c:v>
                </c:pt>
                <c:pt idx="4">
                  <c:v>166384.56631195173</c:v>
                </c:pt>
                <c:pt idx="5">
                  <c:v>115567.48933918511</c:v>
                </c:pt>
                <c:pt idx="6">
                  <c:v>594.57507555273401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174564.29127917264</c:v>
                </c:pt>
                <c:pt idx="1">
                  <c:v>86114.559810072824</c:v>
                </c:pt>
                <c:pt idx="2">
                  <c:v>1567.7570000000001</c:v>
                </c:pt>
                <c:pt idx="3">
                  <c:v>5223.7977970590273</c:v>
                </c:pt>
                <c:pt idx="4">
                  <c:v>166384.56631195173</c:v>
                </c:pt>
                <c:pt idx="5">
                  <c:v>115567.48933918511</c:v>
                </c:pt>
                <c:pt idx="6">
                  <c:v>594.57507555273401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34440.376769710274</c:v>
                </c:pt>
                <c:pt idx="1">
                  <c:v>17364.497321241652</c:v>
                </c:pt>
                <c:pt idx="2">
                  <c:v>311.35525076936375</c:v>
                </c:pt>
                <c:pt idx="3">
                  <c:v>1288.1383224114961</c:v>
                </c:pt>
                <c:pt idx="4">
                  <c:v>34426.699730431807</c:v>
                </c:pt>
                <c:pt idx="5">
                  <c:v>28653.002639620936</c:v>
                </c:pt>
                <c:pt idx="6">
                  <c:v>149.65439603609872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34440.376769710274</c:v>
                </c:pt>
                <c:pt idx="1">
                  <c:v>17364.497321241652</c:v>
                </c:pt>
                <c:pt idx="2">
                  <c:v>311.35525076936375</c:v>
                </c:pt>
                <c:pt idx="3">
                  <c:v>1288.1383224114961</c:v>
                </c:pt>
                <c:pt idx="4">
                  <c:v>34426.699730431807</c:v>
                </c:pt>
                <c:pt idx="5">
                  <c:v>28653.002639620936</c:v>
                </c:pt>
                <c:pt idx="6">
                  <c:v>149.65439603609872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12007</v>
      </c>
      <c r="B6" s="384"/>
      <c r="C6" s="385"/>
    </row>
    <row r="7" spans="1:7" s="382" customFormat="1" ht="15.75" customHeight="1">
      <c r="A7" s="386" t="str">
        <f>txtMunicipality</f>
        <v>BORNEM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36907.160365688753</v>
      </c>
      <c r="D10" s="681">
        <f ca="1">tertiair!C16</f>
        <v>900.00000000000023</v>
      </c>
      <c r="E10" s="681">
        <f ca="1">tertiair!D16</f>
        <v>42010.801641276703</v>
      </c>
      <c r="F10" s="681">
        <f>tertiair!E16</f>
        <v>130.48087139454128</v>
      </c>
      <c r="G10" s="681">
        <f ca="1">tertiair!F16</f>
        <v>6054.0255151758365</v>
      </c>
      <c r="H10" s="681">
        <f>tertiair!G16</f>
        <v>0</v>
      </c>
      <c r="I10" s="681">
        <f>tertiair!H16</f>
        <v>0</v>
      </c>
      <c r="J10" s="681">
        <f>tertiair!I16</f>
        <v>0</v>
      </c>
      <c r="K10" s="681">
        <f>tertiair!J16</f>
        <v>3.5659666212128169E-2</v>
      </c>
      <c r="L10" s="681">
        <f>tertiair!K16</f>
        <v>0</v>
      </c>
      <c r="M10" s="681">
        <f ca="1">tertiair!L16</f>
        <v>0</v>
      </c>
      <c r="N10" s="681">
        <f>tertiair!M16</f>
        <v>0</v>
      </c>
      <c r="O10" s="681">
        <f ca="1">tertiair!N16</f>
        <v>1402.4252830407756</v>
      </c>
      <c r="P10" s="681">
        <f>tertiair!O16</f>
        <v>14.691782297523464</v>
      </c>
      <c r="Q10" s="682">
        <f>tertiair!P16</f>
        <v>262.69569153247511</v>
      </c>
      <c r="R10" s="684">
        <f ca="1">SUM(C10:Q10)</f>
        <v>87682.316810072807</v>
      </c>
      <c r="S10" s="67"/>
    </row>
    <row r="11" spans="1:19" s="443" customFormat="1">
      <c r="A11" s="802" t="s">
        <v>214</v>
      </c>
      <c r="B11" s="807"/>
      <c r="C11" s="681">
        <f>huishoudens!B8</f>
        <v>35805.6495876064</v>
      </c>
      <c r="D11" s="681">
        <f>huishoudens!C8</f>
        <v>0</v>
      </c>
      <c r="E11" s="681">
        <f>huishoudens!D8</f>
        <v>94468.354504640214</v>
      </c>
      <c r="F11" s="681">
        <f>huishoudens!E8</f>
        <v>1347.4585724950191</v>
      </c>
      <c r="G11" s="681">
        <f>huishoudens!F8</f>
        <v>29518.243072747773</v>
      </c>
      <c r="H11" s="681">
        <f>huishoudens!G8</f>
        <v>0</v>
      </c>
      <c r="I11" s="681">
        <f>huishoudens!H8</f>
        <v>0</v>
      </c>
      <c r="J11" s="681">
        <f>huishoudens!I8</f>
        <v>0</v>
      </c>
      <c r="K11" s="681">
        <f>huishoudens!J8</f>
        <v>168.22769579277127</v>
      </c>
      <c r="L11" s="681">
        <f>huishoudens!K8</f>
        <v>0</v>
      </c>
      <c r="M11" s="681">
        <f>huishoudens!L8</f>
        <v>0</v>
      </c>
      <c r="N11" s="681">
        <f>huishoudens!M8</f>
        <v>0</v>
      </c>
      <c r="O11" s="681">
        <f>huishoudens!N8</f>
        <v>11557.654425335359</v>
      </c>
      <c r="P11" s="681">
        <f>huishoudens!O8</f>
        <v>466.23018155595247</v>
      </c>
      <c r="Q11" s="682">
        <f>huishoudens!P8</f>
        <v>1232.4732389991477</v>
      </c>
      <c r="R11" s="684">
        <f>SUM(C11:Q11)</f>
        <v>174564.29127917264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68558.195620891842</v>
      </c>
      <c r="D13" s="681">
        <f>industrie!C18</f>
        <v>7714.2857142857147</v>
      </c>
      <c r="E13" s="681">
        <f>industrie!D18</f>
        <v>65297.353895718137</v>
      </c>
      <c r="F13" s="681">
        <f>industrie!E18</f>
        <v>5245.4424566082998</v>
      </c>
      <c r="G13" s="681">
        <f>industrie!F18</f>
        <v>17122.165805757209</v>
      </c>
      <c r="H13" s="681">
        <f>industrie!G18</f>
        <v>0</v>
      </c>
      <c r="I13" s="681">
        <f>industrie!H18</f>
        <v>0</v>
      </c>
      <c r="J13" s="681">
        <f>industrie!I18</f>
        <v>0</v>
      </c>
      <c r="K13" s="681">
        <f>industrie!J18</f>
        <v>71.813450359937605</v>
      </c>
      <c r="L13" s="681">
        <f>industrie!K18</f>
        <v>0</v>
      </c>
      <c r="M13" s="681">
        <f>industrie!L18</f>
        <v>0</v>
      </c>
      <c r="N13" s="681">
        <f>industrie!M18</f>
        <v>0</v>
      </c>
      <c r="O13" s="681">
        <f>industrie!N18</f>
        <v>2375.3093683305851</v>
      </c>
      <c r="P13" s="681">
        <f>industrie!O18</f>
        <v>0</v>
      </c>
      <c r="Q13" s="682">
        <f>industrie!P18</f>
        <v>0</v>
      </c>
      <c r="R13" s="684">
        <f>SUM(C13:Q13)</f>
        <v>166384.56631195173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141271.005574187</v>
      </c>
      <c r="D16" s="717">
        <f t="shared" ref="D16:R16" ca="1" si="0">SUM(D9:D15)</f>
        <v>8614.2857142857156</v>
      </c>
      <c r="E16" s="717">
        <f t="shared" ca="1" si="0"/>
        <v>201776.51004163505</v>
      </c>
      <c r="F16" s="717">
        <f t="shared" si="0"/>
        <v>6723.3819004978604</v>
      </c>
      <c r="G16" s="717">
        <f t="shared" ca="1" si="0"/>
        <v>52694.434393680815</v>
      </c>
      <c r="H16" s="717">
        <f t="shared" si="0"/>
        <v>0</v>
      </c>
      <c r="I16" s="717">
        <f t="shared" si="0"/>
        <v>0</v>
      </c>
      <c r="J16" s="717">
        <f t="shared" si="0"/>
        <v>0</v>
      </c>
      <c r="K16" s="717">
        <f t="shared" si="0"/>
        <v>240.076805818921</v>
      </c>
      <c r="L16" s="717">
        <f t="shared" si="0"/>
        <v>0</v>
      </c>
      <c r="M16" s="717">
        <f t="shared" ca="1" si="0"/>
        <v>0</v>
      </c>
      <c r="N16" s="717">
        <f t="shared" si="0"/>
        <v>0</v>
      </c>
      <c r="O16" s="717">
        <f t="shared" ca="1" si="0"/>
        <v>15335.389076706719</v>
      </c>
      <c r="P16" s="717">
        <f t="shared" si="0"/>
        <v>480.92196385347592</v>
      </c>
      <c r="Q16" s="717">
        <f t="shared" si="0"/>
        <v>1495.1689305316229</v>
      </c>
      <c r="R16" s="717">
        <f t="shared" ca="1" si="0"/>
        <v>428631.17440119718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8.848165950978391</v>
      </c>
      <c r="D19" s="681">
        <f>transport!C54</f>
        <v>0</v>
      </c>
      <c r="E19" s="681">
        <f>transport!D54</f>
        <v>0</v>
      </c>
      <c r="F19" s="681">
        <f>transport!E54</f>
        <v>0</v>
      </c>
      <c r="G19" s="681">
        <f>transport!F54</f>
        <v>0</v>
      </c>
      <c r="H19" s="681">
        <f>transport!G54</f>
        <v>553.92193841038033</v>
      </c>
      <c r="I19" s="681">
        <f>transport!H54</f>
        <v>0</v>
      </c>
      <c r="J19" s="681">
        <f>transport!I54</f>
        <v>0</v>
      </c>
      <c r="K19" s="681">
        <f>transport!J54</f>
        <v>0</v>
      </c>
      <c r="L19" s="681">
        <f>transport!K54</f>
        <v>0</v>
      </c>
      <c r="M19" s="681">
        <f>transport!L54</f>
        <v>0</v>
      </c>
      <c r="N19" s="681">
        <f>transport!M54</f>
        <v>31.804971191375337</v>
      </c>
      <c r="O19" s="681">
        <f>transport!N54</f>
        <v>0</v>
      </c>
      <c r="P19" s="681">
        <f>transport!O54</f>
        <v>0</v>
      </c>
      <c r="Q19" s="682">
        <f>transport!P54</f>
        <v>0</v>
      </c>
      <c r="R19" s="684">
        <f>SUM(C19:Q19)</f>
        <v>594.57507555273401</v>
      </c>
      <c r="S19" s="67"/>
    </row>
    <row r="20" spans="1:19" s="443" customFormat="1">
      <c r="A20" s="802" t="s">
        <v>296</v>
      </c>
      <c r="B20" s="807"/>
      <c r="C20" s="681">
        <f>transport!B14</f>
        <v>257.79633810019561</v>
      </c>
      <c r="D20" s="681">
        <f>transport!C14</f>
        <v>0</v>
      </c>
      <c r="E20" s="681">
        <f>transport!D14</f>
        <v>464.28548285832272</v>
      </c>
      <c r="F20" s="681">
        <f>transport!E14</f>
        <v>181.83465845039066</v>
      </c>
      <c r="G20" s="681">
        <f>transport!F14</f>
        <v>0</v>
      </c>
      <c r="H20" s="681">
        <f>transport!G14</f>
        <v>85439.079951163891</v>
      </c>
      <c r="I20" s="681">
        <f>transport!H14</f>
        <v>22708.867537900438</v>
      </c>
      <c r="J20" s="681">
        <f>transport!I14</f>
        <v>0</v>
      </c>
      <c r="K20" s="681">
        <f>transport!J14</f>
        <v>0</v>
      </c>
      <c r="L20" s="681">
        <f>transport!K14</f>
        <v>0</v>
      </c>
      <c r="M20" s="681">
        <f>transport!L14</f>
        <v>0</v>
      </c>
      <c r="N20" s="681">
        <f>transport!M14</f>
        <v>6515.625370711864</v>
      </c>
      <c r="O20" s="681">
        <f>transport!N14</f>
        <v>0</v>
      </c>
      <c r="P20" s="681">
        <f>transport!O14</f>
        <v>0</v>
      </c>
      <c r="Q20" s="682">
        <f>transport!P14</f>
        <v>0</v>
      </c>
      <c r="R20" s="684">
        <f>SUM(C20:Q20)</f>
        <v>115567.48933918511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266.64450405117401</v>
      </c>
      <c r="D22" s="805">
        <f t="shared" ref="D22:R22" si="1">SUM(D18:D21)</f>
        <v>0</v>
      </c>
      <c r="E22" s="805">
        <f t="shared" si="1"/>
        <v>464.28548285832272</v>
      </c>
      <c r="F22" s="805">
        <f t="shared" si="1"/>
        <v>181.83465845039066</v>
      </c>
      <c r="G22" s="805">
        <f t="shared" si="1"/>
        <v>0</v>
      </c>
      <c r="H22" s="805">
        <f t="shared" si="1"/>
        <v>85993.001889574269</v>
      </c>
      <c r="I22" s="805">
        <f t="shared" si="1"/>
        <v>22708.867537900438</v>
      </c>
      <c r="J22" s="805">
        <f t="shared" si="1"/>
        <v>0</v>
      </c>
      <c r="K22" s="805">
        <f t="shared" si="1"/>
        <v>0</v>
      </c>
      <c r="L22" s="805">
        <f t="shared" si="1"/>
        <v>0</v>
      </c>
      <c r="M22" s="805">
        <f t="shared" si="1"/>
        <v>0</v>
      </c>
      <c r="N22" s="805">
        <f t="shared" si="1"/>
        <v>6547.4303419032394</v>
      </c>
      <c r="O22" s="805">
        <f t="shared" si="1"/>
        <v>0</v>
      </c>
      <c r="P22" s="805">
        <f t="shared" si="1"/>
        <v>0</v>
      </c>
      <c r="Q22" s="805">
        <f t="shared" si="1"/>
        <v>0</v>
      </c>
      <c r="R22" s="805">
        <f t="shared" si="1"/>
        <v>116162.06441473785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963.63856696216294</v>
      </c>
      <c r="D24" s="681">
        <f>+landbouw!C8</f>
        <v>0</v>
      </c>
      <c r="E24" s="681">
        <f>+landbouw!D8</f>
        <v>937.15404059069999</v>
      </c>
      <c r="F24" s="681">
        <f>+landbouw!E8</f>
        <v>27.600239332813043</v>
      </c>
      <c r="G24" s="681">
        <f>+landbouw!F8</f>
        <v>3050.3819231508969</v>
      </c>
      <c r="H24" s="681">
        <f>+landbouw!G8</f>
        <v>0</v>
      </c>
      <c r="I24" s="681">
        <f>+landbouw!H8</f>
        <v>0</v>
      </c>
      <c r="J24" s="681">
        <f>+landbouw!I8</f>
        <v>0</v>
      </c>
      <c r="K24" s="681">
        <f>+landbouw!J8</f>
        <v>245.02302702245493</v>
      </c>
      <c r="L24" s="681">
        <f>+landbouw!K8</f>
        <v>0</v>
      </c>
      <c r="M24" s="681">
        <f>+landbouw!L8</f>
        <v>0</v>
      </c>
      <c r="N24" s="681">
        <f>+landbouw!M8</f>
        <v>0</v>
      </c>
      <c r="O24" s="681">
        <f>+landbouw!N8</f>
        <v>0</v>
      </c>
      <c r="P24" s="681">
        <f>+landbouw!O8</f>
        <v>0</v>
      </c>
      <c r="Q24" s="682">
        <f>+landbouw!P8</f>
        <v>0</v>
      </c>
      <c r="R24" s="684">
        <f>SUM(C24:Q24)</f>
        <v>5223.7977970590273</v>
      </c>
      <c r="S24" s="67"/>
    </row>
    <row r="25" spans="1:19" s="443" customFormat="1" ht="15" thickBot="1">
      <c r="A25" s="824" t="s">
        <v>690</v>
      </c>
      <c r="B25" s="937"/>
      <c r="C25" s="938">
        <f>IF(Onbekend_ele_kWh="---",0,Onbekend_ele_kWh)/1000+IF(REST_rest_ele_kWh="---",0,REST_rest_ele_kWh)/1000</f>
        <v>1647.27326617324</v>
      </c>
      <c r="D25" s="938"/>
      <c r="E25" s="938">
        <f>IF(onbekend_gas_kWh="---",0,onbekend_gas_kWh)/1000+IF(REST_rest_gas_kWh="---",0,REST_rest_gas_kWh)/1000</f>
        <v>3245.2861827499801</v>
      </c>
      <c r="F25" s="938"/>
      <c r="G25" s="938"/>
      <c r="H25" s="938"/>
      <c r="I25" s="938"/>
      <c r="J25" s="938"/>
      <c r="K25" s="938"/>
      <c r="L25" s="938"/>
      <c r="M25" s="938"/>
      <c r="N25" s="938"/>
      <c r="O25" s="938"/>
      <c r="P25" s="938"/>
      <c r="Q25" s="939"/>
      <c r="R25" s="684">
        <f>SUM(C25:Q25)</f>
        <v>4892.5594489232199</v>
      </c>
      <c r="S25" s="67"/>
    </row>
    <row r="26" spans="1:19" s="443" customFormat="1" ht="15.75" thickBot="1">
      <c r="A26" s="689" t="s">
        <v>691</v>
      </c>
      <c r="B26" s="810"/>
      <c r="C26" s="805">
        <f>SUM(C24:C25)</f>
        <v>2610.911833135403</v>
      </c>
      <c r="D26" s="805">
        <f t="shared" ref="D26:R26" si="2">SUM(D24:D25)</f>
        <v>0</v>
      </c>
      <c r="E26" s="805">
        <f t="shared" si="2"/>
        <v>4182.4402233406799</v>
      </c>
      <c r="F26" s="805">
        <f t="shared" si="2"/>
        <v>27.600239332813043</v>
      </c>
      <c r="G26" s="805">
        <f t="shared" si="2"/>
        <v>3050.3819231508969</v>
      </c>
      <c r="H26" s="805">
        <f t="shared" si="2"/>
        <v>0</v>
      </c>
      <c r="I26" s="805">
        <f t="shared" si="2"/>
        <v>0</v>
      </c>
      <c r="J26" s="805">
        <f t="shared" si="2"/>
        <v>0</v>
      </c>
      <c r="K26" s="805">
        <f t="shared" si="2"/>
        <v>245.02302702245493</v>
      </c>
      <c r="L26" s="805">
        <f t="shared" si="2"/>
        <v>0</v>
      </c>
      <c r="M26" s="805">
        <f t="shared" si="2"/>
        <v>0</v>
      </c>
      <c r="N26" s="805">
        <f t="shared" si="2"/>
        <v>0</v>
      </c>
      <c r="O26" s="805">
        <f t="shared" si="2"/>
        <v>0</v>
      </c>
      <c r="P26" s="805">
        <f t="shared" si="2"/>
        <v>0</v>
      </c>
      <c r="Q26" s="805">
        <f t="shared" si="2"/>
        <v>0</v>
      </c>
      <c r="R26" s="805">
        <f t="shared" si="2"/>
        <v>10116.357245982246</v>
      </c>
      <c r="S26" s="67"/>
    </row>
    <row r="27" spans="1:19" s="443" customFormat="1" ht="17.25" thickTop="1" thickBot="1">
      <c r="A27" s="690" t="s">
        <v>109</v>
      </c>
      <c r="B27" s="797"/>
      <c r="C27" s="691">
        <f ca="1">C22+C16+C26</f>
        <v>144148.56191137357</v>
      </c>
      <c r="D27" s="691">
        <f t="shared" ref="D27:R27" ca="1" si="3">D22+D16+D26</f>
        <v>8614.2857142857156</v>
      </c>
      <c r="E27" s="691">
        <f t="shared" ca="1" si="3"/>
        <v>206423.23574783406</v>
      </c>
      <c r="F27" s="691">
        <f t="shared" si="3"/>
        <v>6932.8167982810637</v>
      </c>
      <c r="G27" s="691">
        <f t="shared" ca="1" si="3"/>
        <v>55744.816316831711</v>
      </c>
      <c r="H27" s="691">
        <f t="shared" si="3"/>
        <v>85993.001889574269</v>
      </c>
      <c r="I27" s="691">
        <f t="shared" si="3"/>
        <v>22708.867537900438</v>
      </c>
      <c r="J27" s="691">
        <f t="shared" si="3"/>
        <v>0</v>
      </c>
      <c r="K27" s="691">
        <f t="shared" si="3"/>
        <v>485.09983284137593</v>
      </c>
      <c r="L27" s="691">
        <f t="shared" si="3"/>
        <v>0</v>
      </c>
      <c r="M27" s="691">
        <f t="shared" ca="1" si="3"/>
        <v>0</v>
      </c>
      <c r="N27" s="691">
        <f t="shared" si="3"/>
        <v>6547.4303419032394</v>
      </c>
      <c r="O27" s="691">
        <f t="shared" ca="1" si="3"/>
        <v>15335.389076706719</v>
      </c>
      <c r="P27" s="691">
        <f t="shared" si="3"/>
        <v>480.92196385347592</v>
      </c>
      <c r="Q27" s="691">
        <f t="shared" si="3"/>
        <v>1495.1689305316229</v>
      </c>
      <c r="R27" s="691">
        <f t="shared" ca="1" si="3"/>
        <v>554909.59606191725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7329.7316936515954</v>
      </c>
      <c r="D40" s="681">
        <f ca="1">tertiair!C20</f>
        <v>213.88235294117658</v>
      </c>
      <c r="E40" s="681">
        <f ca="1">tertiair!D20</f>
        <v>8486.1819315378943</v>
      </c>
      <c r="F40" s="681">
        <f>tertiair!E20</f>
        <v>29.619157806560871</v>
      </c>
      <c r="G40" s="681">
        <f ca="1">tertiair!F20</f>
        <v>1616.4248125519484</v>
      </c>
      <c r="H40" s="681">
        <f>tertiair!G20</f>
        <v>0</v>
      </c>
      <c r="I40" s="681">
        <f>tertiair!H20</f>
        <v>0</v>
      </c>
      <c r="J40" s="681">
        <f>tertiair!I20</f>
        <v>0</v>
      </c>
      <c r="K40" s="681">
        <f>tertiair!J20</f>
        <v>1.2623521839093372E-2</v>
      </c>
      <c r="L40" s="681">
        <f>tertiair!K20</f>
        <v>0</v>
      </c>
      <c r="M40" s="681">
        <f ca="1">tertiair!L20</f>
        <v>0</v>
      </c>
      <c r="N40" s="681">
        <f>tertiair!M20</f>
        <v>0</v>
      </c>
      <c r="O40" s="681">
        <f ca="1">tertiair!N20</f>
        <v>0</v>
      </c>
      <c r="P40" s="681">
        <f>tertiair!O20</f>
        <v>0</v>
      </c>
      <c r="Q40" s="764">
        <f>tertiair!P20</f>
        <v>0</v>
      </c>
      <c r="R40" s="843">
        <f t="shared" ca="1" si="4"/>
        <v>17675.852572011016</v>
      </c>
    </row>
    <row r="41" spans="1:18">
      <c r="A41" s="815" t="s">
        <v>214</v>
      </c>
      <c r="B41" s="822"/>
      <c r="C41" s="681">
        <f ca="1">huishoudens!B12</f>
        <v>7110.9725590822782</v>
      </c>
      <c r="D41" s="681">
        <f ca="1">huishoudens!C12</f>
        <v>0</v>
      </c>
      <c r="E41" s="681">
        <f>huishoudens!D12</f>
        <v>19082.607609937324</v>
      </c>
      <c r="F41" s="681">
        <f>huishoudens!E12</f>
        <v>305.87309595636935</v>
      </c>
      <c r="G41" s="681">
        <f>huishoudens!F12</f>
        <v>7881.3709004236562</v>
      </c>
      <c r="H41" s="681">
        <f>huishoudens!G12</f>
        <v>0</v>
      </c>
      <c r="I41" s="681">
        <f>huishoudens!H12</f>
        <v>0</v>
      </c>
      <c r="J41" s="681">
        <f>huishoudens!I12</f>
        <v>0</v>
      </c>
      <c r="K41" s="681">
        <f>huishoudens!J12</f>
        <v>59.55260431064103</v>
      </c>
      <c r="L41" s="681">
        <f>huishoudens!K12</f>
        <v>0</v>
      </c>
      <c r="M41" s="681">
        <f>huishoudens!L12</f>
        <v>0</v>
      </c>
      <c r="N41" s="681">
        <f>huishoudens!M12</f>
        <v>0</v>
      </c>
      <c r="O41" s="681">
        <f>huishoudens!N12</f>
        <v>0</v>
      </c>
      <c r="P41" s="681">
        <f>huishoudens!O12</f>
        <v>0</v>
      </c>
      <c r="Q41" s="764">
        <f>huishoudens!P12</f>
        <v>0</v>
      </c>
      <c r="R41" s="843">
        <f t="shared" ca="1" si="4"/>
        <v>34440.376769710274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13615.601263357697</v>
      </c>
      <c r="D43" s="681">
        <f ca="1">industrie!C22</f>
        <v>1833.2773109243701</v>
      </c>
      <c r="E43" s="681">
        <f>industrie!D22</f>
        <v>13190.065486935064</v>
      </c>
      <c r="F43" s="681">
        <f>industrie!E22</f>
        <v>1190.7154376500841</v>
      </c>
      <c r="G43" s="681">
        <f>industrie!F22</f>
        <v>4571.6182701371754</v>
      </c>
      <c r="H43" s="681">
        <f>industrie!G22</f>
        <v>0</v>
      </c>
      <c r="I43" s="681">
        <f>industrie!H22</f>
        <v>0</v>
      </c>
      <c r="J43" s="681">
        <f>industrie!I22</f>
        <v>0</v>
      </c>
      <c r="K43" s="681">
        <f>industrie!J22</f>
        <v>25.421961427417912</v>
      </c>
      <c r="L43" s="681">
        <f>industrie!K22</f>
        <v>0</v>
      </c>
      <c r="M43" s="681">
        <f>industrie!L22</f>
        <v>0</v>
      </c>
      <c r="N43" s="681">
        <f>industrie!M22</f>
        <v>0</v>
      </c>
      <c r="O43" s="681">
        <f>industrie!N22</f>
        <v>0</v>
      </c>
      <c r="P43" s="681">
        <f>industrie!O22</f>
        <v>0</v>
      </c>
      <c r="Q43" s="764">
        <f>industrie!P22</f>
        <v>0</v>
      </c>
      <c r="R43" s="842">
        <f t="shared" ca="1" si="4"/>
        <v>34426.699730431807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28056.305516091572</v>
      </c>
      <c r="D46" s="717">
        <f t="shared" ref="D46:Q46" ca="1" si="5">SUM(D39:D45)</f>
        <v>2047.1596638655467</v>
      </c>
      <c r="E46" s="717">
        <f t="shared" ca="1" si="5"/>
        <v>40758.855028410282</v>
      </c>
      <c r="F46" s="717">
        <f t="shared" si="5"/>
        <v>1526.2076914130143</v>
      </c>
      <c r="G46" s="717">
        <f t="shared" ca="1" si="5"/>
        <v>14069.41398311278</v>
      </c>
      <c r="H46" s="717">
        <f t="shared" si="5"/>
        <v>0</v>
      </c>
      <c r="I46" s="717">
        <f t="shared" si="5"/>
        <v>0</v>
      </c>
      <c r="J46" s="717">
        <f t="shared" si="5"/>
        <v>0</v>
      </c>
      <c r="K46" s="717">
        <f t="shared" si="5"/>
        <v>84.987189259898031</v>
      </c>
      <c r="L46" s="717">
        <f t="shared" si="5"/>
        <v>0</v>
      </c>
      <c r="M46" s="717">
        <f t="shared" ca="1" si="5"/>
        <v>0</v>
      </c>
      <c r="N46" s="717">
        <f t="shared" si="5"/>
        <v>0</v>
      </c>
      <c r="O46" s="717">
        <f t="shared" ca="1" si="5"/>
        <v>0</v>
      </c>
      <c r="P46" s="717">
        <f t="shared" si="5"/>
        <v>0</v>
      </c>
      <c r="Q46" s="717">
        <f t="shared" si="5"/>
        <v>0</v>
      </c>
      <c r="R46" s="717">
        <f ca="1">SUM(R39:R45)</f>
        <v>86542.9290721531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1.7572384805271624</v>
      </c>
      <c r="D49" s="681">
        <f ca="1">transport!C58</f>
        <v>0</v>
      </c>
      <c r="E49" s="681">
        <f>transport!D58</f>
        <v>0</v>
      </c>
      <c r="F49" s="681">
        <f>transport!E58</f>
        <v>0</v>
      </c>
      <c r="G49" s="681">
        <f>transport!F58</f>
        <v>0</v>
      </c>
      <c r="H49" s="681">
        <f>transport!G58</f>
        <v>147.89715755557157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149.65439603609872</v>
      </c>
    </row>
    <row r="50" spans="1:18">
      <c r="A50" s="818" t="s">
        <v>296</v>
      </c>
      <c r="B50" s="828"/>
      <c r="C50" s="687">
        <f ca="1">transport!B18</f>
        <v>51.198140717349744</v>
      </c>
      <c r="D50" s="687">
        <f>transport!C18</f>
        <v>0</v>
      </c>
      <c r="E50" s="687">
        <f>transport!D18</f>
        <v>93.785667537381201</v>
      </c>
      <c r="F50" s="687">
        <f>transport!E18</f>
        <v>41.276467468238678</v>
      </c>
      <c r="G50" s="687">
        <f>transport!F18</f>
        <v>0</v>
      </c>
      <c r="H50" s="687">
        <f>transport!G18</f>
        <v>22812.234346960759</v>
      </c>
      <c r="I50" s="687">
        <f>transport!H18</f>
        <v>5654.5080169372095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28653.002639620936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52.955379197876908</v>
      </c>
      <c r="D52" s="717">
        <f t="shared" ref="D52:Q52" ca="1" si="6">SUM(D48:D51)</f>
        <v>0</v>
      </c>
      <c r="E52" s="717">
        <f t="shared" si="6"/>
        <v>93.785667537381201</v>
      </c>
      <c r="F52" s="717">
        <f t="shared" si="6"/>
        <v>41.276467468238678</v>
      </c>
      <c r="G52" s="717">
        <f t="shared" si="6"/>
        <v>0</v>
      </c>
      <c r="H52" s="717">
        <f t="shared" si="6"/>
        <v>22960.131504516332</v>
      </c>
      <c r="I52" s="717">
        <f t="shared" si="6"/>
        <v>5654.5080169372095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28802.657035657034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191.37782683638761</v>
      </c>
      <c r="D54" s="687">
        <f ca="1">+landbouw!C12</f>
        <v>0</v>
      </c>
      <c r="E54" s="687">
        <f>+landbouw!D12</f>
        <v>189.30511619932142</v>
      </c>
      <c r="F54" s="687">
        <f>+landbouw!E12</f>
        <v>6.2652543285485613</v>
      </c>
      <c r="G54" s="687">
        <f>+landbouw!F12</f>
        <v>814.45197348128954</v>
      </c>
      <c r="H54" s="687">
        <f>+landbouw!G12</f>
        <v>0</v>
      </c>
      <c r="I54" s="687">
        <f>+landbouw!H12</f>
        <v>0</v>
      </c>
      <c r="J54" s="687">
        <f>+landbouw!I12</f>
        <v>0</v>
      </c>
      <c r="K54" s="687">
        <f>+landbouw!J12</f>
        <v>86.738151565949039</v>
      </c>
      <c r="L54" s="687">
        <f>+landbouw!K12</f>
        <v>0</v>
      </c>
      <c r="M54" s="687">
        <f>+landbouw!L12</f>
        <v>0</v>
      </c>
      <c r="N54" s="687">
        <f>+landbouw!M12</f>
        <v>0</v>
      </c>
      <c r="O54" s="687">
        <f>+landbouw!N12</f>
        <v>0</v>
      </c>
      <c r="P54" s="687">
        <f>+landbouw!O12</f>
        <v>0</v>
      </c>
      <c r="Q54" s="688">
        <f>+landbouw!P12</f>
        <v>0</v>
      </c>
      <c r="R54" s="716">
        <f ca="1">SUM(C54:Q54)</f>
        <v>1288.1383224114961</v>
      </c>
    </row>
    <row r="55" spans="1:18" ht="15" thickBot="1">
      <c r="A55" s="818" t="s">
        <v>690</v>
      </c>
      <c r="B55" s="828"/>
      <c r="C55" s="687">
        <f ca="1">C25*'EF ele_warmte'!B12</f>
        <v>327.14711583175068</v>
      </c>
      <c r="D55" s="687"/>
      <c r="E55" s="687">
        <f>E25*EF_CO2_aardgas</f>
        <v>655.54780891549603</v>
      </c>
      <c r="F55" s="687"/>
      <c r="G55" s="687"/>
      <c r="H55" s="687"/>
      <c r="I55" s="687"/>
      <c r="J55" s="687"/>
      <c r="K55" s="687"/>
      <c r="L55" s="687"/>
      <c r="M55" s="687"/>
      <c r="N55" s="687"/>
      <c r="O55" s="687"/>
      <c r="P55" s="687"/>
      <c r="Q55" s="688"/>
      <c r="R55" s="716">
        <f ca="1">SUM(C55:Q55)</f>
        <v>982.69492474724666</v>
      </c>
    </row>
    <row r="56" spans="1:18" ht="15.75" thickBot="1">
      <c r="A56" s="816" t="s">
        <v>691</v>
      </c>
      <c r="B56" s="829"/>
      <c r="C56" s="717">
        <f ca="1">SUM(C54:C55)</f>
        <v>518.52494266813824</v>
      </c>
      <c r="D56" s="717">
        <f t="shared" ref="D56:Q56" ca="1" si="7">SUM(D54:D55)</f>
        <v>0</v>
      </c>
      <c r="E56" s="717">
        <f t="shared" si="7"/>
        <v>844.85292511481748</v>
      </c>
      <c r="F56" s="717">
        <f t="shared" si="7"/>
        <v>6.2652543285485613</v>
      </c>
      <c r="G56" s="717">
        <f t="shared" si="7"/>
        <v>814.45197348128954</v>
      </c>
      <c r="H56" s="717">
        <f t="shared" si="7"/>
        <v>0</v>
      </c>
      <c r="I56" s="717">
        <f t="shared" si="7"/>
        <v>0</v>
      </c>
      <c r="J56" s="717">
        <f t="shared" si="7"/>
        <v>0</v>
      </c>
      <c r="K56" s="717">
        <f t="shared" si="7"/>
        <v>86.738151565949039</v>
      </c>
      <c r="L56" s="717">
        <f t="shared" si="7"/>
        <v>0</v>
      </c>
      <c r="M56" s="717">
        <f t="shared" si="7"/>
        <v>0</v>
      </c>
      <c r="N56" s="717">
        <f t="shared" si="7"/>
        <v>0</v>
      </c>
      <c r="O56" s="717">
        <f t="shared" si="7"/>
        <v>0</v>
      </c>
      <c r="P56" s="717">
        <f t="shared" si="7"/>
        <v>0</v>
      </c>
      <c r="Q56" s="718">
        <f t="shared" si="7"/>
        <v>0</v>
      </c>
      <c r="R56" s="719">
        <f ca="1">SUM(R54:R55)</f>
        <v>2270.8332471587428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28627.785837957585</v>
      </c>
      <c r="D61" s="725">
        <f t="shared" ref="D61:Q61" ca="1" si="8">D46+D52+D56</f>
        <v>2047.1596638655467</v>
      </c>
      <c r="E61" s="725">
        <f t="shared" ca="1" si="8"/>
        <v>41697.493621062487</v>
      </c>
      <c r="F61" s="725">
        <f t="shared" si="8"/>
        <v>1573.7494132098016</v>
      </c>
      <c r="G61" s="725">
        <f t="shared" ca="1" si="8"/>
        <v>14883.865956594069</v>
      </c>
      <c r="H61" s="725">
        <f t="shared" si="8"/>
        <v>22960.131504516332</v>
      </c>
      <c r="I61" s="725">
        <f t="shared" si="8"/>
        <v>5654.5080169372095</v>
      </c>
      <c r="J61" s="725">
        <f t="shared" si="8"/>
        <v>0</v>
      </c>
      <c r="K61" s="725">
        <f t="shared" si="8"/>
        <v>171.72534082584707</v>
      </c>
      <c r="L61" s="725">
        <f t="shared" si="8"/>
        <v>0</v>
      </c>
      <c r="M61" s="725">
        <f t="shared" ca="1" si="8"/>
        <v>0</v>
      </c>
      <c r="N61" s="725">
        <f t="shared" si="8"/>
        <v>0</v>
      </c>
      <c r="O61" s="725">
        <f t="shared" ca="1" si="8"/>
        <v>0</v>
      </c>
      <c r="P61" s="725">
        <f t="shared" si="8"/>
        <v>0</v>
      </c>
      <c r="Q61" s="725">
        <f t="shared" si="8"/>
        <v>0</v>
      </c>
      <c r="R61" s="725">
        <f ca="1">R46+R52+R56</f>
        <v>117616.41935496888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0.19859917753157136</v>
      </c>
      <c r="D63" s="771">
        <f t="shared" ca="1" si="9"/>
        <v>0.23764705882352943</v>
      </c>
      <c r="E63" s="963">
        <f t="shared" ca="1" si="9"/>
        <v>0.20200000000000004</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15065.285561818369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6030</v>
      </c>
      <c r="D76" s="946">
        <f>'lokale energieproductie'!C8</f>
        <v>7094.1176470588243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1433.0117647058826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15065.285561818369</v>
      </c>
      <c r="C78" s="743">
        <f>SUM(C72:C77)</f>
        <v>6030</v>
      </c>
      <c r="D78" s="744">
        <f t="shared" ref="D78:H78" si="10">SUM(D76:D77)</f>
        <v>7094.1176470588243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1433.0117647058826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8614.2857142857156</v>
      </c>
      <c r="D87" s="767">
        <f>'lokale energieproductie'!C17</f>
        <v>10134.453781512608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2047.1596638655469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8614.2857142857156</v>
      </c>
      <c r="D90" s="743">
        <f t="shared" ref="D90:H90" si="12">SUM(D87:D89)</f>
        <v>10134.453781512608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2047.1596638655469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35805.6495876064</v>
      </c>
      <c r="C4" s="447">
        <f>huishoudens!C8</f>
        <v>0</v>
      </c>
      <c r="D4" s="447">
        <f>huishoudens!D8</f>
        <v>94468.354504640214</v>
      </c>
      <c r="E4" s="447">
        <f>huishoudens!E8</f>
        <v>1347.4585724950191</v>
      </c>
      <c r="F4" s="447">
        <f>huishoudens!F8</f>
        <v>29518.243072747773</v>
      </c>
      <c r="G4" s="447">
        <f>huishoudens!G8</f>
        <v>0</v>
      </c>
      <c r="H4" s="447">
        <f>huishoudens!H8</f>
        <v>0</v>
      </c>
      <c r="I4" s="447">
        <f>huishoudens!I8</f>
        <v>0</v>
      </c>
      <c r="J4" s="447">
        <f>huishoudens!J8</f>
        <v>168.22769579277127</v>
      </c>
      <c r="K4" s="447">
        <f>huishoudens!K8</f>
        <v>0</v>
      </c>
      <c r="L4" s="447">
        <f>huishoudens!L8</f>
        <v>0</v>
      </c>
      <c r="M4" s="447">
        <f>huishoudens!M8</f>
        <v>0</v>
      </c>
      <c r="N4" s="447">
        <f>huishoudens!N8</f>
        <v>11557.654425335359</v>
      </c>
      <c r="O4" s="447">
        <f>huishoudens!O8</f>
        <v>466.23018155595247</v>
      </c>
      <c r="P4" s="448">
        <f>huishoudens!P8</f>
        <v>1232.4732389991477</v>
      </c>
      <c r="Q4" s="449">
        <f>SUM(B4:P4)</f>
        <v>174564.29127917264</v>
      </c>
    </row>
    <row r="5" spans="1:17">
      <c r="A5" s="446" t="s">
        <v>149</v>
      </c>
      <c r="B5" s="447">
        <f ca="1">tertiair!B16</f>
        <v>35339.403365688755</v>
      </c>
      <c r="C5" s="447">
        <f ca="1">tertiair!C16</f>
        <v>900.00000000000023</v>
      </c>
      <c r="D5" s="447">
        <f ca="1">tertiair!D16</f>
        <v>42010.801641276703</v>
      </c>
      <c r="E5" s="447">
        <f>tertiair!E16</f>
        <v>130.48087139454128</v>
      </c>
      <c r="F5" s="447">
        <f ca="1">tertiair!F16</f>
        <v>6054.0255151758365</v>
      </c>
      <c r="G5" s="447">
        <f>tertiair!G16</f>
        <v>0</v>
      </c>
      <c r="H5" s="447">
        <f>tertiair!H16</f>
        <v>0</v>
      </c>
      <c r="I5" s="447">
        <f>tertiair!I16</f>
        <v>0</v>
      </c>
      <c r="J5" s="447">
        <f>tertiair!J16</f>
        <v>3.5659666212128169E-2</v>
      </c>
      <c r="K5" s="447">
        <f>tertiair!K16</f>
        <v>0</v>
      </c>
      <c r="L5" s="447">
        <f ca="1">tertiair!L16</f>
        <v>0</v>
      </c>
      <c r="M5" s="447">
        <f>tertiair!M16</f>
        <v>0</v>
      </c>
      <c r="N5" s="447">
        <f ca="1">tertiair!N16</f>
        <v>1402.4252830407756</v>
      </c>
      <c r="O5" s="447">
        <f>tertiair!O16</f>
        <v>14.691782297523464</v>
      </c>
      <c r="P5" s="448">
        <f>tertiair!P16</f>
        <v>262.69569153247511</v>
      </c>
      <c r="Q5" s="446">
        <f t="shared" ref="Q5:Q14" ca="1" si="0">SUM(B5:P5)</f>
        <v>86114.559810072824</v>
      </c>
    </row>
    <row r="6" spans="1:17">
      <c r="A6" s="446" t="s">
        <v>187</v>
      </c>
      <c r="B6" s="447">
        <f>'openbare verlichting'!B8</f>
        <v>1567.7570000000001</v>
      </c>
      <c r="C6" s="447"/>
      <c r="D6" s="447"/>
      <c r="E6" s="447"/>
      <c r="F6" s="447"/>
      <c r="G6" s="447"/>
      <c r="H6" s="447"/>
      <c r="I6" s="447"/>
      <c r="J6" s="447"/>
      <c r="K6" s="447"/>
      <c r="L6" s="447"/>
      <c r="M6" s="447"/>
      <c r="N6" s="447"/>
      <c r="O6" s="447"/>
      <c r="P6" s="448"/>
      <c r="Q6" s="446">
        <f t="shared" si="0"/>
        <v>1567.7570000000001</v>
      </c>
    </row>
    <row r="7" spans="1:17">
      <c r="A7" s="446" t="s">
        <v>105</v>
      </c>
      <c r="B7" s="447">
        <f>landbouw!B8</f>
        <v>963.63856696216294</v>
      </c>
      <c r="C7" s="447">
        <f>landbouw!C8</f>
        <v>0</v>
      </c>
      <c r="D7" s="447">
        <f>landbouw!D8</f>
        <v>937.15404059069999</v>
      </c>
      <c r="E7" s="447">
        <f>landbouw!E8</f>
        <v>27.600239332813043</v>
      </c>
      <c r="F7" s="447">
        <f>landbouw!F8</f>
        <v>3050.3819231508969</v>
      </c>
      <c r="G7" s="447">
        <f>landbouw!G8</f>
        <v>0</v>
      </c>
      <c r="H7" s="447">
        <f>landbouw!H8</f>
        <v>0</v>
      </c>
      <c r="I7" s="447">
        <f>landbouw!I8</f>
        <v>0</v>
      </c>
      <c r="J7" s="447">
        <f>landbouw!J8</f>
        <v>245.02302702245493</v>
      </c>
      <c r="K7" s="447">
        <f>landbouw!K8</f>
        <v>0</v>
      </c>
      <c r="L7" s="447">
        <f>landbouw!L8</f>
        <v>0</v>
      </c>
      <c r="M7" s="447">
        <f>landbouw!M8</f>
        <v>0</v>
      </c>
      <c r="N7" s="447">
        <f>landbouw!N8</f>
        <v>0</v>
      </c>
      <c r="O7" s="447">
        <f>landbouw!O8</f>
        <v>0</v>
      </c>
      <c r="P7" s="448">
        <f>landbouw!P8</f>
        <v>0</v>
      </c>
      <c r="Q7" s="446">
        <f t="shared" si="0"/>
        <v>5223.7977970590273</v>
      </c>
    </row>
    <row r="8" spans="1:17">
      <c r="A8" s="446" t="s">
        <v>611</v>
      </c>
      <c r="B8" s="447">
        <f>industrie!B18</f>
        <v>68558.195620891842</v>
      </c>
      <c r="C8" s="447">
        <f>industrie!C18</f>
        <v>7714.2857142857147</v>
      </c>
      <c r="D8" s="447">
        <f>industrie!D18</f>
        <v>65297.353895718137</v>
      </c>
      <c r="E8" s="447">
        <f>industrie!E18</f>
        <v>5245.4424566082998</v>
      </c>
      <c r="F8" s="447">
        <f>industrie!F18</f>
        <v>17122.165805757209</v>
      </c>
      <c r="G8" s="447">
        <f>industrie!G18</f>
        <v>0</v>
      </c>
      <c r="H8" s="447">
        <f>industrie!H18</f>
        <v>0</v>
      </c>
      <c r="I8" s="447">
        <f>industrie!I18</f>
        <v>0</v>
      </c>
      <c r="J8" s="447">
        <f>industrie!J18</f>
        <v>71.813450359937605</v>
      </c>
      <c r="K8" s="447">
        <f>industrie!K18</f>
        <v>0</v>
      </c>
      <c r="L8" s="447">
        <f>industrie!L18</f>
        <v>0</v>
      </c>
      <c r="M8" s="447">
        <f>industrie!M18</f>
        <v>0</v>
      </c>
      <c r="N8" s="447">
        <f>industrie!N18</f>
        <v>2375.3093683305851</v>
      </c>
      <c r="O8" s="447">
        <f>industrie!O18</f>
        <v>0</v>
      </c>
      <c r="P8" s="448">
        <f>industrie!P18</f>
        <v>0</v>
      </c>
      <c r="Q8" s="446">
        <f t="shared" si="0"/>
        <v>166384.56631195173</v>
      </c>
    </row>
    <row r="9" spans="1:17" s="452" customFormat="1">
      <c r="A9" s="450" t="s">
        <v>537</v>
      </c>
      <c r="B9" s="451">
        <f>transport!B14</f>
        <v>257.79633810019561</v>
      </c>
      <c r="C9" s="451">
        <f>transport!C14</f>
        <v>0</v>
      </c>
      <c r="D9" s="451">
        <f>transport!D14</f>
        <v>464.28548285832272</v>
      </c>
      <c r="E9" s="451">
        <f>transport!E14</f>
        <v>181.83465845039066</v>
      </c>
      <c r="F9" s="451">
        <f>transport!F14</f>
        <v>0</v>
      </c>
      <c r="G9" s="451">
        <f>transport!G14</f>
        <v>85439.079951163891</v>
      </c>
      <c r="H9" s="451">
        <f>transport!H14</f>
        <v>22708.867537900438</v>
      </c>
      <c r="I9" s="451">
        <f>transport!I14</f>
        <v>0</v>
      </c>
      <c r="J9" s="451">
        <f>transport!J14</f>
        <v>0</v>
      </c>
      <c r="K9" s="451">
        <f>transport!K14</f>
        <v>0</v>
      </c>
      <c r="L9" s="451">
        <f>transport!L14</f>
        <v>0</v>
      </c>
      <c r="M9" s="451">
        <f>transport!M14</f>
        <v>6515.625370711864</v>
      </c>
      <c r="N9" s="451">
        <f>transport!N14</f>
        <v>0</v>
      </c>
      <c r="O9" s="451">
        <f>transport!O14</f>
        <v>0</v>
      </c>
      <c r="P9" s="451">
        <f>transport!P14</f>
        <v>0</v>
      </c>
      <c r="Q9" s="450">
        <f>SUM(B9:P9)</f>
        <v>115567.48933918511</v>
      </c>
    </row>
    <row r="10" spans="1:17">
      <c r="A10" s="446" t="s">
        <v>527</v>
      </c>
      <c r="B10" s="447">
        <f>transport!B54</f>
        <v>8.848165950978391</v>
      </c>
      <c r="C10" s="447">
        <f>transport!C54</f>
        <v>0</v>
      </c>
      <c r="D10" s="447">
        <f>transport!D54</f>
        <v>0</v>
      </c>
      <c r="E10" s="447">
        <f>transport!E54</f>
        <v>0</v>
      </c>
      <c r="F10" s="447">
        <f>transport!F54</f>
        <v>0</v>
      </c>
      <c r="G10" s="447">
        <f>transport!G54</f>
        <v>553.92193841038033</v>
      </c>
      <c r="H10" s="447">
        <f>transport!H54</f>
        <v>0</v>
      </c>
      <c r="I10" s="447">
        <f>transport!I54</f>
        <v>0</v>
      </c>
      <c r="J10" s="447">
        <f>transport!J54</f>
        <v>0</v>
      </c>
      <c r="K10" s="447">
        <f>transport!K54</f>
        <v>0</v>
      </c>
      <c r="L10" s="447">
        <f>transport!L54</f>
        <v>0</v>
      </c>
      <c r="M10" s="447">
        <f>transport!M54</f>
        <v>31.804971191375337</v>
      </c>
      <c r="N10" s="447">
        <f>transport!N54</f>
        <v>0</v>
      </c>
      <c r="O10" s="447">
        <f>transport!O54</f>
        <v>0</v>
      </c>
      <c r="P10" s="448">
        <f>transport!P54</f>
        <v>0</v>
      </c>
      <c r="Q10" s="446">
        <f t="shared" si="0"/>
        <v>594.57507555273401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1647.27326617324</v>
      </c>
      <c r="C14" s="454"/>
      <c r="D14" s="454">
        <f>'SEAP template'!E25</f>
        <v>3245.2861827499801</v>
      </c>
      <c r="E14" s="454"/>
      <c r="F14" s="454"/>
      <c r="G14" s="454"/>
      <c r="H14" s="454"/>
      <c r="I14" s="454"/>
      <c r="J14" s="454"/>
      <c r="K14" s="454"/>
      <c r="L14" s="454"/>
      <c r="M14" s="454"/>
      <c r="N14" s="454"/>
      <c r="O14" s="454"/>
      <c r="P14" s="455"/>
      <c r="Q14" s="446">
        <f t="shared" si="0"/>
        <v>4892.5594489232199</v>
      </c>
    </row>
    <row r="15" spans="1:17" s="458" customFormat="1">
      <c r="A15" s="456" t="s">
        <v>531</v>
      </c>
      <c r="B15" s="457">
        <f ca="1">SUM(B4:B14)</f>
        <v>144148.56191137354</v>
      </c>
      <c r="C15" s="457">
        <f t="shared" ref="C15:Q15" ca="1" si="1">SUM(C4:C14)</f>
        <v>8614.2857142857156</v>
      </c>
      <c r="D15" s="457">
        <f t="shared" ca="1" si="1"/>
        <v>206423.23574783409</v>
      </c>
      <c r="E15" s="457">
        <f t="shared" si="1"/>
        <v>6932.8167982810637</v>
      </c>
      <c r="F15" s="457">
        <f t="shared" ca="1" si="1"/>
        <v>55744.816316831711</v>
      </c>
      <c r="G15" s="457">
        <f t="shared" si="1"/>
        <v>85993.001889574269</v>
      </c>
      <c r="H15" s="457">
        <f t="shared" si="1"/>
        <v>22708.867537900438</v>
      </c>
      <c r="I15" s="457">
        <f t="shared" si="1"/>
        <v>0</v>
      </c>
      <c r="J15" s="457">
        <f t="shared" si="1"/>
        <v>485.09983284137593</v>
      </c>
      <c r="K15" s="457">
        <f t="shared" si="1"/>
        <v>0</v>
      </c>
      <c r="L15" s="457">
        <f t="shared" ca="1" si="1"/>
        <v>0</v>
      </c>
      <c r="M15" s="457">
        <f t="shared" si="1"/>
        <v>6547.4303419032394</v>
      </c>
      <c r="N15" s="457">
        <f t="shared" ca="1" si="1"/>
        <v>15335.389076706719</v>
      </c>
      <c r="O15" s="457">
        <f t="shared" si="1"/>
        <v>480.92196385347592</v>
      </c>
      <c r="P15" s="457">
        <f t="shared" si="1"/>
        <v>1495.1689305316229</v>
      </c>
      <c r="Q15" s="457">
        <f t="shared" ca="1" si="1"/>
        <v>554909.59606191714</v>
      </c>
    </row>
    <row r="17" spans="1:17">
      <c r="A17" s="459" t="s">
        <v>532</v>
      </c>
      <c r="B17" s="776">
        <f ca="1">huishoudens!B10</f>
        <v>0.19859917753157136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7110.9725590822782</v>
      </c>
      <c r="C22" s="447">
        <f t="shared" ref="C22:C32" ca="1" si="3">C4*$C$17</f>
        <v>0</v>
      </c>
      <c r="D22" s="447">
        <f t="shared" ref="D22:D32" si="4">D4*$D$17</f>
        <v>19082.607609937324</v>
      </c>
      <c r="E22" s="447">
        <f t="shared" ref="E22:E32" si="5">E4*$E$17</f>
        <v>305.87309595636935</v>
      </c>
      <c r="F22" s="447">
        <f t="shared" ref="F22:F32" si="6">F4*$F$17</f>
        <v>7881.3709004236562</v>
      </c>
      <c r="G22" s="447">
        <f t="shared" ref="G22:G32" si="7">G4*$G$17</f>
        <v>0</v>
      </c>
      <c r="H22" s="447">
        <f t="shared" ref="H22:H32" si="8">H4*$H$17</f>
        <v>0</v>
      </c>
      <c r="I22" s="447">
        <f t="shared" ref="I22:I32" si="9">I4*$I$17</f>
        <v>0</v>
      </c>
      <c r="J22" s="447">
        <f t="shared" ref="J22:J32" si="10">J4*$J$17</f>
        <v>59.55260431064103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34440.376769710274</v>
      </c>
    </row>
    <row r="23" spans="1:17">
      <c r="A23" s="446" t="s">
        <v>149</v>
      </c>
      <c r="B23" s="447">
        <f t="shared" ca="1" si="2"/>
        <v>7018.3764428822315</v>
      </c>
      <c r="C23" s="447">
        <f t="shared" ca="1" si="3"/>
        <v>213.88235294117658</v>
      </c>
      <c r="D23" s="447">
        <f t="shared" ca="1" si="4"/>
        <v>8486.1819315378943</v>
      </c>
      <c r="E23" s="447">
        <f t="shared" si="5"/>
        <v>29.619157806560871</v>
      </c>
      <c r="F23" s="447">
        <f t="shared" ca="1" si="6"/>
        <v>1616.4248125519484</v>
      </c>
      <c r="G23" s="447">
        <f t="shared" si="7"/>
        <v>0</v>
      </c>
      <c r="H23" s="447">
        <f t="shared" si="8"/>
        <v>0</v>
      </c>
      <c r="I23" s="447">
        <f t="shared" si="9"/>
        <v>0</v>
      </c>
      <c r="J23" s="447">
        <f t="shared" si="10"/>
        <v>1.2623521839093372E-2</v>
      </c>
      <c r="K23" s="447">
        <f t="shared" si="11"/>
        <v>0</v>
      </c>
      <c r="L23" s="447">
        <f t="shared" ca="1" si="12"/>
        <v>0</v>
      </c>
      <c r="M23" s="447">
        <f t="shared" si="13"/>
        <v>0</v>
      </c>
      <c r="N23" s="447">
        <f t="shared" ca="1" si="14"/>
        <v>0</v>
      </c>
      <c r="O23" s="447">
        <f t="shared" si="15"/>
        <v>0</v>
      </c>
      <c r="P23" s="448">
        <f t="shared" si="16"/>
        <v>0</v>
      </c>
      <c r="Q23" s="446">
        <f t="shared" ref="Q23:Q31" ca="1" si="17">SUM(B23:P23)</f>
        <v>17364.497321241652</v>
      </c>
    </row>
    <row r="24" spans="1:17">
      <c r="A24" s="446" t="s">
        <v>187</v>
      </c>
      <c r="B24" s="447">
        <f t="shared" ca="1" si="2"/>
        <v>311.35525076936375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311.35525076936375</v>
      </c>
    </row>
    <row r="25" spans="1:17">
      <c r="A25" s="446" t="s">
        <v>105</v>
      </c>
      <c r="B25" s="447">
        <f t="shared" ca="1" si="2"/>
        <v>191.37782683638761</v>
      </c>
      <c r="C25" s="447">
        <f t="shared" ca="1" si="3"/>
        <v>0</v>
      </c>
      <c r="D25" s="447">
        <f t="shared" si="4"/>
        <v>189.30511619932142</v>
      </c>
      <c r="E25" s="447">
        <f t="shared" si="5"/>
        <v>6.2652543285485613</v>
      </c>
      <c r="F25" s="447">
        <f t="shared" si="6"/>
        <v>814.45197348128954</v>
      </c>
      <c r="G25" s="447">
        <f t="shared" si="7"/>
        <v>0</v>
      </c>
      <c r="H25" s="447">
        <f t="shared" si="8"/>
        <v>0</v>
      </c>
      <c r="I25" s="447">
        <f t="shared" si="9"/>
        <v>0</v>
      </c>
      <c r="J25" s="447">
        <f t="shared" si="10"/>
        <v>86.738151565949039</v>
      </c>
      <c r="K25" s="447">
        <f t="shared" si="11"/>
        <v>0</v>
      </c>
      <c r="L25" s="447">
        <f t="shared" si="12"/>
        <v>0</v>
      </c>
      <c r="M25" s="447">
        <f t="shared" si="13"/>
        <v>0</v>
      </c>
      <c r="N25" s="447">
        <f t="shared" si="14"/>
        <v>0</v>
      </c>
      <c r="O25" s="447">
        <f t="shared" si="15"/>
        <v>0</v>
      </c>
      <c r="P25" s="448">
        <f t="shared" si="16"/>
        <v>0</v>
      </c>
      <c r="Q25" s="446">
        <f t="shared" ca="1" si="17"/>
        <v>1288.1383224114961</v>
      </c>
    </row>
    <row r="26" spans="1:17">
      <c r="A26" s="446" t="s">
        <v>611</v>
      </c>
      <c r="B26" s="447">
        <f t="shared" ca="1" si="2"/>
        <v>13615.601263357697</v>
      </c>
      <c r="C26" s="447">
        <f t="shared" ca="1" si="3"/>
        <v>1833.2773109243701</v>
      </c>
      <c r="D26" s="447">
        <f t="shared" si="4"/>
        <v>13190.065486935064</v>
      </c>
      <c r="E26" s="447">
        <f t="shared" si="5"/>
        <v>1190.7154376500841</v>
      </c>
      <c r="F26" s="447">
        <f t="shared" si="6"/>
        <v>4571.6182701371754</v>
      </c>
      <c r="G26" s="447">
        <f t="shared" si="7"/>
        <v>0</v>
      </c>
      <c r="H26" s="447">
        <f t="shared" si="8"/>
        <v>0</v>
      </c>
      <c r="I26" s="447">
        <f t="shared" si="9"/>
        <v>0</v>
      </c>
      <c r="J26" s="447">
        <f t="shared" si="10"/>
        <v>25.421961427417912</v>
      </c>
      <c r="K26" s="447">
        <f t="shared" si="11"/>
        <v>0</v>
      </c>
      <c r="L26" s="447">
        <f t="shared" si="12"/>
        <v>0</v>
      </c>
      <c r="M26" s="447">
        <f t="shared" si="13"/>
        <v>0</v>
      </c>
      <c r="N26" s="447">
        <f t="shared" si="14"/>
        <v>0</v>
      </c>
      <c r="O26" s="447">
        <f t="shared" si="15"/>
        <v>0</v>
      </c>
      <c r="P26" s="448">
        <f t="shared" si="16"/>
        <v>0</v>
      </c>
      <c r="Q26" s="446">
        <f t="shared" ca="1" si="17"/>
        <v>34426.699730431807</v>
      </c>
    </row>
    <row r="27" spans="1:17" s="452" customFormat="1">
      <c r="A27" s="450" t="s">
        <v>537</v>
      </c>
      <c r="B27" s="770">
        <f t="shared" ca="1" si="2"/>
        <v>51.198140717349744</v>
      </c>
      <c r="C27" s="451">
        <f t="shared" ca="1" si="3"/>
        <v>0</v>
      </c>
      <c r="D27" s="451">
        <f t="shared" si="4"/>
        <v>93.785667537381201</v>
      </c>
      <c r="E27" s="451">
        <f t="shared" si="5"/>
        <v>41.276467468238678</v>
      </c>
      <c r="F27" s="451">
        <f t="shared" si="6"/>
        <v>0</v>
      </c>
      <c r="G27" s="451">
        <f t="shared" si="7"/>
        <v>22812.234346960759</v>
      </c>
      <c r="H27" s="451">
        <f t="shared" si="8"/>
        <v>5654.5080169372095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28653.002639620936</v>
      </c>
    </row>
    <row r="28" spans="1:17" ht="16.5" customHeight="1">
      <c r="A28" s="446" t="s">
        <v>527</v>
      </c>
      <c r="B28" s="447">
        <f t="shared" ca="1" si="2"/>
        <v>1.7572384805271624</v>
      </c>
      <c r="C28" s="447">
        <f t="shared" ca="1" si="3"/>
        <v>0</v>
      </c>
      <c r="D28" s="447">
        <f t="shared" si="4"/>
        <v>0</v>
      </c>
      <c r="E28" s="447">
        <f t="shared" si="5"/>
        <v>0</v>
      </c>
      <c r="F28" s="447">
        <f t="shared" si="6"/>
        <v>0</v>
      </c>
      <c r="G28" s="447">
        <f t="shared" si="7"/>
        <v>147.89715755557157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149.65439603609872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327.14711583175068</v>
      </c>
      <c r="C32" s="447">
        <f t="shared" ca="1" si="3"/>
        <v>0</v>
      </c>
      <c r="D32" s="447">
        <f t="shared" si="4"/>
        <v>655.54780891549603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982.69492474724666</v>
      </c>
    </row>
    <row r="33" spans="1:17" s="458" customFormat="1">
      <c r="A33" s="456" t="s">
        <v>531</v>
      </c>
      <c r="B33" s="457">
        <f ca="1">SUM(B22:B32)</f>
        <v>28627.785837957585</v>
      </c>
      <c r="C33" s="457">
        <f t="shared" ref="C33:Q33" ca="1" si="19">SUM(C22:C32)</f>
        <v>2047.1596638655467</v>
      </c>
      <c r="D33" s="457">
        <f t="shared" ca="1" si="19"/>
        <v>41697.49362106248</v>
      </c>
      <c r="E33" s="457">
        <f t="shared" si="19"/>
        <v>1573.7494132098016</v>
      </c>
      <c r="F33" s="457">
        <f t="shared" ca="1" si="19"/>
        <v>14883.865956594069</v>
      </c>
      <c r="G33" s="457">
        <f t="shared" si="19"/>
        <v>22960.131504516332</v>
      </c>
      <c r="H33" s="457">
        <f t="shared" si="19"/>
        <v>5654.5080169372095</v>
      </c>
      <c r="I33" s="457">
        <f t="shared" si="19"/>
        <v>0</v>
      </c>
      <c r="J33" s="457">
        <f t="shared" si="19"/>
        <v>171.72534082584707</v>
      </c>
      <c r="K33" s="457">
        <f t="shared" si="19"/>
        <v>0</v>
      </c>
      <c r="L33" s="457">
        <f t="shared" ca="1" si="19"/>
        <v>0</v>
      </c>
      <c r="M33" s="457">
        <f t="shared" si="19"/>
        <v>0</v>
      </c>
      <c r="N33" s="457">
        <f t="shared" ca="1" si="19"/>
        <v>0</v>
      </c>
      <c r="O33" s="457">
        <f t="shared" si="19"/>
        <v>0</v>
      </c>
      <c r="P33" s="457">
        <f t="shared" si="19"/>
        <v>0</v>
      </c>
      <c r="Q33" s="457">
        <f t="shared" ca="1" si="19"/>
        <v>117616.41935496889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15065.285561818369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6030</v>
      </c>
      <c r="D8" s="1014">
        <f>'SEAP template'!D76</f>
        <v>7094.1176470588243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1433.0117647058826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15065.285561818369</v>
      </c>
      <c r="C10" s="1016">
        <f>SUM(C4:C9)</f>
        <v>6030</v>
      </c>
      <c r="D10" s="1016">
        <f t="shared" ref="D10:H10" si="0">SUM(D8:D9)</f>
        <v>7094.1176470588243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1433.0117647058826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0.19859917753157136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8614.2857142857156</v>
      </c>
      <c r="D17" s="1015">
        <f>'SEAP template'!D87</f>
        <v>10134.453781512608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2047.1596638655469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8614.2857142857156</v>
      </c>
      <c r="D20" s="1016">
        <f t="shared" ref="D20:H20" si="2">SUM(D17:D19)</f>
        <v>10134.453781512608</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2047.1596638655469</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0.19859917753157136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0.19859917753157136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0.19859917753157136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9208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1305.55</v>
      </c>
      <c r="C14" s="326"/>
      <c r="D14" s="326"/>
      <c r="E14" s="326"/>
      <c r="F14" s="326"/>
    </row>
    <row r="15" spans="1:6">
      <c r="A15" s="1310" t="s">
        <v>177</v>
      </c>
      <c r="B15" s="1311">
        <v>4</v>
      </c>
      <c r="C15" s="326"/>
      <c r="D15" s="326"/>
      <c r="E15" s="326"/>
      <c r="F15" s="326"/>
    </row>
    <row r="16" spans="1:6">
      <c r="A16" s="1310" t="s">
        <v>6</v>
      </c>
      <c r="B16" s="1311">
        <v>240</v>
      </c>
      <c r="C16" s="326"/>
      <c r="D16" s="326"/>
      <c r="E16" s="326"/>
      <c r="F16" s="326"/>
    </row>
    <row r="17" spans="1:6">
      <c r="A17" s="1310" t="s">
        <v>7</v>
      </c>
      <c r="B17" s="1311">
        <v>106</v>
      </c>
      <c r="C17" s="326"/>
      <c r="D17" s="326"/>
      <c r="E17" s="326"/>
      <c r="F17" s="326"/>
    </row>
    <row r="18" spans="1:6">
      <c r="A18" s="1310" t="s">
        <v>8</v>
      </c>
      <c r="B18" s="1311">
        <v>256</v>
      </c>
      <c r="C18" s="326"/>
      <c r="D18" s="326"/>
      <c r="E18" s="326"/>
      <c r="F18" s="326"/>
    </row>
    <row r="19" spans="1:6">
      <c r="A19" s="1310" t="s">
        <v>9</v>
      </c>
      <c r="B19" s="1311">
        <v>411</v>
      </c>
      <c r="C19" s="326"/>
      <c r="D19" s="326"/>
      <c r="E19" s="326"/>
      <c r="F19" s="326"/>
    </row>
    <row r="20" spans="1:6">
      <c r="A20" s="1310" t="s">
        <v>10</v>
      </c>
      <c r="B20" s="1311">
        <v>155</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198</v>
      </c>
      <c r="C26" s="326"/>
      <c r="D26" s="326"/>
      <c r="E26" s="326"/>
      <c r="F26" s="326"/>
    </row>
    <row r="27" spans="1:6">
      <c r="A27" s="1310" t="s">
        <v>17</v>
      </c>
      <c r="B27" s="1311">
        <v>7</v>
      </c>
      <c r="C27" s="326"/>
      <c r="D27" s="326"/>
      <c r="E27" s="326"/>
      <c r="F27" s="326"/>
    </row>
    <row r="28" spans="1:6">
      <c r="A28" s="1310" t="s">
        <v>18</v>
      </c>
      <c r="B28" s="1312">
        <v>0</v>
      </c>
      <c r="C28" s="326"/>
      <c r="D28" s="326"/>
      <c r="E28" s="326"/>
      <c r="F28" s="326"/>
    </row>
    <row r="29" spans="1:6">
      <c r="A29" s="1310" t="s">
        <v>678</v>
      </c>
      <c r="B29" s="1312">
        <v>74</v>
      </c>
      <c r="C29" s="326"/>
      <c r="D29" s="326"/>
      <c r="E29" s="326"/>
      <c r="F29" s="326"/>
    </row>
    <row r="30" spans="1:6">
      <c r="A30" s="1305" t="s">
        <v>679</v>
      </c>
      <c r="B30" s="1313">
        <v>28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3920.6185236417</v>
      </c>
    </row>
    <row r="37" spans="1:6">
      <c r="A37" s="1310" t="s">
        <v>24</v>
      </c>
      <c r="B37" s="1310" t="s">
        <v>27</v>
      </c>
      <c r="C37" s="1311">
        <v>0</v>
      </c>
      <c r="D37" s="1311">
        <v>0</v>
      </c>
      <c r="E37" s="1311">
        <v>0</v>
      </c>
      <c r="F37" s="1311">
        <v>0</v>
      </c>
    </row>
    <row r="38" spans="1:6">
      <c r="A38" s="1310" t="s">
        <v>24</v>
      </c>
      <c r="B38" s="1310" t="s">
        <v>28</v>
      </c>
      <c r="C38" s="1311">
        <v>1</v>
      </c>
      <c r="D38" s="1311">
        <v>3668.4339216039998</v>
      </c>
      <c r="E38" s="1311">
        <v>0</v>
      </c>
      <c r="F38" s="1311">
        <v>0</v>
      </c>
    </row>
    <row r="39" spans="1:6">
      <c r="A39" s="1310" t="s">
        <v>29</v>
      </c>
      <c r="B39" s="1310" t="s">
        <v>30</v>
      </c>
      <c r="C39" s="1311">
        <v>7335</v>
      </c>
      <c r="D39" s="1311">
        <v>104616117.945338</v>
      </c>
      <c r="E39" s="1311">
        <v>9301</v>
      </c>
      <c r="F39" s="1311">
        <v>29306066.938308802</v>
      </c>
    </row>
    <row r="40" spans="1:6">
      <c r="A40" s="1310" t="s">
        <v>29</v>
      </c>
      <c r="B40" s="1310" t="s">
        <v>28</v>
      </c>
      <c r="C40" s="1311">
        <v>0</v>
      </c>
      <c r="D40" s="1311">
        <v>0</v>
      </c>
      <c r="E40" s="1311">
        <v>0</v>
      </c>
      <c r="F40" s="1311">
        <v>0</v>
      </c>
    </row>
    <row r="41" spans="1:6">
      <c r="A41" s="1310" t="s">
        <v>31</v>
      </c>
      <c r="B41" s="1310" t="s">
        <v>32</v>
      </c>
      <c r="C41" s="1311">
        <v>89</v>
      </c>
      <c r="D41" s="1311">
        <v>9093597.1252927594</v>
      </c>
      <c r="E41" s="1311">
        <v>177</v>
      </c>
      <c r="F41" s="1311">
        <v>25481185.9495106</v>
      </c>
    </row>
    <row r="42" spans="1:6">
      <c r="A42" s="1310" t="s">
        <v>31</v>
      </c>
      <c r="B42" s="1310" t="s">
        <v>33</v>
      </c>
      <c r="C42" s="1311">
        <v>4</v>
      </c>
      <c r="D42" s="1311">
        <v>50656375.433458902</v>
      </c>
      <c r="E42" s="1311">
        <v>7</v>
      </c>
      <c r="F42" s="1311">
        <v>24481175.913032901</v>
      </c>
    </row>
    <row r="43" spans="1:6">
      <c r="A43" s="1310" t="s">
        <v>31</v>
      </c>
      <c r="B43" s="1310" t="s">
        <v>34</v>
      </c>
      <c r="C43" s="1311">
        <v>0</v>
      </c>
      <c r="D43" s="1311">
        <v>0</v>
      </c>
      <c r="E43" s="1311">
        <v>0</v>
      </c>
      <c r="F43" s="1311">
        <v>0</v>
      </c>
    </row>
    <row r="44" spans="1:6">
      <c r="A44" s="1310" t="s">
        <v>31</v>
      </c>
      <c r="B44" s="1310" t="s">
        <v>35</v>
      </c>
      <c r="C44" s="1311">
        <v>12</v>
      </c>
      <c r="D44" s="1311">
        <v>2416538.0028720601</v>
      </c>
      <c r="E44" s="1311">
        <v>26</v>
      </c>
      <c r="F44" s="1311">
        <v>990665.45746396203</v>
      </c>
    </row>
    <row r="45" spans="1:6">
      <c r="A45" s="1310" t="s">
        <v>31</v>
      </c>
      <c r="B45" s="1310" t="s">
        <v>36</v>
      </c>
      <c r="C45" s="1311">
        <v>5</v>
      </c>
      <c r="D45" s="1311">
        <v>311104.51934812102</v>
      </c>
      <c r="E45" s="1311">
        <v>6</v>
      </c>
      <c r="F45" s="1311">
        <v>1959597.6174399401</v>
      </c>
    </row>
    <row r="46" spans="1:6">
      <c r="A46" s="1310" t="s">
        <v>31</v>
      </c>
      <c r="B46" s="1310" t="s">
        <v>37</v>
      </c>
      <c r="C46" s="1311">
        <v>0</v>
      </c>
      <c r="D46" s="1311">
        <v>0</v>
      </c>
      <c r="E46" s="1311">
        <v>0</v>
      </c>
      <c r="F46" s="1311">
        <v>0</v>
      </c>
    </row>
    <row r="47" spans="1:6">
      <c r="A47" s="1310" t="s">
        <v>31</v>
      </c>
      <c r="B47" s="1310" t="s">
        <v>38</v>
      </c>
      <c r="C47" s="1311">
        <v>6</v>
      </c>
      <c r="D47" s="1311">
        <v>569183.54366017797</v>
      </c>
      <c r="E47" s="1311">
        <v>6</v>
      </c>
      <c r="F47" s="1311">
        <v>4164850.04952728</v>
      </c>
    </row>
    <row r="48" spans="1:6">
      <c r="A48" s="1310" t="s">
        <v>31</v>
      </c>
      <c r="B48" s="1310" t="s">
        <v>28</v>
      </c>
      <c r="C48" s="1311">
        <v>1</v>
      </c>
      <c r="D48" s="1311">
        <v>2325006.2726356899</v>
      </c>
      <c r="E48" s="1311">
        <v>1</v>
      </c>
      <c r="F48" s="1311">
        <v>9369.5576258468991</v>
      </c>
    </row>
    <row r="49" spans="1:6">
      <c r="A49" s="1310" t="s">
        <v>31</v>
      </c>
      <c r="B49" s="1310" t="s">
        <v>39</v>
      </c>
      <c r="C49" s="1311">
        <v>0</v>
      </c>
      <c r="D49" s="1311">
        <v>0</v>
      </c>
      <c r="E49" s="1311">
        <v>0</v>
      </c>
      <c r="F49" s="1311">
        <v>0</v>
      </c>
    </row>
    <row r="50" spans="1:6">
      <c r="A50" s="1310" t="s">
        <v>31</v>
      </c>
      <c r="B50" s="1310" t="s">
        <v>40</v>
      </c>
      <c r="C50" s="1311">
        <v>8</v>
      </c>
      <c r="D50" s="1311">
        <v>24025676.082012001</v>
      </c>
      <c r="E50" s="1311">
        <v>17</v>
      </c>
      <c r="F50" s="1311">
        <v>6071351.0762913097</v>
      </c>
    </row>
    <row r="51" spans="1:6">
      <c r="A51" s="1310" t="s">
        <v>41</v>
      </c>
      <c r="B51" s="1310" t="s">
        <v>42</v>
      </c>
      <c r="C51" s="1311">
        <v>12</v>
      </c>
      <c r="D51" s="1311">
        <v>1037822.85779701</v>
      </c>
      <c r="E51" s="1311">
        <v>40</v>
      </c>
      <c r="F51" s="1311">
        <v>963638.56696216296</v>
      </c>
    </row>
    <row r="52" spans="1:6">
      <c r="A52" s="1310" t="s">
        <v>41</v>
      </c>
      <c r="B52" s="1310" t="s">
        <v>28</v>
      </c>
      <c r="C52" s="1311">
        <v>0</v>
      </c>
      <c r="D52" s="1311">
        <v>0</v>
      </c>
      <c r="E52" s="1311">
        <v>0</v>
      </c>
      <c r="F52" s="1311">
        <v>0</v>
      </c>
    </row>
    <row r="53" spans="1:6">
      <c r="A53" s="1310" t="s">
        <v>43</v>
      </c>
      <c r="B53" s="1310" t="s">
        <v>44</v>
      </c>
      <c r="C53" s="1311">
        <v>174</v>
      </c>
      <c r="D53" s="1311">
        <v>3245286.1827499801</v>
      </c>
      <c r="E53" s="1311">
        <v>348</v>
      </c>
      <c r="F53" s="1311">
        <v>1647273.26617324</v>
      </c>
    </row>
    <row r="54" spans="1:6">
      <c r="A54" s="1310" t="s">
        <v>45</v>
      </c>
      <c r="B54" s="1310" t="s">
        <v>46</v>
      </c>
      <c r="C54" s="1311">
        <v>0</v>
      </c>
      <c r="D54" s="1311">
        <v>0</v>
      </c>
      <c r="E54" s="1311">
        <v>1</v>
      </c>
      <c r="F54" s="1311">
        <v>1567757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70</v>
      </c>
      <c r="D57" s="1311">
        <v>5127394.3008460002</v>
      </c>
      <c r="E57" s="1311">
        <v>106</v>
      </c>
      <c r="F57" s="1311">
        <v>3525712.8114268901</v>
      </c>
    </row>
    <row r="58" spans="1:6">
      <c r="A58" s="1310" t="s">
        <v>48</v>
      </c>
      <c r="B58" s="1310" t="s">
        <v>50</v>
      </c>
      <c r="C58" s="1311">
        <v>61</v>
      </c>
      <c r="D58" s="1311">
        <v>8790523.9661852196</v>
      </c>
      <c r="E58" s="1311">
        <v>65</v>
      </c>
      <c r="F58" s="1311">
        <v>4067849.6418962302</v>
      </c>
    </row>
    <row r="59" spans="1:6">
      <c r="A59" s="1310" t="s">
        <v>48</v>
      </c>
      <c r="B59" s="1310" t="s">
        <v>51</v>
      </c>
      <c r="C59" s="1311">
        <v>173</v>
      </c>
      <c r="D59" s="1311">
        <v>13774921.88734</v>
      </c>
      <c r="E59" s="1311">
        <v>262</v>
      </c>
      <c r="F59" s="1311">
        <v>10191674.776529901</v>
      </c>
    </row>
    <row r="60" spans="1:6">
      <c r="A60" s="1310" t="s">
        <v>48</v>
      </c>
      <c r="B60" s="1310" t="s">
        <v>52</v>
      </c>
      <c r="C60" s="1311">
        <v>68</v>
      </c>
      <c r="D60" s="1311">
        <v>4206654.8530419404</v>
      </c>
      <c r="E60" s="1311">
        <v>87</v>
      </c>
      <c r="F60" s="1311">
        <v>2671028.9281095299</v>
      </c>
    </row>
    <row r="61" spans="1:6">
      <c r="A61" s="1310" t="s">
        <v>48</v>
      </c>
      <c r="B61" s="1310" t="s">
        <v>53</v>
      </c>
      <c r="C61" s="1311">
        <v>273</v>
      </c>
      <c r="D61" s="1311">
        <v>14527910.893604901</v>
      </c>
      <c r="E61" s="1311">
        <v>612</v>
      </c>
      <c r="F61" s="1311">
        <v>13864196.3964641</v>
      </c>
    </row>
    <row r="62" spans="1:6">
      <c r="A62" s="1310" t="s">
        <v>48</v>
      </c>
      <c r="B62" s="1310" t="s">
        <v>54</v>
      </c>
      <c r="C62" s="1311">
        <v>24</v>
      </c>
      <c r="D62" s="1311">
        <v>2089539.4381587901</v>
      </c>
      <c r="E62" s="1311">
        <v>29</v>
      </c>
      <c r="F62" s="1311">
        <v>388940.8112621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8282.8195864354002</v>
      </c>
      <c r="E65" s="1311">
        <v>0</v>
      </c>
      <c r="F65" s="1311">
        <v>0</v>
      </c>
    </row>
    <row r="66" spans="1:6">
      <c r="A66" s="1310" t="s">
        <v>55</v>
      </c>
      <c r="B66" s="1310" t="s">
        <v>57</v>
      </c>
      <c r="C66" s="1311">
        <v>0</v>
      </c>
      <c r="D66" s="1311">
        <v>0</v>
      </c>
      <c r="E66" s="1311">
        <v>10</v>
      </c>
      <c r="F66" s="1311">
        <v>199063.25083265101</v>
      </c>
    </row>
    <row r="67" spans="1:6">
      <c r="A67" s="1310" t="s">
        <v>55</v>
      </c>
      <c r="B67" s="1310" t="s">
        <v>58</v>
      </c>
      <c r="C67" s="1311">
        <v>0</v>
      </c>
      <c r="D67" s="1311">
        <v>0</v>
      </c>
      <c r="E67" s="1311">
        <v>0</v>
      </c>
      <c r="F67" s="1311">
        <v>0</v>
      </c>
    </row>
    <row r="68" spans="1:6">
      <c r="A68" s="1305" t="s">
        <v>55</v>
      </c>
      <c r="B68" s="1305" t="s">
        <v>59</v>
      </c>
      <c r="C68" s="1313">
        <v>10</v>
      </c>
      <c r="D68" s="1313">
        <v>1173587.7323324599</v>
      </c>
      <c r="E68" s="1313">
        <v>16</v>
      </c>
      <c r="F68" s="1313">
        <v>520631.05271848501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102118154</v>
      </c>
      <c r="E73" s="445"/>
      <c r="F73" s="326"/>
    </row>
    <row r="74" spans="1:6">
      <c r="A74" s="1310" t="s">
        <v>63</v>
      </c>
      <c r="B74" s="1310" t="s">
        <v>632</v>
      </c>
      <c r="C74" s="1323" t="s">
        <v>634</v>
      </c>
      <c r="D74" s="1311">
        <v>11157535.216539232</v>
      </c>
      <c r="E74" s="445"/>
      <c r="F74" s="326"/>
    </row>
    <row r="75" spans="1:6">
      <c r="A75" s="1310" t="s">
        <v>64</v>
      </c>
      <c r="B75" s="1310" t="s">
        <v>631</v>
      </c>
      <c r="C75" s="1323" t="s">
        <v>635</v>
      </c>
      <c r="D75" s="1311">
        <v>23900235</v>
      </c>
      <c r="E75" s="445"/>
      <c r="F75" s="326"/>
    </row>
    <row r="76" spans="1:6">
      <c r="A76" s="1310" t="s">
        <v>64</v>
      </c>
      <c r="B76" s="1310" t="s">
        <v>632</v>
      </c>
      <c r="C76" s="1323" t="s">
        <v>636</v>
      </c>
      <c r="D76" s="1311">
        <v>629872.21653923148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165037.56692153701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6499.5826492975975</v>
      </c>
      <c r="C91" s="326"/>
      <c r="D91" s="326"/>
      <c r="E91" s="326"/>
      <c r="F91" s="326"/>
    </row>
    <row r="92" spans="1:6">
      <c r="A92" s="1305" t="s">
        <v>68</v>
      </c>
      <c r="B92" s="1306">
        <v>8565.7029125207719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4626</v>
      </c>
      <c r="C97" s="326"/>
      <c r="D97" s="326"/>
      <c r="E97" s="326"/>
      <c r="F97" s="326"/>
    </row>
    <row r="98" spans="1:6">
      <c r="A98" s="1310" t="s">
        <v>71</v>
      </c>
      <c r="B98" s="1311">
        <v>9</v>
      </c>
      <c r="C98" s="326"/>
      <c r="D98" s="326"/>
      <c r="E98" s="326"/>
      <c r="F98" s="326"/>
    </row>
    <row r="99" spans="1:6">
      <c r="A99" s="1310" t="s">
        <v>72</v>
      </c>
      <c r="B99" s="1311">
        <v>51</v>
      </c>
      <c r="C99" s="326"/>
      <c r="D99" s="326"/>
      <c r="E99" s="326"/>
      <c r="F99" s="326"/>
    </row>
    <row r="100" spans="1:6">
      <c r="A100" s="1310" t="s">
        <v>73</v>
      </c>
      <c r="B100" s="1311">
        <v>600</v>
      </c>
      <c r="C100" s="326"/>
      <c r="D100" s="326"/>
      <c r="E100" s="326"/>
      <c r="F100" s="326"/>
    </row>
    <row r="101" spans="1:6">
      <c r="A101" s="1310" t="s">
        <v>74</v>
      </c>
      <c r="B101" s="1311">
        <v>116</v>
      </c>
      <c r="C101" s="326"/>
      <c r="D101" s="326"/>
      <c r="E101" s="326"/>
      <c r="F101" s="326"/>
    </row>
    <row r="102" spans="1:6">
      <c r="A102" s="1310" t="s">
        <v>75</v>
      </c>
      <c r="B102" s="1311">
        <v>71</v>
      </c>
      <c r="C102" s="326"/>
      <c r="D102" s="326"/>
      <c r="E102" s="326"/>
      <c r="F102" s="326"/>
    </row>
    <row r="103" spans="1:6">
      <c r="A103" s="1310" t="s">
        <v>76</v>
      </c>
      <c r="B103" s="1311">
        <v>183</v>
      </c>
      <c r="C103" s="326"/>
      <c r="D103" s="326"/>
      <c r="E103" s="326"/>
      <c r="F103" s="326"/>
    </row>
    <row r="104" spans="1:6">
      <c r="A104" s="1310" t="s">
        <v>77</v>
      </c>
      <c r="B104" s="1311">
        <v>2061</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89</v>
      </c>
      <c r="C123" s="1311">
        <v>55</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179</v>
      </c>
      <c r="C129" s="326"/>
      <c r="D129" s="326"/>
      <c r="E129" s="326"/>
      <c r="F129" s="326"/>
    </row>
    <row r="130" spans="1:6">
      <c r="A130" s="1310" t="s">
        <v>284</v>
      </c>
      <c r="B130" s="1311">
        <v>3</v>
      </c>
      <c r="C130" s="326"/>
      <c r="D130" s="326"/>
      <c r="E130" s="326"/>
      <c r="F130" s="326"/>
    </row>
    <row r="131" spans="1:6">
      <c r="A131" s="1310" t="s">
        <v>285</v>
      </c>
      <c r="B131" s="1311">
        <v>3</v>
      </c>
      <c r="C131" s="326"/>
      <c r="D131" s="326"/>
      <c r="E131" s="326"/>
      <c r="F131" s="326"/>
    </row>
    <row r="132" spans="1:6">
      <c r="A132" s="1305" t="s">
        <v>286</v>
      </c>
      <c r="B132" s="1306">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144148.56191137357</v>
      </c>
      <c r="C3" s="43" t="s">
        <v>163</v>
      </c>
      <c r="D3" s="43"/>
      <c r="E3" s="154"/>
      <c r="F3" s="43"/>
      <c r="G3" s="43"/>
      <c r="H3" s="43"/>
      <c r="I3" s="43"/>
      <c r="J3" s="43"/>
      <c r="K3" s="96"/>
    </row>
    <row r="4" spans="1:11">
      <c r="A4" s="352" t="s">
        <v>164</v>
      </c>
      <c r="B4" s="49">
        <f>IF(ISERROR('SEAP template'!B78+'SEAP template'!C78),0,'SEAP template'!B78+'SEAP template'!C78)</f>
        <v>21095.285561818368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1433.0117647058826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0.19859917753157136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2047.1596638655469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8614.2857142857156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1567.7570000000001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1567.7570000000001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0.19859917753157136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311.35525076936375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29306.066938308802</v>
      </c>
      <c r="C5" s="17">
        <f>IF(ISERROR('Eigen informatie GS &amp; warmtenet'!B59),0,'Eigen informatie GS &amp; warmtenet'!B59)</f>
        <v>0</v>
      </c>
      <c r="D5" s="30">
        <f>(SUM(HH_hh_gas_kWh,HH_rest_gas_kWh)/1000)*0.903</f>
        <v>94468.354504640214</v>
      </c>
      <c r="E5" s="17">
        <f>B32*B41</f>
        <v>1347.4585724950191</v>
      </c>
      <c r="F5" s="17">
        <f>B36*B45</f>
        <v>29518.243072747773</v>
      </c>
      <c r="G5" s="18"/>
      <c r="H5" s="17"/>
      <c r="I5" s="17"/>
      <c r="J5" s="17">
        <f>B35*B44+C35*C44</f>
        <v>168.22769579277127</v>
      </c>
      <c r="K5" s="17"/>
      <c r="L5" s="17"/>
      <c r="M5" s="17"/>
      <c r="N5" s="17">
        <f>B34*B43+C34*C43</f>
        <v>11557.654425335359</v>
      </c>
      <c r="O5" s="17">
        <f>B52*B53*B54</f>
        <v>466.23018155595247</v>
      </c>
      <c r="P5" s="17">
        <f>B60*B61*B62/1000-B60*B61*B62/1000/B63</f>
        <v>1232.4732389991477</v>
      </c>
    </row>
    <row r="6" spans="1:16">
      <c r="A6" s="16" t="s">
        <v>597</v>
      </c>
      <c r="B6" s="778">
        <f>kWh_PV_kleiner_dan_10kW</f>
        <v>6499.5826492975975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35805.6495876064</v>
      </c>
      <c r="C8" s="21">
        <f>C5</f>
        <v>0</v>
      </c>
      <c r="D8" s="21">
        <f>D5</f>
        <v>94468.354504640214</v>
      </c>
      <c r="E8" s="21">
        <f>E5</f>
        <v>1347.4585724950191</v>
      </c>
      <c r="F8" s="21">
        <f>F5</f>
        <v>29518.243072747773</v>
      </c>
      <c r="G8" s="21"/>
      <c r="H8" s="21"/>
      <c r="I8" s="21"/>
      <c r="J8" s="21">
        <f>J5</f>
        <v>168.22769579277127</v>
      </c>
      <c r="K8" s="21"/>
      <c r="L8" s="21">
        <f>L5</f>
        <v>0</v>
      </c>
      <c r="M8" s="21">
        <f>M5</f>
        <v>0</v>
      </c>
      <c r="N8" s="21">
        <f>N5</f>
        <v>11557.654425335359</v>
      </c>
      <c r="O8" s="21">
        <f>O5</f>
        <v>466.23018155595247</v>
      </c>
      <c r="P8" s="21">
        <f>P5</f>
        <v>1232.4732389991477</v>
      </c>
    </row>
    <row r="9" spans="1:16">
      <c r="B9" s="19"/>
      <c r="C9" s="19"/>
      <c r="D9" s="254"/>
      <c r="E9" s="19"/>
      <c r="F9" s="19"/>
      <c r="G9" s="19"/>
      <c r="H9" s="19"/>
      <c r="I9" s="19"/>
      <c r="J9" s="19"/>
      <c r="K9" s="19"/>
      <c r="L9" s="19"/>
      <c r="M9" s="19"/>
      <c r="N9" s="19"/>
      <c r="O9" s="19"/>
      <c r="P9" s="19"/>
    </row>
    <row r="10" spans="1:16">
      <c r="A10" s="24" t="s">
        <v>207</v>
      </c>
      <c r="B10" s="25">
        <f ca="1">'EF ele_warmte'!B12</f>
        <v>0.19859917753157136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7110.9725590822782</v>
      </c>
      <c r="C12" s="23">
        <f ca="1">C10*C8</f>
        <v>0</v>
      </c>
      <c r="D12" s="23">
        <f>D8*D10</f>
        <v>19082.607609937324</v>
      </c>
      <c r="E12" s="23">
        <f>E10*E8</f>
        <v>305.87309595636935</v>
      </c>
      <c r="F12" s="23">
        <f>F10*F8</f>
        <v>7881.3709004236562</v>
      </c>
      <c r="G12" s="23"/>
      <c r="H12" s="23"/>
      <c r="I12" s="23"/>
      <c r="J12" s="23">
        <f>J10*J8</f>
        <v>59.55260431064103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9208</v>
      </c>
      <c r="C26" s="36"/>
      <c r="D26" s="225"/>
    </row>
    <row r="27" spans="1:5" s="15" customFormat="1">
      <c r="A27" s="227" t="s">
        <v>860</v>
      </c>
      <c r="B27" s="37">
        <f>SUM(HH_hh_gas_aantal,HH_rest_gas_aantal)</f>
        <v>7335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6968.25</v>
      </c>
      <c r="C31" s="34" t="s">
        <v>104</v>
      </c>
      <c r="D31" s="171"/>
    </row>
    <row r="32" spans="1:5">
      <c r="A32" s="168" t="s">
        <v>72</v>
      </c>
      <c r="B32" s="33">
        <f>IF((B21*($B$26-($B$27-0.05*$B$27)-$B$60))&lt;0,0,(B21*($B$26-($B$27-0.05*$B$27)-$B$60)))</f>
        <v>33.699078027549881</v>
      </c>
      <c r="C32" s="34" t="s">
        <v>104</v>
      </c>
      <c r="D32" s="171"/>
    </row>
    <row r="33" spans="1:6">
      <c r="A33" s="168" t="s">
        <v>73</v>
      </c>
      <c r="B33" s="33">
        <f>IF((B22*($B$26-($B$27-0.05*$B$27)-$B$60))&lt;0,0,B22*($B$26-($B$27-0.05*$B$27)-$B$60))</f>
        <v>547.20628541082647</v>
      </c>
      <c r="C33" s="34" t="s">
        <v>104</v>
      </c>
      <c r="D33" s="171"/>
    </row>
    <row r="34" spans="1:6">
      <c r="A34" s="168" t="s">
        <v>74</v>
      </c>
      <c r="B34" s="33">
        <f>IF((B24*($B$26-($B$27-0.05*$B$27)-$B$60))&lt;0,0,B24*($B$26-($B$27-0.05*$B$27)-$B$60))</f>
        <v>104.906767881723</v>
      </c>
      <c r="C34" s="33">
        <f>B26*C24</f>
        <v>1886.7738937386587</v>
      </c>
      <c r="D34" s="230"/>
    </row>
    <row r="35" spans="1:6">
      <c r="A35" s="168" t="s">
        <v>76</v>
      </c>
      <c r="B35" s="33">
        <f>IF((B19*($B$26-($B$27-0.05*$B$27)-$B$60))&lt;0,0,B19*($B$26-($B$27-0.05*$B$27)-$B$60))</f>
        <v>14.648908877774875</v>
      </c>
      <c r="C35" s="33">
        <f>B35/2</f>
        <v>7.3244544388874377</v>
      </c>
      <c r="D35" s="230"/>
    </row>
    <row r="36" spans="1:6">
      <c r="A36" s="168" t="s">
        <v>77</v>
      </c>
      <c r="B36" s="33">
        <f>IF((B18*($B$26-($B$27-0.05*$B$27)-$B$60))&lt;0,0,B18*($B$26-($B$27-0.05*$B$27)-$B$60))</f>
        <v>1422.2889598021254</v>
      </c>
      <c r="C36" s="34" t="s">
        <v>104</v>
      </c>
      <c r="D36" s="171"/>
    </row>
    <row r="37" spans="1:6">
      <c r="A37" s="168" t="s">
        <v>78</v>
      </c>
      <c r="B37" s="33">
        <f>B60</f>
        <v>117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235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34709.403365688755</v>
      </c>
      <c r="C5" s="17">
        <f>IF(ISERROR('Eigen informatie GS &amp; warmtenet'!B60),0,'Eigen informatie GS &amp; warmtenet'!B60)</f>
        <v>0</v>
      </c>
      <c r="D5" s="30">
        <f>SUM(D6:D12)</f>
        <v>43810.801641276703</v>
      </c>
      <c r="E5" s="17">
        <f>SUM(E6:E12)</f>
        <v>130.48087139454128</v>
      </c>
      <c r="F5" s="17">
        <f>SUM(F6:F12)</f>
        <v>6054.0255151758365</v>
      </c>
      <c r="G5" s="18"/>
      <c r="H5" s="17"/>
      <c r="I5" s="17"/>
      <c r="J5" s="17">
        <f>SUM(J6:J12)</f>
        <v>3.5659666212128169E-2</v>
      </c>
      <c r="K5" s="17"/>
      <c r="L5" s="17"/>
      <c r="M5" s="17"/>
      <c r="N5" s="17">
        <f>SUM(N6:N12)</f>
        <v>1402.4252830407756</v>
      </c>
      <c r="O5" s="17">
        <f>B38*B39*B40</f>
        <v>14.691782297523464</v>
      </c>
      <c r="P5" s="17">
        <f>B46*B47*B48/1000-B46*B47*B48/1000/B49</f>
        <v>262.69569153247511</v>
      </c>
      <c r="R5" s="32"/>
    </row>
    <row r="6" spans="1:18">
      <c r="A6" s="32" t="s">
        <v>53</v>
      </c>
      <c r="B6" s="37">
        <f>B26</f>
        <v>13864.1963964641</v>
      </c>
      <c r="C6" s="33"/>
      <c r="D6" s="37">
        <f>IF(ISERROR(TER_kantoor_gas_kWh/1000),0,TER_kantoor_gas_kWh/1000)*0.903</f>
        <v>13118.703536925226</v>
      </c>
      <c r="E6" s="33">
        <f>$C$26*'E Balans VL '!I12/100/3.6*1000000</f>
        <v>3.3034293585568197</v>
      </c>
      <c r="F6" s="33">
        <f>$C$26*('E Balans VL '!L12+'E Balans VL '!N12)/100/3.6*1000000</f>
        <v>1204.2412727658727</v>
      </c>
      <c r="G6" s="34"/>
      <c r="H6" s="33"/>
      <c r="I6" s="33"/>
      <c r="J6" s="33">
        <f>$C$26*('E Balans VL '!D12+'E Balans VL '!E12)/100/3.6*1000000</f>
        <v>0</v>
      </c>
      <c r="K6" s="33"/>
      <c r="L6" s="33"/>
      <c r="M6" s="33"/>
      <c r="N6" s="33">
        <f>$C$26*'E Balans VL '!Y12/100/3.6*1000000</f>
        <v>18.531438087709819</v>
      </c>
      <c r="O6" s="33"/>
      <c r="P6" s="33"/>
      <c r="R6" s="32"/>
    </row>
    <row r="7" spans="1:18">
      <c r="A7" s="32" t="s">
        <v>52</v>
      </c>
      <c r="B7" s="37">
        <f t="shared" ref="B7:B12" si="0">B27</f>
        <v>2671.0289281095297</v>
      </c>
      <c r="C7" s="33"/>
      <c r="D7" s="37">
        <f>IF(ISERROR(TER_horeca_gas_kWh/1000),0,TER_horeca_gas_kWh/1000)*0.903</f>
        <v>3798.6093322968723</v>
      </c>
      <c r="E7" s="33">
        <f>$C$27*'E Balans VL '!I9/100/3.6*1000000</f>
        <v>0</v>
      </c>
      <c r="F7" s="33">
        <f>$C$27*('E Balans VL '!L9+'E Balans VL '!N9)/100/3.6*1000000</f>
        <v>217.64051892235699</v>
      </c>
      <c r="G7" s="34"/>
      <c r="H7" s="33"/>
      <c r="I7" s="33"/>
      <c r="J7" s="33">
        <f>$C$27*('E Balans VL '!D9+'E Balans VL '!E9)/100/3.6*1000000</f>
        <v>0</v>
      </c>
      <c r="K7" s="33"/>
      <c r="L7" s="33"/>
      <c r="M7" s="33"/>
      <c r="N7" s="33">
        <f>$C$27*'E Balans VL '!Y9/100/3.6*1000000</f>
        <v>0.73982528560386107</v>
      </c>
      <c r="O7" s="33"/>
      <c r="P7" s="33"/>
      <c r="R7" s="32"/>
    </row>
    <row r="8" spans="1:18">
      <c r="A8" s="6" t="s">
        <v>51</v>
      </c>
      <c r="B8" s="37">
        <f t="shared" si="0"/>
        <v>10191.674776529901</v>
      </c>
      <c r="C8" s="33"/>
      <c r="D8" s="37">
        <f>IF(ISERROR(TER_handel_gas_kWh/1000),0,TER_handel_gas_kWh/1000)*0.903</f>
        <v>12438.75446426802</v>
      </c>
      <c r="E8" s="33">
        <f>$C$28*'E Balans VL '!I13/100/3.6*1000000</f>
        <v>81.468320278051706</v>
      </c>
      <c r="F8" s="33">
        <f>$C$28*('E Balans VL '!L13+'E Balans VL '!N13)/100/3.6*1000000</f>
        <v>1012.4795339013903</v>
      </c>
      <c r="G8" s="34"/>
      <c r="H8" s="33"/>
      <c r="I8" s="33"/>
      <c r="J8" s="33">
        <f>$C$28*('E Balans VL '!D13+'E Balans VL '!E13)/100/3.6*1000000</f>
        <v>0</v>
      </c>
      <c r="K8" s="33"/>
      <c r="L8" s="33"/>
      <c r="M8" s="33"/>
      <c r="N8" s="33">
        <f>$C$28*'E Balans VL '!Y13/100/3.6*1000000</f>
        <v>3.8071971778972866</v>
      </c>
      <c r="O8" s="33"/>
      <c r="P8" s="33"/>
      <c r="R8" s="32"/>
    </row>
    <row r="9" spans="1:18">
      <c r="A9" s="32" t="s">
        <v>50</v>
      </c>
      <c r="B9" s="37">
        <f t="shared" si="0"/>
        <v>4067.84964189623</v>
      </c>
      <c r="C9" s="33"/>
      <c r="D9" s="37">
        <f>IF(ISERROR(TER_gezond_gas_kWh/1000),0,TER_gezond_gas_kWh/1000)*0.903</f>
        <v>7937.8431414652532</v>
      </c>
      <c r="E9" s="33">
        <f>$C$29*'E Balans VL '!I10/100/3.6*1000000</f>
        <v>0</v>
      </c>
      <c r="F9" s="33">
        <f>$C$29*('E Balans VL '!L10+'E Balans VL '!N10)/100/3.6*1000000</f>
        <v>370.85078330263843</v>
      </c>
      <c r="G9" s="34"/>
      <c r="H9" s="33"/>
      <c r="I9" s="33"/>
      <c r="J9" s="33">
        <f>$C$29*('E Balans VL '!D10+'E Balans VL '!E10)/100/3.6*1000000</f>
        <v>0</v>
      </c>
      <c r="K9" s="33"/>
      <c r="L9" s="33"/>
      <c r="M9" s="33"/>
      <c r="N9" s="33">
        <f>$C$29*'E Balans VL '!Y10/100/3.6*1000000</f>
        <v>29.732335437948429</v>
      </c>
      <c r="O9" s="33"/>
      <c r="P9" s="33"/>
      <c r="R9" s="32"/>
    </row>
    <row r="10" spans="1:18">
      <c r="A10" s="32" t="s">
        <v>49</v>
      </c>
      <c r="B10" s="37">
        <f t="shared" si="0"/>
        <v>3525.7128114268899</v>
      </c>
      <c r="C10" s="33"/>
      <c r="D10" s="37">
        <f>IF(ISERROR(TER_ander_gas_kWh/1000),0,TER_ander_gas_kWh/1000)*0.903</f>
        <v>4630.0370536639384</v>
      </c>
      <c r="E10" s="33">
        <f>$C$30*'E Balans VL '!I14/100/3.6*1000000</f>
        <v>45.709121757932742</v>
      </c>
      <c r="F10" s="33">
        <f>$C$30*('E Balans VL '!L14+'E Balans VL '!N14)/100/3.6*1000000</f>
        <v>3233.5736675562198</v>
      </c>
      <c r="G10" s="34"/>
      <c r="H10" s="33"/>
      <c r="I10" s="33"/>
      <c r="J10" s="33">
        <f>$C$30*('E Balans VL '!D14+'E Balans VL '!E14)/100/3.6*1000000</f>
        <v>3.5659666212128169E-2</v>
      </c>
      <c r="K10" s="33"/>
      <c r="L10" s="33"/>
      <c r="M10" s="33"/>
      <c r="N10" s="33">
        <f>$C$30*'E Balans VL '!Y14/100/3.6*1000000</f>
        <v>1348.3896163402462</v>
      </c>
      <c r="O10" s="33"/>
      <c r="P10" s="33"/>
      <c r="R10" s="32"/>
    </row>
    <row r="11" spans="1:18">
      <c r="A11" s="32" t="s">
        <v>54</v>
      </c>
      <c r="B11" s="37">
        <f t="shared" si="0"/>
        <v>388.9408112621</v>
      </c>
      <c r="C11" s="33"/>
      <c r="D11" s="37">
        <f>IF(ISERROR(TER_onderwijs_gas_kWh/1000),0,TER_onderwijs_gas_kWh/1000)*0.903</f>
        <v>1886.8541126573878</v>
      </c>
      <c r="E11" s="33">
        <f>$C$31*'E Balans VL '!I11/100/3.6*1000000</f>
        <v>0</v>
      </c>
      <c r="F11" s="33">
        <f>$C$31*('E Balans VL '!L11+'E Balans VL '!N11)/100/3.6*1000000</f>
        <v>15.239738727358594</v>
      </c>
      <c r="G11" s="34"/>
      <c r="H11" s="33"/>
      <c r="I11" s="33"/>
      <c r="J11" s="33">
        <f>$C$31*('E Balans VL '!D11+'E Balans VL '!E11)/100/3.6*1000000</f>
        <v>0</v>
      </c>
      <c r="K11" s="33"/>
      <c r="L11" s="33"/>
      <c r="M11" s="33"/>
      <c r="N11" s="33">
        <f>$C$31*'E Balans VL '!Y11/100/3.6*1000000</f>
        <v>1.2248707113698925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630.00000000000011</v>
      </c>
      <c r="C13" s="243">
        <f ca="1">'lokale energieproductie'!O39+'lokale energieproductie'!O32</f>
        <v>900.00000000000023</v>
      </c>
      <c r="D13" s="304">
        <f ca="1">('lokale energieproductie'!P32+'lokale energieproductie'!P39)*(-1)</f>
        <v>-1800.0000000000005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35339.403365688755</v>
      </c>
      <c r="C16" s="21">
        <f t="shared" ca="1" si="1"/>
        <v>900.00000000000023</v>
      </c>
      <c r="D16" s="21">
        <f t="shared" ca="1" si="1"/>
        <v>42010.801641276703</v>
      </c>
      <c r="E16" s="21">
        <f t="shared" si="1"/>
        <v>130.48087139454128</v>
      </c>
      <c r="F16" s="21">
        <f t="shared" ca="1" si="1"/>
        <v>6054.0255151758365</v>
      </c>
      <c r="G16" s="21">
        <f t="shared" si="1"/>
        <v>0</v>
      </c>
      <c r="H16" s="21">
        <f t="shared" si="1"/>
        <v>0</v>
      </c>
      <c r="I16" s="21">
        <f t="shared" si="1"/>
        <v>0</v>
      </c>
      <c r="J16" s="21">
        <f t="shared" si="1"/>
        <v>3.5659666212128169E-2</v>
      </c>
      <c r="K16" s="21">
        <f t="shared" si="1"/>
        <v>0</v>
      </c>
      <c r="L16" s="21">
        <f t="shared" ca="1" si="1"/>
        <v>0</v>
      </c>
      <c r="M16" s="21">
        <f t="shared" si="1"/>
        <v>0</v>
      </c>
      <c r="N16" s="21">
        <f t="shared" ca="1" si="1"/>
        <v>1402.4252830407756</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0.19859917753157136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7018.3764428822315</v>
      </c>
      <c r="C20" s="23">
        <f t="shared" ref="C20:P20" ca="1" si="2">C16*C18</f>
        <v>213.88235294117658</v>
      </c>
      <c r="D20" s="23">
        <f t="shared" ca="1" si="2"/>
        <v>8486.1819315378943</v>
      </c>
      <c r="E20" s="23">
        <f t="shared" si="2"/>
        <v>29.619157806560871</v>
      </c>
      <c r="F20" s="23">
        <f t="shared" ca="1" si="2"/>
        <v>1616.4248125519484</v>
      </c>
      <c r="G20" s="23">
        <f t="shared" si="2"/>
        <v>0</v>
      </c>
      <c r="H20" s="23">
        <f t="shared" si="2"/>
        <v>0</v>
      </c>
      <c r="I20" s="23">
        <f t="shared" si="2"/>
        <v>0</v>
      </c>
      <c r="J20" s="23">
        <f t="shared" si="2"/>
        <v>1.2623521839093372E-2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13864.1963964641</v>
      </c>
      <c r="C26" s="39">
        <f>IF(ISERROR(B26*3.6/1000000/'E Balans VL '!Z12*100),0,B26*3.6/1000000/'E Balans VL '!Z12*100)</f>
        <v>0.39776248992287877</v>
      </c>
      <c r="D26" s="233" t="s">
        <v>835</v>
      </c>
      <c r="F26" s="6"/>
    </row>
    <row r="27" spans="1:18" ht="30">
      <c r="A27" s="228" t="s">
        <v>52</v>
      </c>
      <c r="B27" s="33">
        <f>IF(ISERROR(TER_horeca_ele_kWh/1000),0,TER_horeca_ele_kWh/1000)</f>
        <v>2671.0289281095297</v>
      </c>
      <c r="C27" s="39">
        <f>IF(ISERROR(B27*3.6/1000000/'E Balans VL '!Z9*100),0,B27*3.6/1000000/'E Balans VL '!Z9*100)</f>
        <v>0.19568052491252658</v>
      </c>
      <c r="D27" s="233" t="s">
        <v>835</v>
      </c>
      <c r="F27" s="6"/>
    </row>
    <row r="28" spans="1:18" ht="30">
      <c r="A28" s="168" t="s">
        <v>51</v>
      </c>
      <c r="B28" s="33">
        <f>IF(ISERROR(TER_handel_ele_kWh/1000),0,TER_handel_ele_kWh/1000)</f>
        <v>10191.674776529901</v>
      </c>
      <c r="C28" s="39">
        <f>IF(ISERROR(B28*3.6/1000000/'E Balans VL '!Z13*100),0,B28*3.6/1000000/'E Balans VL '!Z13*100)</f>
        <v>0.31493134677648738</v>
      </c>
      <c r="D28" s="233" t="s">
        <v>835</v>
      </c>
      <c r="F28" s="6"/>
    </row>
    <row r="29" spans="1:18" ht="30">
      <c r="A29" s="228" t="s">
        <v>50</v>
      </c>
      <c r="B29" s="33">
        <f>IF(ISERROR(TER_gezond_ele_kWh/1000),0,TER_gezond_ele_kWh/1000)</f>
        <v>4067.84964189623</v>
      </c>
      <c r="C29" s="39">
        <f>IF(ISERROR(B29*3.6/1000000/'E Balans VL '!Z10*100),0,B29*3.6/1000000/'E Balans VL '!Z10*100)</f>
        <v>0.39867427793022026</v>
      </c>
      <c r="D29" s="233" t="s">
        <v>835</v>
      </c>
      <c r="F29" s="6"/>
    </row>
    <row r="30" spans="1:18" ht="30">
      <c r="A30" s="228" t="s">
        <v>49</v>
      </c>
      <c r="B30" s="33">
        <f>IF(ISERROR(TER_ander_ele_kWh/1000),0,TER_ander_ele_kWh/1000)</f>
        <v>3525.7128114268899</v>
      </c>
      <c r="C30" s="39">
        <f>IF(ISERROR(B30*3.6/1000000/'E Balans VL '!Z14*100),0,B30*3.6/1000000/'E Balans VL '!Z14*100)</f>
        <v>0.14604641452066142</v>
      </c>
      <c r="D30" s="233" t="s">
        <v>835</v>
      </c>
      <c r="F30" s="6"/>
    </row>
    <row r="31" spans="1:18" ht="30">
      <c r="A31" s="228" t="s">
        <v>54</v>
      </c>
      <c r="B31" s="33">
        <f>IF(ISERROR(TER_onderwijs_ele_kWh/1000),0,TER_onderwijs_ele_kWh/1000)</f>
        <v>388.9408112621</v>
      </c>
      <c r="C31" s="39">
        <f>IF(ISERROR(B31*3.6/1000000/'E Balans VL '!Z11*100),0,B31*3.6/1000000/'E Balans VL '!Z11*100)</f>
        <v>0.11950968648112284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63158.195620891842</v>
      </c>
      <c r="C5" s="17">
        <f>IF(ISERROR('Eigen informatie GS &amp; warmtenet'!B61),0,'Eigen informatie GS &amp; warmtenet'!B61)</f>
        <v>0</v>
      </c>
      <c r="D5" s="30">
        <f>SUM(D6:D15)</f>
        <v>80725.925324289565</v>
      </c>
      <c r="E5" s="17">
        <f>SUM(E6:E15)</f>
        <v>5245.4424566082998</v>
      </c>
      <c r="F5" s="17">
        <f>SUM(F6:F15)</f>
        <v>17122.165805757209</v>
      </c>
      <c r="G5" s="18"/>
      <c r="H5" s="17"/>
      <c r="I5" s="17"/>
      <c r="J5" s="17">
        <f>SUM(J6:J15)</f>
        <v>71.813450359937605</v>
      </c>
      <c r="K5" s="17"/>
      <c r="L5" s="17"/>
      <c r="M5" s="17"/>
      <c r="N5" s="17">
        <f>SUM(N6:N15)</f>
        <v>2375.3093683305851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990.66545746396207</v>
      </c>
      <c r="C8" s="33"/>
      <c r="D8" s="37">
        <f>IF( ISERROR(IND_metaal_Gas_kWH/1000),0,IND_metaal_Gas_kWH/1000)*0.903</f>
        <v>2182.1338165934703</v>
      </c>
      <c r="E8" s="33">
        <f>C30*'E Balans VL '!I18/100/3.6*1000000</f>
        <v>5.4002719103164214</v>
      </c>
      <c r="F8" s="33">
        <f>C30*'E Balans VL '!L18/100/3.6*1000000+C30*'E Balans VL '!N18/100/3.6*1000000</f>
        <v>63.798931130383096</v>
      </c>
      <c r="G8" s="34"/>
      <c r="H8" s="33"/>
      <c r="I8" s="33"/>
      <c r="J8" s="40">
        <f>C30*'E Balans VL '!D18/100/3.6*1000000+C30*'E Balans VL '!E18/100/3.6*1000000</f>
        <v>0.81147584945835927</v>
      </c>
      <c r="K8" s="33"/>
      <c r="L8" s="33"/>
      <c r="M8" s="33"/>
      <c r="N8" s="33">
        <f>C30*'E Balans VL '!Y18/100/3.6*1000000</f>
        <v>21.402672579848172</v>
      </c>
      <c r="O8" s="33"/>
      <c r="P8" s="33"/>
      <c r="R8" s="32"/>
    </row>
    <row r="9" spans="1:18">
      <c r="A9" s="6" t="s">
        <v>32</v>
      </c>
      <c r="B9" s="37">
        <f t="shared" si="0"/>
        <v>25481.1859495106</v>
      </c>
      <c r="C9" s="33"/>
      <c r="D9" s="37">
        <f>IF( ISERROR(IND_andere_gas_kWh/1000),0,IND_andere_gas_kWh/1000)*0.903</f>
        <v>8211.5182041393618</v>
      </c>
      <c r="E9" s="33">
        <f>C31*'E Balans VL '!I19/100/3.6*1000000</f>
        <v>82.25760770514573</v>
      </c>
      <c r="F9" s="33">
        <f>C31*'E Balans VL '!L19/100/3.6*1000000+C31*'E Balans VL '!N19/100/3.6*1000000</f>
        <v>16476.334863828284</v>
      </c>
      <c r="G9" s="34"/>
      <c r="H9" s="33"/>
      <c r="I9" s="33"/>
      <c r="J9" s="40">
        <f>C31*'E Balans VL '!D19/100/3.6*1000000+C31*'E Balans VL '!E19/100/3.6*1000000</f>
        <v>0</v>
      </c>
      <c r="K9" s="33"/>
      <c r="L9" s="33"/>
      <c r="M9" s="33"/>
      <c r="N9" s="33">
        <f>C31*'E Balans VL '!Y19/100/3.6*1000000</f>
        <v>1029.6652908686494</v>
      </c>
      <c r="O9" s="33"/>
      <c r="P9" s="33"/>
      <c r="R9" s="32"/>
    </row>
    <row r="10" spans="1:18">
      <c r="A10" s="6" t="s">
        <v>40</v>
      </c>
      <c r="B10" s="37">
        <f t="shared" si="0"/>
        <v>6071.3510762913093</v>
      </c>
      <c r="C10" s="33"/>
      <c r="D10" s="37">
        <f>IF( ISERROR(IND_voed_gas_kWh/1000),0,IND_voed_gas_kWh/1000)*0.903</f>
        <v>21695.185502056836</v>
      </c>
      <c r="E10" s="33">
        <f>C32*'E Balans VL '!I20/100/3.6*1000000</f>
        <v>12.727039783524891</v>
      </c>
      <c r="F10" s="33">
        <f>C32*'E Balans VL '!L20/100/3.6*1000000+C32*'E Balans VL '!N20/100/3.6*1000000</f>
        <v>118.2909008096471</v>
      </c>
      <c r="G10" s="34"/>
      <c r="H10" s="33"/>
      <c r="I10" s="33"/>
      <c r="J10" s="40">
        <f>C32*'E Balans VL '!D20/100/3.6*1000000+C32*'E Balans VL '!E20/100/3.6*1000000</f>
        <v>0</v>
      </c>
      <c r="K10" s="33"/>
      <c r="L10" s="33"/>
      <c r="M10" s="33"/>
      <c r="N10" s="33">
        <f>C32*'E Balans VL '!Y20/100/3.6*1000000</f>
        <v>241.50151356278448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1959.59761743994</v>
      </c>
      <c r="C12" s="33"/>
      <c r="D12" s="37">
        <f>IF( ISERROR(IND_min_gas_kWh/1000),0,IND_min_gas_kWh/1000)*0.903</f>
        <v>280.92738097135327</v>
      </c>
      <c r="E12" s="33">
        <f>C34*'E Balans VL '!I22/100/3.6*1000000</f>
        <v>32.06893040265863</v>
      </c>
      <c r="F12" s="33">
        <f>C34*'E Balans VL '!L22/100/3.6*1000000+C34*'E Balans VL '!N22/100/3.6*1000000</f>
        <v>299.10186594525328</v>
      </c>
      <c r="G12" s="34"/>
      <c r="H12" s="33"/>
      <c r="I12" s="33"/>
      <c r="J12" s="40">
        <f>C34*'E Balans VL '!D22/100/3.6*1000000+C34*'E Balans VL '!E22/100/3.6*1000000</f>
        <v>70.127268785589663</v>
      </c>
      <c r="K12" s="33"/>
      <c r="L12" s="33"/>
      <c r="M12" s="33"/>
      <c r="N12" s="33">
        <f>C34*'E Balans VL '!Y22/100/3.6*1000000</f>
        <v>1073.9010845894004</v>
      </c>
      <c r="O12" s="33"/>
      <c r="P12" s="33"/>
      <c r="R12" s="32"/>
    </row>
    <row r="13" spans="1:18">
      <c r="A13" s="6" t="s">
        <v>38</v>
      </c>
      <c r="B13" s="37">
        <f t="shared" si="0"/>
        <v>4164.8500495272801</v>
      </c>
      <c r="C13" s="33"/>
      <c r="D13" s="37">
        <f>IF( ISERROR(IND_papier_gas_kWh/1000),0,IND_papier_gas_kWh/1000)*0.903</f>
        <v>513.97273992514067</v>
      </c>
      <c r="E13" s="33">
        <f>C35*'E Balans VL '!I23/100/3.6*1000000</f>
        <v>0</v>
      </c>
      <c r="F13" s="33">
        <f>C35*'E Balans VL '!L23/100/3.6*1000000+C35*'E Balans VL '!N23/100/3.6*1000000</f>
        <v>0.55789479451182511</v>
      </c>
      <c r="G13" s="34"/>
      <c r="H13" s="33"/>
      <c r="I13" s="33"/>
      <c r="J13" s="40">
        <f>C35*'E Balans VL '!D23/100/3.6*1000000+C35*'E Balans VL '!E23/100/3.6*1000000</f>
        <v>0.82383354491064065</v>
      </c>
      <c r="K13" s="33"/>
      <c r="L13" s="33"/>
      <c r="M13" s="33"/>
      <c r="N13" s="33">
        <f>C35*'E Balans VL '!Y23/100/3.6*1000000</f>
        <v>0</v>
      </c>
      <c r="O13" s="33"/>
      <c r="P13" s="33"/>
      <c r="R13" s="32"/>
    </row>
    <row r="14" spans="1:18">
      <c r="A14" s="6" t="s">
        <v>33</v>
      </c>
      <c r="B14" s="37">
        <f t="shared" si="0"/>
        <v>24481.175913032901</v>
      </c>
      <c r="C14" s="33"/>
      <c r="D14" s="37">
        <f>IF( ISERROR(IND_chemie_gas_kWh/1000),0,IND_chemie_gas_kWh/1000)*0.903</f>
        <v>45742.707016413391</v>
      </c>
      <c r="E14" s="33">
        <f>C36*'E Balans VL '!I24/100/3.6*1000000</f>
        <v>5112.4369976321459</v>
      </c>
      <c r="F14" s="33">
        <f>C36*'E Balans VL '!L24/100/3.6*1000000+C36*'E Balans VL '!N24/100/3.6*1000000</f>
        <v>162.65199015752</v>
      </c>
      <c r="G14" s="34"/>
      <c r="H14" s="33"/>
      <c r="I14" s="33"/>
      <c r="J14" s="40">
        <f>C36*'E Balans VL '!D24/100/3.6*1000000+C36*'E Balans VL '!E24/100/3.6*1000000</f>
        <v>0</v>
      </c>
      <c r="K14" s="33"/>
      <c r="L14" s="33"/>
      <c r="M14" s="33"/>
      <c r="N14" s="33">
        <f>C36*'E Balans VL '!Y24/100/3.6*1000000</f>
        <v>8.5427869514837962</v>
      </c>
      <c r="O14" s="33"/>
      <c r="P14" s="33"/>
      <c r="R14" s="32"/>
    </row>
    <row r="15" spans="1:18">
      <c r="A15" s="6" t="s">
        <v>259</v>
      </c>
      <c r="B15" s="37">
        <f t="shared" si="0"/>
        <v>9.3695576258468982</v>
      </c>
      <c r="C15" s="33"/>
      <c r="D15" s="37">
        <f>IF( ISERROR(IND_rest_gas_kWh/1000),0,IND_rest_gas_kWh/1000)*0.903</f>
        <v>2099.4806641900282</v>
      </c>
      <c r="E15" s="33">
        <f>C37*'E Balans VL '!I15/100/3.6*1000000</f>
        <v>0.55160917450878422</v>
      </c>
      <c r="F15" s="33">
        <f>C37*'E Balans VL '!L15/100/3.6*1000000+C37*'E Balans VL '!N15/100/3.6*1000000</f>
        <v>1.4293590916139816</v>
      </c>
      <c r="G15" s="34"/>
      <c r="H15" s="33"/>
      <c r="I15" s="33"/>
      <c r="J15" s="40">
        <f>C37*'E Balans VL '!D15/100/3.6*1000000+C37*'E Balans VL '!E15/100/3.6*1000000</f>
        <v>5.0872179978937559E-2</v>
      </c>
      <c r="K15" s="33"/>
      <c r="L15" s="33"/>
      <c r="M15" s="33"/>
      <c r="N15" s="33">
        <f>C37*'E Balans VL '!Y15/100/3.6*1000000</f>
        <v>0.2960197784186705</v>
      </c>
      <c r="O15" s="33"/>
      <c r="P15" s="33"/>
      <c r="R15" s="32"/>
    </row>
    <row r="16" spans="1:18">
      <c r="A16" s="16" t="s">
        <v>467</v>
      </c>
      <c r="B16" s="243">
        <f>'lokale energieproductie'!N38+'lokale energieproductie'!N31</f>
        <v>5400</v>
      </c>
      <c r="C16" s="243">
        <f>'lokale energieproductie'!O38+'lokale energieproductie'!O31</f>
        <v>7714.2857142857147</v>
      </c>
      <c r="D16" s="304">
        <f>('lokale energieproductie'!P31+'lokale energieproductie'!P38)*(-1)</f>
        <v>-15428.571428571429</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68558.195620891842</v>
      </c>
      <c r="C18" s="21">
        <f>C5+C16</f>
        <v>7714.2857142857147</v>
      </c>
      <c r="D18" s="21">
        <f>MAX((D5+D16),0)</f>
        <v>65297.353895718137</v>
      </c>
      <c r="E18" s="21">
        <f>MAX((E5+E16),0)</f>
        <v>5245.4424566082998</v>
      </c>
      <c r="F18" s="21">
        <f>MAX((F5+F16),0)</f>
        <v>17122.165805757209</v>
      </c>
      <c r="G18" s="21"/>
      <c r="H18" s="21"/>
      <c r="I18" s="21"/>
      <c r="J18" s="21">
        <f>MAX((J5+J16),0)</f>
        <v>71.813450359937605</v>
      </c>
      <c r="K18" s="21"/>
      <c r="L18" s="21">
        <f>MAX((L5+L16),0)</f>
        <v>0</v>
      </c>
      <c r="M18" s="21"/>
      <c r="N18" s="21">
        <f>MAX((N5+N16),0)</f>
        <v>2375.3093683305851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0.19859917753157136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13615.601263357697</v>
      </c>
      <c r="C22" s="23">
        <f ca="1">C18*C20</f>
        <v>1833.2773109243701</v>
      </c>
      <c r="D22" s="23">
        <f>D18*D20</f>
        <v>13190.065486935064</v>
      </c>
      <c r="E22" s="23">
        <f>E18*E20</f>
        <v>1190.7154376500841</v>
      </c>
      <c r="F22" s="23">
        <f>F18*F20</f>
        <v>4571.6182701371754</v>
      </c>
      <c r="G22" s="23"/>
      <c r="H22" s="23"/>
      <c r="I22" s="23"/>
      <c r="J22" s="23">
        <f>J18*J20</f>
        <v>25.421961427417912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990.66545746396207</v>
      </c>
      <c r="C30" s="39">
        <f>IF(ISERROR(B30*3.6/1000000/'E Balans VL '!Z18*100),0,B30*3.6/1000000/'E Balans VL '!Z18*100)</f>
        <v>5.9655157403514437E-2</v>
      </c>
      <c r="D30" s="233" t="s">
        <v>835</v>
      </c>
    </row>
    <row r="31" spans="1:18" ht="30">
      <c r="A31" s="6" t="s">
        <v>32</v>
      </c>
      <c r="B31" s="37">
        <f>IF( ISERROR(IND_ander_ele_kWh/1000),0,IND_ander_ele_kWh/1000)</f>
        <v>25481.1859495106</v>
      </c>
      <c r="C31" s="39">
        <f>IF(ISERROR(B31*3.6/1000000/'E Balans VL '!Z19*100),0,B31*3.6/1000000/'E Balans VL '!Z19*100)</f>
        <v>1.0381562677087595</v>
      </c>
      <c r="D31" s="233" t="s">
        <v>835</v>
      </c>
    </row>
    <row r="32" spans="1:18" ht="30">
      <c r="A32" s="168" t="s">
        <v>40</v>
      </c>
      <c r="B32" s="37">
        <f>IF( ISERROR(IND_voed_ele_kWh/1000),0,IND_voed_ele_kWh/1000)</f>
        <v>6071.3510762913093</v>
      </c>
      <c r="C32" s="39">
        <f>IF(ISERROR(B32*3.6/1000000/'E Balans VL '!Z20*100),0,B32*3.6/1000000/'E Balans VL '!Z20*100)</f>
        <v>0.17554719255800996</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1959.59761743994</v>
      </c>
      <c r="C34" s="39">
        <f>IF(ISERROR(B34*3.6/1000000/'E Balans VL '!Z22*100),0,B34*3.6/1000000/'E Balans VL '!Z22*100)</f>
        <v>0.83672997357855816</v>
      </c>
      <c r="D34" s="233" t="s">
        <v>835</v>
      </c>
    </row>
    <row r="35" spans="1:5" ht="30">
      <c r="A35" s="168" t="s">
        <v>38</v>
      </c>
      <c r="B35" s="37">
        <f>IF( ISERROR(IND_papier_ele_kWh/1000),0,IND_papier_ele_kWh/1000)</f>
        <v>4164.8500495272801</v>
      </c>
      <c r="C35" s="39">
        <f>IF(ISERROR(B35*3.6/1000000/'E Balans VL '!Z22*100),0,B35*3.6/1000000/'E Balans VL '!Z22*100)</f>
        <v>1.7783522703259387</v>
      </c>
      <c r="D35" s="233" t="s">
        <v>835</v>
      </c>
    </row>
    <row r="36" spans="1:5" ht="30">
      <c r="A36" s="168" t="s">
        <v>33</v>
      </c>
      <c r="B36" s="37">
        <f>IF( ISERROR(IND_chemie_ele_kWh/1000),0,IND_chemie_ele_kWh/1000)</f>
        <v>24481.175913032901</v>
      </c>
      <c r="C36" s="39">
        <f>IF(ISERROR(B36*3.6/1000000/'E Balans VL '!Z24*100),0,B36*3.6/1000000/'E Balans VL '!Z24*100)</f>
        <v>0.74285103925946472</v>
      </c>
      <c r="D36" s="233" t="s">
        <v>835</v>
      </c>
    </row>
    <row r="37" spans="1:5" ht="30">
      <c r="A37" s="168" t="s">
        <v>259</v>
      </c>
      <c r="B37" s="37">
        <f>IF( ISERROR(IND_rest_ele_kWh/1000),0,IND_rest_ele_kWh/1000)</f>
        <v>9.3695576258468982</v>
      </c>
      <c r="C37" s="39">
        <f>IF(ISERROR(B37*3.6/1000000/'E Balans VL '!Z15*100),0,B37*3.6/1000000/'E Balans VL '!Z15*100)</f>
        <v>7.6931164813261616E-5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963.63856696216294</v>
      </c>
      <c r="C5" s="17">
        <f>'Eigen informatie GS &amp; warmtenet'!B62</f>
        <v>0</v>
      </c>
      <c r="D5" s="30">
        <f>IF(ISERROR(SUM(LB_lb_gas_kWh,LB_rest_gas_kWh)/1000),0,SUM(LB_lb_gas_kWh,LB_rest_gas_kWh)/1000)*0.903</f>
        <v>937.15404059069999</v>
      </c>
      <c r="E5" s="17">
        <f>B17*'E Balans VL '!I25/3.6*1000000/100</f>
        <v>27.600239332813043</v>
      </c>
      <c r="F5" s="17">
        <f>B17*('E Balans VL '!L25/3.6*1000000+'E Balans VL '!N25/3.6*1000000)/100</f>
        <v>3050.3819231508969</v>
      </c>
      <c r="G5" s="18"/>
      <c r="H5" s="17"/>
      <c r="I5" s="17"/>
      <c r="J5" s="17">
        <f>('E Balans VL '!D25+'E Balans VL '!E25)/3.6*1000000*landbouw!B17/100</f>
        <v>245.02302702245493</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963.63856696216294</v>
      </c>
      <c r="C8" s="21">
        <f>C5+C6</f>
        <v>0</v>
      </c>
      <c r="D8" s="21">
        <f>MAX((D5+D6),0)</f>
        <v>937.15404059069999</v>
      </c>
      <c r="E8" s="21">
        <f>MAX((E5+E6),0)</f>
        <v>27.600239332813043</v>
      </c>
      <c r="F8" s="21">
        <f>MAX((F5+F6),0)</f>
        <v>3050.3819231508969</v>
      </c>
      <c r="G8" s="21"/>
      <c r="H8" s="21"/>
      <c r="I8" s="21"/>
      <c r="J8" s="21">
        <f>MAX((J5+J6),0)</f>
        <v>245.02302702245493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0.19859917753157136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191.37782683638761</v>
      </c>
      <c r="C12" s="23">
        <f ca="1">C8*C10</f>
        <v>0</v>
      </c>
      <c r="D12" s="23">
        <f>D8*D10</f>
        <v>189.30511619932142</v>
      </c>
      <c r="E12" s="23">
        <f>E8*E10</f>
        <v>6.2652543285485613</v>
      </c>
      <c r="F12" s="23">
        <f>F8*F10</f>
        <v>814.45197348128954</v>
      </c>
      <c r="G12" s="23"/>
      <c r="H12" s="23"/>
      <c r="I12" s="23"/>
      <c r="J12" s="23">
        <f>J8*J10</f>
        <v>86.738151565949039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0.1334420809017848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77.173138038291299</v>
      </c>
      <c r="C26" s="243">
        <f>B26*'GWP N2O_CH4'!B5</f>
        <v>1620.6358988041172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11.337716862172114</v>
      </c>
      <c r="C27" s="243">
        <f>B27*'GWP N2O_CH4'!B5</f>
        <v>238.09205410561438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1.0553328195378227</v>
      </c>
      <c r="C28" s="243">
        <f>B28*'GWP N2O_CH4'!B4</f>
        <v>327.15317405672505</v>
      </c>
      <c r="D28" s="50"/>
    </row>
    <row r="29" spans="1:4">
      <c r="A29" s="41" t="s">
        <v>266</v>
      </c>
      <c r="B29" s="243">
        <f>B34*'ha_N2O bodem landbouw'!B4</f>
        <v>8.5144086596530659</v>
      </c>
      <c r="C29" s="243">
        <f>B29*'GWP N2O_CH4'!B4</f>
        <v>2639.4666844924504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1.93432126273701E-3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9.280668171607043E-4</v>
      </c>
      <c r="C5" s="432" t="s">
        <v>204</v>
      </c>
      <c r="D5" s="417">
        <f>SUM(D6:D11)</f>
        <v>1.6714277382899618E-3</v>
      </c>
      <c r="E5" s="417">
        <f>SUM(E6:E11)</f>
        <v>6.5460477042140639E-4</v>
      </c>
      <c r="F5" s="430" t="s">
        <v>204</v>
      </c>
      <c r="G5" s="417">
        <f>SUM(G6:G11)</f>
        <v>0.30758068782419001</v>
      </c>
      <c r="H5" s="417">
        <f>SUM(H6:H11)</f>
        <v>8.175192313644157E-2</v>
      </c>
      <c r="I5" s="432" t="s">
        <v>204</v>
      </c>
      <c r="J5" s="432" t="s">
        <v>204</v>
      </c>
      <c r="K5" s="432" t="s">
        <v>204</v>
      </c>
      <c r="L5" s="432" t="s">
        <v>204</v>
      </c>
      <c r="M5" s="417">
        <f>SUM(M6:M11)</f>
        <v>2.3456251334562712E-2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7.1607347210861773E-4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1.1938994668027872E-3</v>
      </c>
      <c r="E6" s="884">
        <f>vkm_GW_PW*SUMIFS(TableVerdeelsleutelVkm[LPG],TableVerdeelsleutelVkm[Voertuigtype],"Lichte voertuigen")*SUMIFS(TableECFTransport[EnergieConsumptieFactor (PJ per km)],TableECFTransport[Index],CONCATENATE($A6,"_LPG_LPG"))</f>
        <v>4.7333258009289513E-4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0.14224833064070683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5.8550919469942481E-2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1.2318441819473606E-2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2.7146091527216877E-6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0.1076088178611706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7.9399731731385329E-7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6.1787163395606286E-3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2.0912548907102158E-4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4.775282714871745E-4</v>
      </c>
      <c r="E8" s="420">
        <f>vkm_NGW_PW*SUMIFS(TableVerdeelsleutelVkm[LPG],TableVerdeelsleutelVkm[Voertuigtype],"Lichte voertuigen")*SUMIFS(TableECFTransport[EnergieConsumptieFactor (PJ per km)],TableECFTransport[Index],CONCATENATE($A8,"_LPG_LPG"))</f>
        <v>1.8127219032851121E-4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4.9900623331078982E-2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2.320015556639107E-2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4.5099148255534662E-3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1.5324682834322673E-7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7.8229159912335811E-3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5.410279069919863E-8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4.4917834997501002E-4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257.79633810019561</v>
      </c>
      <c r="C14" s="21"/>
      <c r="D14" s="21">
        <f t="shared" ref="D14:M14" si="0">((D5)*10^9/3600)+D12</f>
        <v>464.28548285832272</v>
      </c>
      <c r="E14" s="21">
        <f t="shared" si="0"/>
        <v>181.83465845039066</v>
      </c>
      <c r="F14" s="21"/>
      <c r="G14" s="21">
        <f t="shared" si="0"/>
        <v>85439.079951163891</v>
      </c>
      <c r="H14" s="21">
        <f t="shared" si="0"/>
        <v>22708.867537900438</v>
      </c>
      <c r="I14" s="21"/>
      <c r="J14" s="21"/>
      <c r="K14" s="21"/>
      <c r="L14" s="21"/>
      <c r="M14" s="21">
        <f t="shared" si="0"/>
        <v>6515.625370711864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0.19859917753157136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51.198140717349744</v>
      </c>
      <c r="C18" s="23"/>
      <c r="D18" s="23">
        <f t="shared" ref="D18:M18" si="1">D14*D16</f>
        <v>93.785667537381201</v>
      </c>
      <c r="E18" s="23">
        <f t="shared" si="1"/>
        <v>41.276467468238678</v>
      </c>
      <c r="F18" s="23"/>
      <c r="G18" s="23">
        <f t="shared" si="1"/>
        <v>22812.234346960759</v>
      </c>
      <c r="H18" s="23">
        <f t="shared" si="1"/>
        <v>5654.5080169372095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3.1853397423522207E-5</v>
      </c>
      <c r="C50" s="315">
        <f t="shared" ref="C50:P50" si="2">SUM(C51:C52)</f>
        <v>0</v>
      </c>
      <c r="D50" s="315">
        <f t="shared" si="2"/>
        <v>0</v>
      </c>
      <c r="E50" s="315">
        <f t="shared" si="2"/>
        <v>0</v>
      </c>
      <c r="F50" s="315">
        <f t="shared" si="2"/>
        <v>0</v>
      </c>
      <c r="G50" s="315">
        <f t="shared" si="2"/>
        <v>1.9941189782773693E-3</v>
      </c>
      <c r="H50" s="315">
        <f t="shared" si="2"/>
        <v>0</v>
      </c>
      <c r="I50" s="315">
        <f t="shared" si="2"/>
        <v>0</v>
      </c>
      <c r="J50" s="315">
        <f t="shared" si="2"/>
        <v>0</v>
      </c>
      <c r="K50" s="315">
        <f t="shared" si="2"/>
        <v>0</v>
      </c>
      <c r="L50" s="315">
        <f t="shared" si="2"/>
        <v>0</v>
      </c>
      <c r="M50" s="315">
        <f t="shared" si="2"/>
        <v>1.1449789628895122E-4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3.1853397423522207E-5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1.9941189782773693E-3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1.1449789628895122E-4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8.848165950978391</v>
      </c>
      <c r="C54" s="21">
        <f t="shared" ref="C54:P54" si="3">(C50)*10^9/3600</f>
        <v>0</v>
      </c>
      <c r="D54" s="21">
        <f t="shared" si="3"/>
        <v>0</v>
      </c>
      <c r="E54" s="21">
        <f t="shared" si="3"/>
        <v>0</v>
      </c>
      <c r="F54" s="21">
        <f t="shared" si="3"/>
        <v>0</v>
      </c>
      <c r="G54" s="21">
        <f t="shared" si="3"/>
        <v>553.92193841038033</v>
      </c>
      <c r="H54" s="21">
        <f t="shared" si="3"/>
        <v>0</v>
      </c>
      <c r="I54" s="21">
        <f t="shared" si="3"/>
        <v>0</v>
      </c>
      <c r="J54" s="21">
        <f t="shared" si="3"/>
        <v>0</v>
      </c>
      <c r="K54" s="21">
        <f t="shared" si="3"/>
        <v>0</v>
      </c>
      <c r="L54" s="21">
        <f t="shared" si="3"/>
        <v>0</v>
      </c>
      <c r="M54" s="21">
        <f t="shared" si="3"/>
        <v>31.804971191375337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0.19859917753157136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1.7572384805271624</v>
      </c>
      <c r="C58" s="23">
        <f t="shared" ref="C58:P58" ca="1" si="4">C54*C56</f>
        <v>0</v>
      </c>
      <c r="D58" s="23">
        <f t="shared" si="4"/>
        <v>0</v>
      </c>
      <c r="E58" s="23">
        <f t="shared" si="4"/>
        <v>0</v>
      </c>
      <c r="F58" s="23">
        <f t="shared" si="4"/>
        <v>0</v>
      </c>
      <c r="G58" s="23">
        <f t="shared" si="4"/>
        <v>147.89715755557157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15065.285561818369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6030</v>
      </c>
      <c r="C8" s="543">
        <f>B49</f>
        <v>7094.1176470588243</v>
      </c>
      <c r="D8" s="544"/>
      <c r="E8" s="544">
        <f>E49</f>
        <v>0</v>
      </c>
      <c r="F8" s="545"/>
      <c r="G8" s="546"/>
      <c r="H8" s="544">
        <f>I49</f>
        <v>0</v>
      </c>
      <c r="I8" s="544">
        <f>G49+F49</f>
        <v>0</v>
      </c>
      <c r="J8" s="544">
        <f>H49+D49+C49</f>
        <v>0</v>
      </c>
      <c r="K8" s="544"/>
      <c r="L8" s="544"/>
      <c r="M8" s="544"/>
      <c r="N8" s="547"/>
      <c r="O8" s="548">
        <f>C8*$C$12+D8*$D$12+E8*$E$12+F8*$F$12+G8*$G$12+H8*$H$12+I8*$I$12+J8*$J$12</f>
        <v>1433.0117647058826</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21095.285561818368</v>
      </c>
      <c r="C10" s="558">
        <f t="shared" ref="C10:L10" si="0">SUM(C8:C9)</f>
        <v>7094.1176470588243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1433.0117647058826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8614.2857142857156</v>
      </c>
      <c r="C17" s="574">
        <f>B50</f>
        <v>10134.453781512608</v>
      </c>
      <c r="D17" s="575"/>
      <c r="E17" s="575">
        <f>E50</f>
        <v>0</v>
      </c>
      <c r="F17" s="576"/>
      <c r="G17" s="577"/>
      <c r="H17" s="574">
        <f>I50</f>
        <v>0</v>
      </c>
      <c r="I17" s="575">
        <f>G50+F50</f>
        <v>0</v>
      </c>
      <c r="J17" s="575">
        <f>H50+D50+C50</f>
        <v>0</v>
      </c>
      <c r="K17" s="575"/>
      <c r="L17" s="575"/>
      <c r="M17" s="575"/>
      <c r="N17" s="960"/>
      <c r="O17" s="578">
        <f>C17*$C$22+E17*$E$22+H17*$H$22+I17*$I$22+J17*$J$22+D17*$D$22+F17*$F$22+G17*$G$22+K17*$K$22+L17*$L$22</f>
        <v>2047.1596638655469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8614.2857142857156</v>
      </c>
      <c r="C20" s="557">
        <f>SUM(C17:C19)</f>
        <v>10134.453781512608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2047.1596638655469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12007</v>
      </c>
      <c r="C28" s="785">
        <v>2880</v>
      </c>
      <c r="D28" s="635"/>
      <c r="E28" s="634"/>
      <c r="F28" s="634"/>
      <c r="G28" s="634" t="s">
        <v>868</v>
      </c>
      <c r="H28" s="634" t="s">
        <v>869</v>
      </c>
      <c r="I28" s="634"/>
      <c r="J28" s="784"/>
      <c r="K28" s="784"/>
      <c r="L28" s="634" t="s">
        <v>870</v>
      </c>
      <c r="M28" s="634">
        <v>1200</v>
      </c>
      <c r="N28" s="634">
        <v>5400</v>
      </c>
      <c r="O28" s="634">
        <v>7714.2857142857147</v>
      </c>
      <c r="P28" s="634">
        <v>15428.571428571429</v>
      </c>
      <c r="Q28" s="634">
        <v>0</v>
      </c>
      <c r="R28" s="634">
        <v>0</v>
      </c>
      <c r="S28" s="634">
        <v>0</v>
      </c>
      <c r="T28" s="634">
        <v>0</v>
      </c>
      <c r="U28" s="634">
        <v>0</v>
      </c>
      <c r="V28" s="634">
        <v>0</v>
      </c>
      <c r="W28" s="634">
        <v>0</v>
      </c>
      <c r="X28" s="634">
        <v>500</v>
      </c>
      <c r="Y28" s="634" t="s">
        <v>40</v>
      </c>
      <c r="Z28" s="636" t="s">
        <v>373</v>
      </c>
    </row>
    <row r="29" spans="1:26" s="588" customFormat="1" ht="51" hidden="1">
      <c r="A29" s="587"/>
      <c r="B29" s="785">
        <v>12007</v>
      </c>
      <c r="C29" s="785">
        <v>2880</v>
      </c>
      <c r="D29" s="635"/>
      <c r="E29" s="634"/>
      <c r="F29" s="634"/>
      <c r="G29" s="634" t="s">
        <v>871</v>
      </c>
      <c r="H29" s="634" t="s">
        <v>869</v>
      </c>
      <c r="I29" s="634"/>
      <c r="J29" s="784"/>
      <c r="K29" s="784"/>
      <c r="L29" s="634" t="s">
        <v>872</v>
      </c>
      <c r="M29" s="634">
        <v>140</v>
      </c>
      <c r="N29" s="634">
        <v>630.00000000000011</v>
      </c>
      <c r="O29" s="634">
        <v>900.00000000000023</v>
      </c>
      <c r="P29" s="634">
        <v>1800.0000000000005</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1340</v>
      </c>
      <c r="N30" s="592">
        <f>SUM(N28:N29)</f>
        <v>6030</v>
      </c>
      <c r="O30" s="592">
        <f>SUM(O28:O29)</f>
        <v>8614.2857142857156</v>
      </c>
      <c r="P30" s="592">
        <f>SUM(P28:P29)</f>
        <v>17228.571428571431</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1200</v>
      </c>
      <c r="N31" s="592">
        <f>SUMIF($Z$28:$Z$29,"industrie",N28:N29)</f>
        <v>5400</v>
      </c>
      <c r="O31" s="592">
        <f>SUMIF($Z$28:$Z$29,"industrie",O28:O29)</f>
        <v>7714.2857142857147</v>
      </c>
      <c r="P31" s="592">
        <f>SUMIF($Z$28:$Z$29,"industrie",P28:P29)</f>
        <v>15428.571428571429</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140</v>
      </c>
      <c r="N32" s="592">
        <f ca="1">SUMIF($Z$28:AD29,"tertiair",N28:N29)</f>
        <v>630.00000000000011</v>
      </c>
      <c r="O32" s="592">
        <f ca="1">SUMIF($Z$28:AE29,"tertiair",O28:O29)</f>
        <v>900.00000000000023</v>
      </c>
      <c r="P32" s="592">
        <f ca="1">SUMIF($Z$28:AF29,"tertiair",P28:P29)</f>
        <v>1800.0000000000005</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7094.1176470588243</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10134.453781512608</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2021-11-11T12:12:56Z</dcterms:modified>
</cp:coreProperties>
</file>