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5B55D50-DFEA-494C-A98C-E21E5BA893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7" i="18" l="1"/>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M77" i="14" s="1"/>
  <c r="M9" i="59" s="1"/>
  <c r="V44" i="18"/>
  <c r="U44" i="18"/>
  <c r="T44" i="18"/>
  <c r="S44" i="18"/>
  <c r="E9" i="18" s="1"/>
  <c r="F77" i="14" s="1"/>
  <c r="F9" i="59" s="1"/>
  <c r="R44" i="18"/>
  <c r="Q44" i="18"/>
  <c r="P44" i="18"/>
  <c r="O44" i="18"/>
  <c r="N44" i="18"/>
  <c r="B9" i="18" s="1"/>
  <c r="M44" i="18"/>
  <c r="W40" i="18"/>
  <c r="V40" i="18"/>
  <c r="U40" i="18"/>
  <c r="T40" i="18"/>
  <c r="S40" i="18"/>
  <c r="F6" i="17" s="1"/>
  <c r="R40" i="18"/>
  <c r="Q40" i="18"/>
  <c r="P40" i="18"/>
  <c r="D6" i="17" s="1"/>
  <c r="O40" i="18"/>
  <c r="N40" i="18"/>
  <c r="M40" i="18"/>
  <c r="W39" i="18"/>
  <c r="V39" i="18"/>
  <c r="U39" i="18"/>
  <c r="T39" i="18"/>
  <c r="S39" i="18"/>
  <c r="R39" i="18"/>
  <c r="Q39" i="18"/>
  <c r="P39" i="18"/>
  <c r="O39" i="18"/>
  <c r="C13" i="15" s="1"/>
  <c r="N39" i="18"/>
  <c r="B13" i="15" s="1"/>
  <c r="M39" i="18"/>
  <c r="W38" i="18"/>
  <c r="V38" i="18"/>
  <c r="U38" i="18"/>
  <c r="T38" i="18"/>
  <c r="S38" i="18"/>
  <c r="F16" i="16" s="1"/>
  <c r="R38" i="18"/>
  <c r="Q38" i="18"/>
  <c r="P38" i="18"/>
  <c r="D16" i="16" s="1"/>
  <c r="O38" i="18"/>
  <c r="N38" i="18"/>
  <c r="W37" i="18"/>
  <c r="V37" i="18"/>
  <c r="U37" i="18"/>
  <c r="T37" i="18"/>
  <c r="S37" i="18"/>
  <c r="R37" i="18"/>
  <c r="Q37" i="18"/>
  <c r="P37" i="18"/>
  <c r="O37" i="18"/>
  <c r="B17" i="18" s="1"/>
  <c r="N37" i="18"/>
  <c r="B8" i="18" s="1"/>
  <c r="M3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3" i="18"/>
  <c r="B57" i="18" s="1"/>
  <c r="B16" i="16"/>
  <c r="K9" i="14"/>
  <c r="H77" i="14"/>
  <c r="J11" i="48"/>
  <c r="J29" i="48" s="1"/>
  <c r="M9" i="14"/>
  <c r="L11" i="48"/>
  <c r="O19" i="14"/>
  <c r="O22" i="14" s="1"/>
  <c r="N10" i="48"/>
  <c r="N28" i="48" s="1"/>
  <c r="J19" i="14"/>
  <c r="J22" i="14" s="1"/>
  <c r="I10" i="48"/>
  <c r="I28" i="48" s="1"/>
  <c r="J19" i="19"/>
  <c r="K39" i="14" s="1"/>
  <c r="N19" i="19"/>
  <c r="O39" i="14" s="1"/>
  <c r="C53" i="18"/>
  <c r="I5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6" i="18"/>
  <c r="E8" i="18" s="1"/>
  <c r="F76" i="14" s="1"/>
  <c r="F7" i="48"/>
  <c r="F25" i="48" s="1"/>
  <c r="D56" i="18"/>
  <c r="O9" i="18"/>
  <c r="M29" i="48"/>
  <c r="F12" i="17"/>
  <c r="G54" i="14" s="1"/>
  <c r="G56" i="14" s="1"/>
  <c r="C57" i="18"/>
  <c r="C56" i="18"/>
  <c r="B10" i="18"/>
  <c r="E57" i="18"/>
  <c r="E17" i="18" s="1"/>
  <c r="F87" i="14" s="1"/>
  <c r="G57" i="18"/>
  <c r="D7" i="48"/>
  <c r="D25" i="48" s="1"/>
  <c r="H56" i="18"/>
  <c r="G56" i="18"/>
  <c r="D57" i="18"/>
  <c r="L28" i="48"/>
  <c r="H57" i="18"/>
  <c r="I57" i="18"/>
  <c r="H17" i="18" s="1"/>
  <c r="F57" i="18"/>
  <c r="F56" i="18"/>
  <c r="H10" i="18"/>
  <c r="M78" i="14"/>
  <c r="B5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<sst xmlns="http://schemas.openxmlformats.org/spreadsheetml/2006/main" count="2462" uniqueCount="873">
  <si>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</si>
  <si>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</si>
  <si>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</si>
  <si>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</si>
  <si>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</si>
  <si>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</si>
  <si>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</si>
  <si>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</si>
  <si>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</si>
  <si>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</si>
  <si>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</si>
  <si>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</si>
  <si>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</si>
  <si>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</si>
  <si>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</si>
  <si>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</si>
  <si>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</si>
  <si>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</si>
  <si>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</si>
  <si>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</si>
  <si>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</si>
  <si>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</si>
  <si>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</si>
  <si>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</si>
  <si>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</si>
  <si>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</si>
  <si>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</si>
  <si>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</si>
  <si>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</si>
  <si>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</si>
  <si>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</si>
  <si>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</si>
  <si>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</si>
  <si>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</si>
  <si>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</si>
  <si>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</si>
  <si>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</si>
  <si>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</si>
  <si>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</si>
  <si>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</si>
  <si>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</si>
  <si>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</si>
  <si>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</si>
  <si>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</si>
  <si>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</si>
  <si>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</si>
  <si>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</si>
  <si>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</si>
  <si>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</si>
  <si>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</si>
  <si>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</si>
  <si>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</si>
  <si>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</si>
  <si>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</si>
  <si>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</si>
  <si>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</si>
  <si>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</si>
  <si>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</si>
  <si>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</si>
  <si>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</si>
  <si>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</si>
  <si>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</si>
  <si>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</si>
  <si>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</si>
  <si>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</si>
  <si>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</si>
  <si>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</si>
  <si>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</si>
  <si>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</si>
  <si>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</si>
  <si>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</si>
  <si>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</si>
  <si>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</si>
  <si>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</si>
  <si>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</si>
  <si>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</si>
  <si>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</si>
  <si>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</si>
  <si>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</si>
  <si>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</si>
  <si>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</si>
  <si>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</si>
  <si>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</si>
  <si>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</si>
  <si>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</si>
  <si>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</si>
  <si>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</si>
  <si>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</si>
  <si>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</si>
  <si>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</si>
  <si>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</si>
  <si>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</si>
  <si>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</si>
  <si>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</si>
  <si>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</si>
  <si>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</si>
  <si>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</si>
  <si>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</si>
  <si>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</si>
  <si>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</si>
  <si>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</si>
  <si>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</si>
  <si>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</si>
  <si>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</si>
  <si>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</si>
  <si>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</si>
  <si>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</si>
  <si>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</si>
  <si>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</si>
  <si>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</si>
  <si>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</si>
  <si>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</si>
  <si>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</si>
  <si>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</si>
  <si>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</si>
  <si>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</si>
  <si>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</si>
  <si>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</si>
  <si>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</si>
  <si>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</si>
  <si>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</si>
  <si>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</si>
  <si>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</si>
  <si>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</si>
  <si>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</si>
  <si>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</si>
  <si>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</si>
  <si>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</si>
  <si>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</si>
  <si>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</si>
  <si>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</si>
  <si>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</si>
  <si>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</si>
  <si>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</si>
  <si>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</si>
  <si>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</si>
  <si>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</si>
  <si>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</si>
  <si>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</si>
  <si>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</si>
  <si>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</si>
  <si>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</si>
  <si>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</si>
  <si>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</si>
  <si>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</si>
  <si>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</si>
  <si>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</si>
  <si>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</si>
  <si>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</si>
  <si>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</si>
  <si>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</si>
  <si>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</si>
  <si>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</si>
  <si>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</si>
  <si>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</si>
  <si>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</si>
  <si>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</si>
  <si>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</si>
  <si>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</si>
  <si>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</si>
  <si>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</si>
  <si>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</si>
  <si>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</si>
  <si>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</si>
  <si>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</si>
  <si>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</si>
  <si>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</si>
  <si>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</si>
  <si>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</si>
  <si>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</si>
  <si>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</si>
  <si>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</si>
  <si>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</si>
  <si>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</si>
  <si>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</si>
  <si>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</si>
  <si>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</si>
  <si>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</si>
  <si>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</si>
  <si>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</si>
  <si>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</si>
  <si>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</si>
  <si>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</si>
  <si>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</si>
  <si>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</si>
  <si>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</si>
  <si>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</si>
  <si>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</si>
  <si>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</si>
  <si>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</si>
  <si>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</si>
  <si>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</si>
  <si>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</si>
  <si>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</si>
  <si>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</si>
  <si>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</si>
  <si>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</si>
  <si>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</si>
  <si>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</si>
  <si>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</si>
  <si>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</si>
  <si>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</si>
  <si>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</si>
  <si>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</si>
  <si>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</si>
  <si>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</si>
  <si>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</si>
  <si>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</si>
  <si>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</si>
  <si>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</si>
  <si>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</si>
  <si>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</si>
  <si>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</si>
  <si>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</si>
  <si>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</si>
  <si>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</si>
  <si>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</si>
  <si>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</si>
  <si>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</si>
  <si>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</si>
  <si>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</si>
  <si>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</si>
  <si>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</si>
  <si>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</si>
  <si>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</si>
  <si>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</si>
  <si>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</si>
  <si>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</si>
  <si>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</si>
  <si>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</si>
  <si>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</si>
  <si>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</si>
  <si>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</si>
  <si>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</si>
  <si>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</si>
  <si>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</si>
  <si>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</si>
  <si>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</si>
  <si>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</si>
  <si>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</si>
  <si>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</si>
  <si>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</si>
  <si>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</si>
  <si>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</si>
  <si>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</si>
  <si>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</si>
  <si>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</si>
  <si>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</si>
  <si>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</si>
  <si>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</si>
  <si>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</si>
  <si>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</si>
  <si>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</si>
  <si>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</si>
  <si>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</si>
  <si>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</si>
  <si>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</si>
  <si>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</si>
  <si>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</si>
  <si>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</si>
  <si>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</si>
  <si>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</si>
  <si>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</si>
  <si>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</si>
  <si>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</si>
  <si>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</si>
  <si>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</si>
  <si>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</si>
  <si>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</si>
  <si>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</si>
  <si>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</si>
  <si>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</si>
  <si>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</si>
  <si>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</si>
  <si>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</si>
  <si>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</si>
  <si>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</si>
  <si>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</si>
  <si>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</si>
  <si>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</si>
  <si>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</si>
  <si>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</si>
  <si>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</si>
  <si>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</si>
  <si>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</si>
  <si>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</si>
  <si>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</si>
  <si>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</si>
  <si>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</si>
  <si>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</si>
  <si>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</si>
  <si>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</si>
  <si>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</si>
  <si>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</si>
  <si>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</si>
  <si>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</si>
  <si>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</si>
  <si>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</si>
  <si>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</si>
  <si>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</si>
  <si>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</si>
  <si>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</si>
  <si>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</si>
  <si>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</si>
  <si>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</si>
  <si>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</si>
  <si>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</si>
  <si>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</si>
  <si>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</si>
  <si>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</si>
  <si>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</si>
  <si>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</si>
  <si>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</si>
  <si>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</si>
  <si>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</si>
  <si>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</si>
  <si>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</si>
  <si>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</si>
  <si>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</si>
  <si>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</si>
  <si>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</si>
  <si>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</si>
  <si>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</si>
  <si>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</si>
  <si>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</si>
  <si>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</si>
  <si>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</si>
  <si>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</si>
  <si>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</si>
  <si>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</si>
  <si>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</si>
  <si>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</si>
  <si>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</si>
  <si>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</si>
  <si>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</si>
  <si>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</si>
  <si>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</si>
  <si>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</si>
  <si>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</si>
  <si>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</si>
  <si>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</si>
  <si>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</si>
  <si>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</si>
  <si>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</si>
  <si>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</si>
  <si>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</si>
  <si>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</si>
  <si>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</si>
  <si>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</si>
  <si>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</si>
  <si>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</si>
  <si>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</si>
  <si>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</si>
  <si>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</si>
  <si>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</si>
  <si>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</si>
  <si>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</si>
  <si>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</si>
  <si>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</si>
  <si>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</si>
  <si>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</si>
  <si>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</si>
  <si>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</si>
  <si>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</si>
  <si>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</si>
  <si>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</si>
  <si>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</si>
  <si>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</si>
  <si>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</si>
  <si>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</si>
  <si>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</si>
  <si>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</si>
  <si>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</si>
  <si>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</si>
  <si>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</si>
  <si>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</si>
  <si>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</si>
  <si>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</si>
  <si>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</si>
  <si>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</si>
  <si>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</si>
  <si>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</si>
  <si>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</si>
  <si>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</si>
  <si>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</si>
  <si>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</si>
  <si>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</si>
  <si>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</si>
  <si>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</si>
  <si>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</si>
  <si>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</si>
  <si>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</si>
  <si>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</si>
  <si>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</si>
  <si>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</si>
  <si>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</si>
  <si>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</si>
  <si>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</si>
  <si>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</si>
  <si>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</si>
  <si>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</si>
  <si>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</si>
  <si>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</si>
  <si>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</si>
  <si>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</si>
  <si>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</si>
  <si>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</si>
  <si>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</si>
  <si>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</si>
  <si>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</si>
  <si>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</si>
  <si>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</si>
  <si>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</si>
  <si>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</si>
  <si>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</si>
  <si>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</si>
  <si>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</si>
  <si>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</si>
  <si>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</si>
  <si>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</si>
  <si>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</si>
  <si>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</si>
  <si>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</si>
  <si>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</si>
  <si>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</si>
  <si>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</si>
  <si>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</si>
  <si>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</si>
  <si>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</si>
  <si>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</si>
  <si>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</si>
  <si>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</si>
  <si>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</si>
  <si>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</si>
  <si>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</si>
  <si>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</si>
  <si>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</si>
  <si>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</si>
  <si>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</si>
  <si>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</si>
  <si>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</si>
  <si>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</si>
  <si>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</si>
  <si>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</si>
  <si>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</si>
  <si>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</si>
  <si>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</si>
  <si>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</si>
  <si>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</si>
  <si>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</si>
  <si>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</si>
  <si>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</si>
  <si>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</si>
  <si>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</si>
  <si>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</si>
  <si>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</si>
  <si>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</si>
  <si>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</si>
  <si>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</si>
  <si>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</si>
  <si>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</si>
  <si>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</si>
  <si>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</si>
  <si>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</si>
  <si>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</si>
  <si>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</si>
  <si>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</si>
  <si>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</si>
  <si>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</si>
  <si>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</si>
  <si>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</si>
  <si>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</si>
  <si>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</si>
  <si>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</si>
  <si>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</si>
  <si>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</si>
  <si>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</si>
  <si>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</si>
  <si>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</si>
  <si>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</si>
  <si>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</si>
  <si>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</si>
  <si>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</si>
  <si>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</si>
  <si>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</si>
  <si>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</si>
  <si>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</si>
  <si>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</si>
  <si>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</si>
  <si>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</si>
  <si>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</si>
  <si>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</si>
  <si>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</si>
  <si>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</si>
  <si>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</si>
  <si>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</si>
  <si>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</si>
  <si>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</si>
  <si>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</si>
  <si>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</si>
  <si>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</si>
  <si>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</si>
  <si>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</si>
  <si>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</si>
  <si>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</si>
  <si>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</si>
  <si>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</si>
  <si>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</si>
  <si>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</si>
  <si>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</si>
  <si>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</si>
  <si>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</si>
  <si>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</si>
  <si>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</si>
  <si>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</si>
  <si>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</si>
  <si>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</si>
  <si>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</si>
  <si>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</si>
  <si>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</si>
  <si>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</si>
  <si>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</si>
  <si>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</si>
  <si>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</si>
  <si>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</si>
  <si>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</si>
  <si>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</si>
  <si>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</si>
  <si>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</si>
  <si>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</si>
  <si>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</si>
  <si>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</si>
  <si>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</si>
  <si>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</si>
  <si>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</si>
  <si>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</si>
  <si>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</si>
  <si>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</si>
  <si>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</si>
  <si>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</si>
  <si>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</si>
  <si>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</si>
  <si>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</si>
  <si>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</si>
  <si>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</si>
  <si>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</si>
  <si>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</si>
  <si>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</si>
  <si>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</si>
  <si>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</si>
  <si>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</si>
  <si>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</si>
  <si>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</si>
  <si>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</si>
  <si>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</si>
  <si>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</si>
  <si>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</si>
  <si>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</si>
  <si>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</si>
  <si>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</si>
  <si>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</si>
  <si>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</si>
  <si>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</si>
  <si>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</si>
  <si>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</si>
  <si>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</si>
  <si>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</si>
  <si>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</si>
  <si>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</si>
  <si>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</si>
  <si>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</si>
  <si>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</si>
  <si>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</si>
  <si>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</si>
  <si>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</si>
  <si>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</si>
  <si>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</si>
  <si>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</si>
  <si>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</si>
  <si>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</si>
  <si>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</si>
  <si>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</si>
  <si>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</si>
  <si>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</si>
  <si>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</si>
  <si>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</si>
  <si>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</si>
  <si>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</si>
  <si>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</si>
  <si>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</si>
  <si>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</si>
  <si>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</si>
  <si>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</si>
  <si>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</si>
  <si>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</si>
  <si>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</si>
  <si>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</si>
  <si>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</si>
  <si>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</si>
  <si>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</si>
  <si>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</si>
  <si>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</si>
  <si>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</si>
  <si>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</si>
  <si>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</si>
  <si>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</si>
  <si>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</si>
  <si>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</si>
  <si>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</si>
  <si>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</si>
  <si>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</si>
  <si>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</si>
  <si>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</si>
  <si>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</si>
  <si>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</si>
  <si>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</si>
  <si>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</si>
  <si>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</si>
  <si>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</si>
  <si>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</si>
  <si>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</si>
  <si>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</si>
  <si>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</si>
  <si>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</si>
  <si>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</si>
  <si>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</si>
  <si>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</si>
  <si>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</si>
  <si>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</si>
  <si>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</si>
  <si>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</si>
  <si>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</si>
  <si>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</si>
  <si>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</si>
  <si>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</si>
  <si>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</si>
  <si>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</si>
  <si>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</si>
  <si>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</si>
  <si>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</si>
  <si>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</si>
  <si>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</si>
  <si>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</si>
  <si>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</si>
  <si>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</si>
  <si>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</si>
  <si>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</si>
  <si>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</si>
  <si>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</si>
  <si>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</si>
  <si>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</si>
  <si>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</si>
  <si>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</si>
  <si>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</si>
  <si>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</si>
  <si>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</si>
  <si>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</si>
  <si>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</si>
  <si>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</si>
  <si>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</si>
  <si>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</si>
  <si>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</si>
  <si>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</si>
  <si>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</si>
  <si>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</si>
  <si>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</si>
  <si>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</si>
  <si>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</si>
  <si>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</si>
  <si>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</si>
  <si>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</si>
  <si>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</si>
  <si>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</si>
  <si>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</si>
  <si>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</si>
  <si>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</si>
  <si>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</si>
  <si>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</si>
  <si>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</si>
  <si>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</si>
  <si>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</si>
  <si>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</si>
  <si>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</si>
  <si>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</si>
  <si>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</si>
  <si>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</si>
  <si>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</si>
  <si>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</si>
  <si>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</si>
  <si>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</si>
  <si>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</si>
  <si>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</si>
  <si>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</si>
  <si>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</si>
  <si>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</si>
  <si>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</si>
  <si>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</si>
  <si>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</si>
  <si>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</si>
  <si>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</si>
  <si>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</si>
  <si>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</si>
  <si>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</si>
  <si>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</si>
  <si>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</si>
  <si>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</si>
  <si>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</si>
  <si>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</si>
  <si>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</si>
  <si>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</si>
  <si>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</si>
  <si>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</si>
  <si>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</si>
  <si>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</si>
  <si>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</si>
  <si>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</si>
  <si>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</si>
  <si>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</si>
  <si>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</si>
  <si>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</si>
  <si>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</si>
  <si>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</si>
  <si>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</si>
  <si>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</si>
  <si>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</si>
  <si>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</si>
  <si>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</si>
  <si>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</si>
  <si>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</si>
  <si>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</si>
  <si>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</si>
  <si>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</si>
  <si>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</si>
  <si>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</si>
  <si>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</si>
  <si>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</si>
  <si>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</si>
  <si>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</si>
  <si>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</si>
  <si>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</si>
  <si>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</si>
  <si>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</si>
  <si>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</si>
  <si>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</si>
  <si>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</si>
  <si>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</si>
  <si>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</si>
  <si>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</si>
  <si>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</si>
  <si>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</si>
  <si>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</si>
  <si>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</si>
  <si>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</si>
  <si>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</si>
  <si>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</si>
  <si>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</si>
  <si>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</si>
  <si>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</si>
  <si>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</si>
  <si>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</si>
  <si>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</si>
  <si>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</si>
  <si>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</si>
  <si>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</si>
  <si>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</si>
  <si>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</si>
  <si>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</si>
  <si>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</si>
  <si>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</si>
  <si>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</si>
  <si>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</si>
  <si>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</si>
  <si>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</si>
  <si>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</si>
  <si>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</si>
  <si>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</si>
  <si>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</si>
  <si>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</si>
  <si>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</si>
  <si>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</si>
  <si>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</si>
  <si>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</si>
  <si>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</si>
  <si>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</si>
  <si>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</si>
  <si>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</si>
  <si>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</si>
  <si>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</si>
  <si>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</si>
  <si>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</si>
  <si>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</si>
  <si>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</si>
  <si>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</si>
  <si>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</si>
  <si>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</si>
  <si>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</si>
  <si>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</si>
  <si>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</si>
  <si>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</si>
  <si>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</si>
  <si>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</si>
  <si>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</si>
  <si>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</si>
  <si>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</si>
  <si>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</si>
  <si>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</si>
  <si>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</si>
  <si>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</si>
  <si>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</si>
  <si>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</si>
  <si>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</si>
  <si>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</si>
  <si>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</si>
  <si>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</si>
  <si>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</si>
  <si>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</si>
  <si>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</si>
  <si>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</si>
  <si>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</si>
  <si>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</si>
  <si>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</si>
  <si>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</si>
  <si>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</si>
  <si>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</si>
  <si>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</si>
  <si>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</si>
  <si>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</si>
  <si>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</si>
  <si>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</si>
  <si>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</si>
  <si>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</si>
  <si>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</si>
  <si>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</si>
  <si>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</si>
  <si>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</si>
  <si>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</si>
  <si>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</si>
  <si>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</si>
  <si>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</si>
  <si>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</si>
  <si>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</si>
  <si>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</si>
  <si>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</si>
  <si>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</si>
  <si>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</si>
  <si>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</si>
  <si>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</si>
  <si>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</si>
  <si>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</si>
  <si>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</si>
  <si>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</si>
  <si>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</si>
  <si>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</si>
  <si>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</si>
  <si>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</si>
  <si>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</si>
  <si>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</si>
  <si>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</si>
  <si>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</si>
  <si>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</si>
  <si>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</si>
  <si>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</si>
  <si>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</si>
  <si>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</si>
  <si>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11037</t>
  </si>
  <si>
    <t>RUMST</t>
  </si>
  <si>
    <t>referentietaak LNE (2017); Jaarverslag De Lijn</t>
  </si>
  <si>
    <t>waterkracht</t>
  </si>
  <si>
    <t>interne verbrandingsmotor</t>
  </si>
  <si>
    <t>WKK interne verbrandinsgmotor (gas)</t>
  </si>
  <si>
    <t>IVEKA</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</si>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</sst>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93EE0C2-5B38-4420-B908-9A135A5302D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121657.59664128213</c:v>
                </c:pt>
                <c:pt idx="1">
                  <c:v>105774.31851457931</c:v>
                </c:pt>
                <c:pt idx="2">
                  <c:v>936.37400000000002</c:v>
                </c:pt>
                <c:pt idx="3">
                  <c:v>83657.445178557275</c:v>
                </c:pt>
                <c:pt idx="4">
                  <c:v>76121.355013546417</c:v>
                </c:pt>
                <c:pt idx="5">
                  <c:v>272311.3530213795</c:v>
                </c:pt>
                <c:pt idx="6">
                  <c:v>1978.5187993735879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121657.59664128213</c:v>
                </c:pt>
                <c:pt idx="1">
                  <c:v>105774.31851457931</c:v>
                </c:pt>
                <c:pt idx="2">
                  <c:v>936.37400000000002</c:v>
                </c:pt>
                <c:pt idx="3">
                  <c:v>83657.445178557275</c:v>
                </c:pt>
                <c:pt idx="4">
                  <c:v>76121.355013546417</c:v>
                </c:pt>
                <c:pt idx="5">
                  <c:v>272311.3530213795</c:v>
                </c:pt>
                <c:pt idx="6">
                  <c:v>1978.5187993735879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24613.670440997103</c:v>
                </c:pt>
                <c:pt idx="1">
                  <c:v>21794.515766148255</c:v>
                </c:pt>
                <c:pt idx="2">
                  <c:v>203.01275891459207</c:v>
                </c:pt>
                <c:pt idx="3">
                  <c:v>19998.761701730102</c:v>
                </c:pt>
                <c:pt idx="4">
                  <c:v>14407.686921975905</c:v>
                </c:pt>
                <c:pt idx="5">
                  <c:v>67648.279417707614</c:v>
                </c:pt>
                <c:pt idx="6">
                  <c:v>498.52878985345876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24613.670440997103</c:v>
                </c:pt>
                <c:pt idx="1">
                  <c:v>21794.515766148255</c:v>
                </c:pt>
                <c:pt idx="2">
                  <c:v>203.01275891459207</c:v>
                </c:pt>
                <c:pt idx="3">
                  <c:v>19998.761701730102</c:v>
                </c:pt>
                <c:pt idx="4">
                  <c:v>14407.686921975905</c:v>
                </c:pt>
                <c:pt idx="5">
                  <c:v>67648.279417707614</c:v>
                </c:pt>
                <c:pt idx="6">
                  <c:v>498.52878985345876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11037</v>
      </c>
      <c r="B6" s="384"/>
      <c r="C6" s="385"/>
    </row>
    <row r="7" spans="1:7" s="382" customFormat="1" ht="15.75" customHeight="1">
      <c r="A7" s="386" t="str">
        <f>txtMunicipality</f>
        <v>RUMST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47086.528597598764</v>
      </c>
      <c r="D10" s="681">
        <f ca="1">tertiair!C16</f>
        <v>0</v>
      </c>
      <c r="E10" s="681">
        <f ca="1">tertiair!D16</f>
        <v>28529.267465005887</v>
      </c>
      <c r="F10" s="681">
        <f>tertiair!E16</f>
        <v>353.5351890454528</v>
      </c>
      <c r="G10" s="681">
        <f ca="1">tertiair!F16</f>
        <v>22268.091975078212</v>
      </c>
      <c r="H10" s="681">
        <f>tertiair!G16</f>
        <v>0</v>
      </c>
      <c r="I10" s="681">
        <f>tertiair!H16</f>
        <v>0</v>
      </c>
      <c r="J10" s="681">
        <f>tertiair!I16</f>
        <v>0</v>
      </c>
      <c r="K10" s="681">
        <f>tertiair!J16</f>
        <v>0.22118514362904793</v>
      </c>
      <c r="L10" s="681">
        <f>tertiair!K16</f>
        <v>0</v>
      </c>
      <c r="M10" s="681">
        <f ca="1">tertiair!L16</f>
        <v>0</v>
      </c>
      <c r="N10" s="681">
        <f>tertiair!M16</f>
        <v>0</v>
      </c>
      <c r="O10" s="681">
        <f ca="1">tertiair!N16</f>
        <v>8420.5089644008767</v>
      </c>
      <c r="P10" s="681">
        <f>tertiair!O16</f>
        <v>0</v>
      </c>
      <c r="Q10" s="682">
        <f>tertiair!P16</f>
        <v>52.539138306495019</v>
      </c>
      <c r="R10" s="684">
        <f ca="1">SUM(C10:Q10)</f>
        <v>106710.69251457932</v>
      </c>
      <c r="S10" s="67"/>
    </row>
    <row r="11" spans="1:19" s="443" customFormat="1">
      <c r="A11" s="802" t="s">
        <v>214</v>
      </c>
      <c r="B11" s="807"/>
      <c r="C11" s="681">
        <f>huishoudens!B8</f>
        <v>25092.860438439238</v>
      </c>
      <c r="D11" s="681">
        <f>huishoudens!C8</f>
        <v>0</v>
      </c>
      <c r="E11" s="681">
        <f>huishoudens!D8</f>
        <v>65424.601489646811</v>
      </c>
      <c r="F11" s="681">
        <f>huishoudens!E8</f>
        <v>973.42019593504256</v>
      </c>
      <c r="G11" s="681">
        <f>huishoudens!F8</f>
        <v>21324.331999556569</v>
      </c>
      <c r="H11" s="681">
        <f>huishoudens!G8</f>
        <v>0</v>
      </c>
      <c r="I11" s="681">
        <f>huishoudens!H8</f>
        <v>0</v>
      </c>
      <c r="J11" s="681">
        <f>huishoudens!I8</f>
        <v>0</v>
      </c>
      <c r="K11" s="681">
        <f>huishoudens!J8</f>
        <v>121.5297003878058</v>
      </c>
      <c r="L11" s="681">
        <f>huishoudens!K8</f>
        <v>0</v>
      </c>
      <c r="M11" s="681">
        <f>huishoudens!L8</f>
        <v>0</v>
      </c>
      <c r="N11" s="681">
        <f>huishoudens!M8</f>
        <v>0</v>
      </c>
      <c r="O11" s="681">
        <f>huishoudens!N8</f>
        <v>7814.5563099565352</v>
      </c>
      <c r="P11" s="681">
        <f>huishoudens!O8</f>
        <v>232.12311166828275</v>
      </c>
      <c r="Q11" s="682">
        <f>huishoudens!P8</f>
        <v>674.17339569184151</v>
      </c>
      <c r="R11" s="684">
        <f>SUM(C11:Q11)</f>
        <v>121657.59664128213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15853.707791432738</v>
      </c>
      <c r="D13" s="681">
        <f>industrie!C18</f>
        <v>0</v>
      </c>
      <c r="E13" s="681">
        <f>industrie!D18</f>
        <v>48723.597983205822</v>
      </c>
      <c r="F13" s="681">
        <f>industrie!E18</f>
        <v>229.73744055434113</v>
      </c>
      <c r="G13" s="681">
        <f>industrie!F18</f>
        <v>3394.4544468299573</v>
      </c>
      <c r="H13" s="681">
        <f>industrie!G18</f>
        <v>0</v>
      </c>
      <c r="I13" s="681">
        <f>industrie!H18</f>
        <v>0</v>
      </c>
      <c r="J13" s="681">
        <f>industrie!I18</f>
        <v>0</v>
      </c>
      <c r="K13" s="681">
        <f>industrie!J18</f>
        <v>479.80263121239761</v>
      </c>
      <c r="L13" s="681">
        <f>industrie!K18</f>
        <v>0</v>
      </c>
      <c r="M13" s="681">
        <f>industrie!L18</f>
        <v>0</v>
      </c>
      <c r="N13" s="681">
        <f>industrie!M18</f>
        <v>0</v>
      </c>
      <c r="O13" s="681">
        <f>industrie!N18</f>
        <v>7440.054720311171</v>
      </c>
      <c r="P13" s="681">
        <f>industrie!O18</f>
        <v>0</v>
      </c>
      <c r="Q13" s="682">
        <f>industrie!P18</f>
        <v>0</v>
      </c>
      <c r="R13" s="684">
        <f>SUM(C13:Q13)</f>
        <v>76121.355013546417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88033.096827470741</v>
      </c>
      <c r="D16" s="717">
        <f t="shared" ref="D16:R16" ca="1" si="0">SUM(D9:D15)</f>
        <v>0</v>
      </c>
      <c r="E16" s="717">
        <f t="shared" ca="1" si="0"/>
        <v>142677.46693785852</v>
      </c>
      <c r="F16" s="717">
        <f t="shared" si="0"/>
        <v>1556.6928255348366</v>
      </c>
      <c r="G16" s="717">
        <f t="shared" ca="1" si="0"/>
        <v>46986.878421464738</v>
      </c>
      <c r="H16" s="717">
        <f t="shared" si="0"/>
        <v>0</v>
      </c>
      <c r="I16" s="717">
        <f t="shared" si="0"/>
        <v>0</v>
      </c>
      <c r="J16" s="717">
        <f t="shared" si="0"/>
        <v>0</v>
      </c>
      <c r="K16" s="717">
        <f t="shared" si="0"/>
        <v>601.55351674383246</v>
      </c>
      <c r="L16" s="717">
        <f t="shared" si="0"/>
        <v>0</v>
      </c>
      <c r="M16" s="717">
        <f t="shared" ca="1" si="0"/>
        <v>0</v>
      </c>
      <c r="N16" s="717">
        <f t="shared" si="0"/>
        <v>0</v>
      </c>
      <c r="O16" s="717">
        <f t="shared" ca="1" si="0"/>
        <v>23675.119994668581</v>
      </c>
      <c r="P16" s="717">
        <f t="shared" si="0"/>
        <v>232.12311166828275</v>
      </c>
      <c r="Q16" s="717">
        <f t="shared" si="0"/>
        <v>726.71253399833654</v>
      </c>
      <c r="R16" s="717">
        <f t="shared" ca="1" si="0"/>
        <v>304489.6441694079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29.443317410696537</v>
      </c>
      <c r="D19" s="681">
        <f>transport!C54</f>
        <v>0</v>
      </c>
      <c r="E19" s="681">
        <f>transport!D54</f>
        <v>0</v>
      </c>
      <c r="F19" s="681">
        <f>transport!E54</f>
        <v>0</v>
      </c>
      <c r="G19" s="681">
        <f>transport!F54</f>
        <v>0</v>
      </c>
      <c r="H19" s="681">
        <f>transport!G54</f>
        <v>1843.2406832923061</v>
      </c>
      <c r="I19" s="681">
        <f>transport!H54</f>
        <v>0</v>
      </c>
      <c r="J19" s="681">
        <f>transport!I54</f>
        <v>0</v>
      </c>
      <c r="K19" s="681">
        <f>transport!J54</f>
        <v>0</v>
      </c>
      <c r="L19" s="681">
        <f>transport!K54</f>
        <v>0</v>
      </c>
      <c r="M19" s="681">
        <f>transport!L54</f>
        <v>0</v>
      </c>
      <c r="N19" s="681">
        <f>transport!M54</f>
        <v>105.83479867058499</v>
      </c>
      <c r="O19" s="681">
        <f>transport!N54</f>
        <v>0</v>
      </c>
      <c r="P19" s="681">
        <f>transport!O54</f>
        <v>0</v>
      </c>
      <c r="Q19" s="682">
        <f>transport!P54</f>
        <v>0</v>
      </c>
      <c r="R19" s="684">
        <f>SUM(C19:Q19)</f>
        <v>1978.5187993735879</v>
      </c>
      <c r="S19" s="67"/>
    </row>
    <row r="20" spans="1:19" s="443" customFormat="1">
      <c r="A20" s="802" t="s">
        <v>296</v>
      </c>
      <c r="B20" s="807"/>
      <c r="C20" s="681">
        <f>transport!B14</f>
        <v>620.43281594784332</v>
      </c>
      <c r="D20" s="681">
        <f>transport!C14</f>
        <v>0</v>
      </c>
      <c r="E20" s="681">
        <f>transport!D14</f>
        <v>956.6537949329396</v>
      </c>
      <c r="F20" s="681">
        <f>transport!E14</f>
        <v>421.64842005946065</v>
      </c>
      <c r="G20" s="681">
        <f>transport!F14</f>
        <v>0</v>
      </c>
      <c r="H20" s="681">
        <f>transport!G14</f>
        <v>206913.14399270515</v>
      </c>
      <c r="I20" s="681">
        <f>transport!H14</f>
        <v>48108.422985712983</v>
      </c>
      <c r="J20" s="681">
        <f>transport!I14</f>
        <v>0</v>
      </c>
      <c r="K20" s="681">
        <f>transport!J14</f>
        <v>0</v>
      </c>
      <c r="L20" s="681">
        <f>transport!K14</f>
        <v>0</v>
      </c>
      <c r="M20" s="681">
        <f>transport!L14</f>
        <v>0</v>
      </c>
      <c r="N20" s="681">
        <f>transport!M14</f>
        <v>15291.051012021124</v>
      </c>
      <c r="O20" s="681">
        <f>transport!N14</f>
        <v>0</v>
      </c>
      <c r="P20" s="681">
        <f>transport!O14</f>
        <v>0</v>
      </c>
      <c r="Q20" s="682">
        <f>transport!P14</f>
        <v>0</v>
      </c>
      <c r="R20" s="684">
        <f>SUM(C20:Q20)</f>
        <v>272311.3530213795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649.87613335853985</v>
      </c>
      <c r="D22" s="805">
        <f t="shared" ref="D22:R22" si="1">SUM(D18:D21)</f>
        <v>0</v>
      </c>
      <c r="E22" s="805">
        <f t="shared" si="1"/>
        <v>956.6537949329396</v>
      </c>
      <c r="F22" s="805">
        <f t="shared" si="1"/>
        <v>421.64842005946065</v>
      </c>
      <c r="G22" s="805">
        <f t="shared" si="1"/>
        <v>0</v>
      </c>
      <c r="H22" s="805">
        <f t="shared" si="1"/>
        <v>208756.38467599745</v>
      </c>
      <c r="I22" s="805">
        <f t="shared" si="1"/>
        <v>48108.422985712983</v>
      </c>
      <c r="J22" s="805">
        <f t="shared" si="1"/>
        <v>0</v>
      </c>
      <c r="K22" s="805">
        <f t="shared" si="1"/>
        <v>0</v>
      </c>
      <c r="L22" s="805">
        <f t="shared" si="1"/>
        <v>0</v>
      </c>
      <c r="M22" s="805">
        <f t="shared" si="1"/>
        <v>0</v>
      </c>
      <c r="N22" s="805">
        <f t="shared" si="1"/>
        <v>15396.885810691709</v>
      </c>
      <c r="O22" s="805">
        <f t="shared" si="1"/>
        <v>0</v>
      </c>
      <c r="P22" s="805">
        <f t="shared" si="1"/>
        <v>0</v>
      </c>
      <c r="Q22" s="805">
        <f t="shared" si="1"/>
        <v>0</v>
      </c>
      <c r="R22" s="805">
        <f t="shared" si="1"/>
        <v>274289.87182075309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1308.59807413304</v>
      </c>
      <c r="D24" s="681">
        <f>+landbouw!C8</f>
        <v>77836.28571428571</v>
      </c>
      <c r="E24" s="681">
        <f>+landbouw!D8</f>
        <v>0</v>
      </c>
      <c r="F24" s="681">
        <f>+landbouw!E8</f>
        <v>37.480463396550924</v>
      </c>
      <c r="G24" s="681">
        <f>+landbouw!F8</f>
        <v>4142.3455295996237</v>
      </c>
      <c r="H24" s="681">
        <f>+landbouw!G8</f>
        <v>0</v>
      </c>
      <c r="I24" s="681">
        <f>+landbouw!H8</f>
        <v>0</v>
      </c>
      <c r="J24" s="681">
        <f>+landbouw!I8</f>
        <v>0</v>
      </c>
      <c r="K24" s="681">
        <f>+landbouw!J8</f>
        <v>332.73539714234175</v>
      </c>
      <c r="L24" s="681">
        <f>+landbouw!K8</f>
        <v>0</v>
      </c>
      <c r="M24" s="681">
        <f>+landbouw!L8</f>
        <v>0</v>
      </c>
      <c r="N24" s="681">
        <f>+landbouw!M8</f>
        <v>0</v>
      </c>
      <c r="O24" s="681">
        <f>+landbouw!N8</f>
        <v>0</v>
      </c>
      <c r="P24" s="681">
        <f>+landbouw!O8</f>
        <v>0</v>
      </c>
      <c r="Q24" s="682">
        <f>+landbouw!P8</f>
        <v>0</v>
      </c>
      <c r="R24" s="684">
        <f>SUM(C24:Q24)</f>
        <v>83657.445178557275</v>
      </c>
      <c r="S24" s="67"/>
    </row>
    <row r="25" spans="1:19" s="443" customFormat="1" ht="15" thickBot="1">
      <c r="A25" s="824" t="s">
        <v>690</v>
      </c>
      <c r="B25" s="937"/>
      <c r="C25" s="938">
        <f>IF(Onbekend_ele_kWh="---",0,Onbekend_ele_kWh)/1000+IF(REST_rest_ele_kWh="---",0,REST_rest_ele_kWh)/1000</f>
        <v>475.87732513020899</v>
      </c>
      <c r="D25" s="938"/>
      <c r="E25" s="938">
        <f>IF(onbekend_gas_kWh="---",0,onbekend_gas_kWh)/1000+IF(REST_rest_gas_kWh="---",0,REST_rest_gas_kWh)/1000</f>
        <v>1013.4001875649001</v>
      </c>
      <c r="F25" s="938"/>
      <c r="G25" s="938"/>
      <c r="H25" s="938"/>
      <c r="I25" s="938"/>
      <c r="J25" s="938"/>
      <c r="K25" s="938"/>
      <c r="L25" s="938"/>
      <c r="M25" s="938"/>
      <c r="N25" s="938"/>
      <c r="O25" s="938"/>
      <c r="P25" s="938"/>
      <c r="Q25" s="939"/>
      <c r="R25" s="684">
        <f>SUM(C25:Q25)</f>
        <v>1489.2775126951092</v>
      </c>
      <c r="S25" s="67"/>
    </row>
    <row r="26" spans="1:19" s="443" customFormat="1" ht="15.75" thickBot="1">
      <c r="A26" s="689" t="s">
        <v>691</v>
      </c>
      <c r="B26" s="810"/>
      <c r="C26" s="805">
        <f>SUM(C24:C25)</f>
        <v>1784.4753992632491</v>
      </c>
      <c r="D26" s="805">
        <f t="shared" ref="D26:R26" si="2">SUM(D24:D25)</f>
        <v>77836.28571428571</v>
      </c>
      <c r="E26" s="805">
        <f t="shared" si="2"/>
        <v>1013.4001875649001</v>
      </c>
      <c r="F26" s="805">
        <f t="shared" si="2"/>
        <v>37.480463396550924</v>
      </c>
      <c r="G26" s="805">
        <f t="shared" si="2"/>
        <v>4142.3455295996237</v>
      </c>
      <c r="H26" s="805">
        <f t="shared" si="2"/>
        <v>0</v>
      </c>
      <c r="I26" s="805">
        <f t="shared" si="2"/>
        <v>0</v>
      </c>
      <c r="J26" s="805">
        <f t="shared" si="2"/>
        <v>0</v>
      </c>
      <c r="K26" s="805">
        <f t="shared" si="2"/>
        <v>332.73539714234175</v>
      </c>
      <c r="L26" s="805">
        <f t="shared" si="2"/>
        <v>0</v>
      </c>
      <c r="M26" s="805">
        <f t="shared" si="2"/>
        <v>0</v>
      </c>
      <c r="N26" s="805">
        <f t="shared" si="2"/>
        <v>0</v>
      </c>
      <c r="O26" s="805">
        <f t="shared" si="2"/>
        <v>0</v>
      </c>
      <c r="P26" s="805">
        <f t="shared" si="2"/>
        <v>0</v>
      </c>
      <c r="Q26" s="805">
        <f t="shared" si="2"/>
        <v>0</v>
      </c>
      <c r="R26" s="805">
        <f t="shared" si="2"/>
        <v>85146.722691252391</v>
      </c>
      <c r="S26" s="67"/>
    </row>
    <row r="27" spans="1:19" s="443" customFormat="1" ht="17.25" thickTop="1" thickBot="1">
      <c r="A27" s="690" t="s">
        <v>109</v>
      </c>
      <c r="B27" s="797"/>
      <c r="C27" s="691">
        <f ca="1">C22+C16+C26</f>
        <v>90467.44836009253</v>
      </c>
      <c r="D27" s="691">
        <f t="shared" ref="D27:R27" ca="1" si="3">D22+D16+D26</f>
        <v>77836.28571428571</v>
      </c>
      <c r="E27" s="691">
        <f t="shared" ca="1" si="3"/>
        <v>144647.52092035636</v>
      </c>
      <c r="F27" s="691">
        <f t="shared" si="3"/>
        <v>2015.8217089908483</v>
      </c>
      <c r="G27" s="691">
        <f t="shared" ca="1" si="3"/>
        <v>51129.223951064363</v>
      </c>
      <c r="H27" s="691">
        <f t="shared" si="3"/>
        <v>208756.38467599745</v>
      </c>
      <c r="I27" s="691">
        <f t="shared" si="3"/>
        <v>48108.422985712983</v>
      </c>
      <c r="J27" s="691">
        <f t="shared" si="3"/>
        <v>0</v>
      </c>
      <c r="K27" s="691">
        <f t="shared" si="3"/>
        <v>934.28891388617421</v>
      </c>
      <c r="L27" s="691">
        <f t="shared" si="3"/>
        <v>0</v>
      </c>
      <c r="M27" s="691">
        <f t="shared" ca="1" si="3"/>
        <v>0</v>
      </c>
      <c r="N27" s="691">
        <f t="shared" si="3"/>
        <v>15396.885810691709</v>
      </c>
      <c r="O27" s="691">
        <f t="shared" ca="1" si="3"/>
        <v>23675.119994668581</v>
      </c>
      <c r="P27" s="691">
        <f t="shared" si="3"/>
        <v>232.12311166828275</v>
      </c>
      <c r="Q27" s="691">
        <f t="shared" si="3"/>
        <v>726.71253399833654</v>
      </c>
      <c r="R27" s="691">
        <f t="shared" ca="1" si="3"/>
        <v>663926.23868141335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10208.705152331613</v>
      </c>
      <c r="D40" s="681">
        <f ca="1">tertiair!C20</f>
        <v>0</v>
      </c>
      <c r="E40" s="681">
        <f ca="1">tertiair!D20</f>
        <v>5762.9120279311892</v>
      </c>
      <c r="F40" s="681">
        <f>tertiair!E20</f>
        <v>80.252487913317793</v>
      </c>
      <c r="G40" s="681">
        <f ca="1">tertiair!F20</f>
        <v>5945.5805573458829</v>
      </c>
      <c r="H40" s="681">
        <f>tertiair!G20</f>
        <v>0</v>
      </c>
      <c r="I40" s="681">
        <f>tertiair!H20</f>
        <v>0</v>
      </c>
      <c r="J40" s="681">
        <f>tertiair!I20</f>
        <v>0</v>
      </c>
      <c r="K40" s="681">
        <f>tertiair!J20</f>
        <v>7.8299540844682963E-2</v>
      </c>
      <c r="L40" s="681">
        <f>tertiair!K20</f>
        <v>0</v>
      </c>
      <c r="M40" s="681">
        <f ca="1">tertiair!L20</f>
        <v>0</v>
      </c>
      <c r="N40" s="681">
        <f>tertiair!M20</f>
        <v>0</v>
      </c>
      <c r="O40" s="681">
        <f ca="1">tertiair!N20</f>
        <v>0</v>
      </c>
      <c r="P40" s="681">
        <f>tertiair!O20</f>
        <v>0</v>
      </c>
      <c r="Q40" s="764">
        <f>tertiair!P20</f>
        <v>0</v>
      </c>
      <c r="R40" s="843">
        <f t="shared" ca="1" si="4"/>
        <v>21997.528525062848</v>
      </c>
    </row>
    <row r="41" spans="1:18">
      <c r="A41" s="815" t="s">
        <v>214</v>
      </c>
      <c r="B41" s="822"/>
      <c r="C41" s="681">
        <f ca="1">huishoudens!B12</f>
        <v>5440.3163977923032</v>
      </c>
      <c r="D41" s="681">
        <f ca="1">huishoudens!C12</f>
        <v>0</v>
      </c>
      <c r="E41" s="681">
        <f>huishoudens!D12</f>
        <v>13215.769500908656</v>
      </c>
      <c r="F41" s="681">
        <f>huishoudens!E12</f>
        <v>220.96638447725468</v>
      </c>
      <c r="G41" s="681">
        <f>huishoudens!F12</f>
        <v>5693.596643881604</v>
      </c>
      <c r="H41" s="681">
        <f>huishoudens!G12</f>
        <v>0</v>
      </c>
      <c r="I41" s="681">
        <f>huishoudens!H12</f>
        <v>0</v>
      </c>
      <c r="J41" s="681">
        <f>huishoudens!I12</f>
        <v>0</v>
      </c>
      <c r="K41" s="681">
        <f>huishoudens!J12</f>
        <v>43.021513937283252</v>
      </c>
      <c r="L41" s="681">
        <f>huishoudens!K12</f>
        <v>0</v>
      </c>
      <c r="M41" s="681">
        <f>huishoudens!L12</f>
        <v>0</v>
      </c>
      <c r="N41" s="681">
        <f>huishoudens!M12</f>
        <v>0</v>
      </c>
      <c r="O41" s="681">
        <f>huishoudens!N12</f>
        <v>0</v>
      </c>
      <c r="P41" s="681">
        <f>huishoudens!O12</f>
        <v>0</v>
      </c>
      <c r="Q41" s="764">
        <f>huishoudens!P12</f>
        <v>0</v>
      </c>
      <c r="R41" s="843">
        <f t="shared" ca="1" si="4"/>
        <v>24613.670440997103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3437.2002616097029</v>
      </c>
      <c r="D43" s="681">
        <f ca="1">industrie!C22</f>
        <v>0</v>
      </c>
      <c r="E43" s="681">
        <f>industrie!D22</f>
        <v>9842.166792607577</v>
      </c>
      <c r="F43" s="681">
        <f>industrie!E22</f>
        <v>52.150399005835439</v>
      </c>
      <c r="G43" s="681">
        <f>industrie!F22</f>
        <v>906.31933730359867</v>
      </c>
      <c r="H43" s="681">
        <f>industrie!G22</f>
        <v>0</v>
      </c>
      <c r="I43" s="681">
        <f>industrie!H22</f>
        <v>0</v>
      </c>
      <c r="J43" s="681">
        <f>industrie!I22</f>
        <v>0</v>
      </c>
      <c r="K43" s="681">
        <f>industrie!J22</f>
        <v>169.85013144918875</v>
      </c>
      <c r="L43" s="681">
        <f>industrie!K22</f>
        <v>0</v>
      </c>
      <c r="M43" s="681">
        <f>industrie!L22</f>
        <v>0</v>
      </c>
      <c r="N43" s="681">
        <f>industrie!M22</f>
        <v>0</v>
      </c>
      <c r="O43" s="681">
        <f>industrie!N22</f>
        <v>0</v>
      </c>
      <c r="P43" s="681">
        <f>industrie!O22</f>
        <v>0</v>
      </c>
      <c r="Q43" s="764">
        <f>industrie!P22</f>
        <v>0</v>
      </c>
      <c r="R43" s="842">
        <f t="shared" ca="1" si="4"/>
        <v>14407.686921975905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19086.22181173362</v>
      </c>
      <c r="D46" s="717">
        <f t="shared" ref="D46:Q46" ca="1" si="5">SUM(D39:D45)</f>
        <v>0</v>
      </c>
      <c r="E46" s="717">
        <f t="shared" ca="1" si="5"/>
        <v>28820.848321447425</v>
      </c>
      <c r="F46" s="717">
        <f t="shared" si="5"/>
        <v>353.3692713964079</v>
      </c>
      <c r="G46" s="717">
        <f t="shared" ca="1" si="5"/>
        <v>12545.496538531086</v>
      </c>
      <c r="H46" s="717">
        <f t="shared" si="5"/>
        <v>0</v>
      </c>
      <c r="I46" s="717">
        <f t="shared" si="5"/>
        <v>0</v>
      </c>
      <c r="J46" s="717">
        <f t="shared" si="5"/>
        <v>0</v>
      </c>
      <c r="K46" s="717">
        <f t="shared" si="5"/>
        <v>212.94994492731669</v>
      </c>
      <c r="L46" s="717">
        <f t="shared" si="5"/>
        <v>0</v>
      </c>
      <c r="M46" s="717">
        <f t="shared" ca="1" si="5"/>
        <v>0</v>
      </c>
      <c r="N46" s="717">
        <f t="shared" si="5"/>
        <v>0</v>
      </c>
      <c r="O46" s="717">
        <f t="shared" ca="1" si="5"/>
        <v>0</v>
      </c>
      <c r="P46" s="717">
        <f t="shared" si="5"/>
        <v>0</v>
      </c>
      <c r="Q46" s="717">
        <f t="shared" si="5"/>
        <v>0</v>
      </c>
      <c r="R46" s="717">
        <f ca="1">SUM(R39:R45)</f>
        <v>61018.885888035853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6.3835274144129874</v>
      </c>
      <c r="D49" s="681">
        <f ca="1">transport!C58</f>
        <v>0</v>
      </c>
      <c r="E49" s="681">
        <f>transport!D58</f>
        <v>0</v>
      </c>
      <c r="F49" s="681">
        <f>transport!E58</f>
        <v>0</v>
      </c>
      <c r="G49" s="681">
        <f>transport!F58</f>
        <v>0</v>
      </c>
      <c r="H49" s="681">
        <f>transport!G58</f>
        <v>492.14526243904578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498.52878985345876</v>
      </c>
    </row>
    <row r="50" spans="1:18">
      <c r="A50" s="818" t="s">
        <v>296</v>
      </c>
      <c r="B50" s="828"/>
      <c r="C50" s="687">
        <f ca="1">transport!B18</f>
        <v>134.5143902828581</v>
      </c>
      <c r="D50" s="687">
        <f>transport!C18</f>
        <v>0</v>
      </c>
      <c r="E50" s="687">
        <f>transport!D18</f>
        <v>193.2440665764538</v>
      </c>
      <c r="F50" s="687">
        <f>transport!E18</f>
        <v>95.714191353497569</v>
      </c>
      <c r="G50" s="687">
        <f>transport!F18</f>
        <v>0</v>
      </c>
      <c r="H50" s="687">
        <f>transport!G18</f>
        <v>55245.809446052277</v>
      </c>
      <c r="I50" s="687">
        <f>transport!H18</f>
        <v>11978.997323442532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67648.279417707614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140.89791769727108</v>
      </c>
      <c r="D52" s="717">
        <f t="shared" ref="D52:Q52" ca="1" si="6">SUM(D48:D51)</f>
        <v>0</v>
      </c>
      <c r="E52" s="717">
        <f t="shared" si="6"/>
        <v>193.2440665764538</v>
      </c>
      <c r="F52" s="717">
        <f t="shared" si="6"/>
        <v>95.714191353497569</v>
      </c>
      <c r="G52" s="717">
        <f t="shared" si="6"/>
        <v>0</v>
      </c>
      <c r="H52" s="717">
        <f t="shared" si="6"/>
        <v>55737.954708491321</v>
      </c>
      <c r="I52" s="717">
        <f t="shared" si="6"/>
        <v>11978.997323442532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68146.808207561073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283.71367139633344</v>
      </c>
      <c r="D54" s="687">
        <f ca="1">+landbouw!C12</f>
        <v>18482.745378151263</v>
      </c>
      <c r="E54" s="687">
        <f>+landbouw!D12</f>
        <v>0</v>
      </c>
      <c r="F54" s="687">
        <f>+landbouw!E12</f>
        <v>8.5080651910170602</v>
      </c>
      <c r="G54" s="687">
        <f>+landbouw!F12</f>
        <v>1106.0062564030995</v>
      </c>
      <c r="H54" s="687">
        <f>+landbouw!G12</f>
        <v>0</v>
      </c>
      <c r="I54" s="687">
        <f>+landbouw!H12</f>
        <v>0</v>
      </c>
      <c r="J54" s="687">
        <f>+landbouw!I12</f>
        <v>0</v>
      </c>
      <c r="K54" s="687">
        <f>+landbouw!J12</f>
        <v>117.78833058838897</v>
      </c>
      <c r="L54" s="687">
        <f>+landbouw!K12</f>
        <v>0</v>
      </c>
      <c r="M54" s="687">
        <f>+landbouw!L12</f>
        <v>0</v>
      </c>
      <c r="N54" s="687">
        <f>+landbouw!M12</f>
        <v>0</v>
      </c>
      <c r="O54" s="687">
        <f>+landbouw!N12</f>
        <v>0</v>
      </c>
      <c r="P54" s="687">
        <f>+landbouw!O12</f>
        <v>0</v>
      </c>
      <c r="Q54" s="688">
        <f>+landbouw!P12</f>
        <v>0</v>
      </c>
      <c r="R54" s="716">
        <f ca="1">SUM(C54:Q54)</f>
        <v>19998.761701730102</v>
      </c>
    </row>
    <row r="55" spans="1:18" ht="15" thickBot="1">
      <c r="A55" s="818" t="s">
        <v>690</v>
      </c>
      <c r="B55" s="828"/>
      <c r="C55" s="687">
        <f ca="1">C25*'EF ele_warmte'!B12</f>
        <v>103.17369841492828</v>
      </c>
      <c r="D55" s="687"/>
      <c r="E55" s="687">
        <f>E25*EF_CO2_aardgas</f>
        <v>204.70683788810982</v>
      </c>
      <c r="F55" s="687"/>
      <c r="G55" s="687"/>
      <c r="H55" s="687"/>
      <c r="I55" s="687"/>
      <c r="J55" s="687"/>
      <c r="K55" s="687"/>
      <c r="L55" s="687"/>
      <c r="M55" s="687"/>
      <c r="N55" s="687"/>
      <c r="O55" s="687"/>
      <c r="P55" s="687"/>
      <c r="Q55" s="688"/>
      <c r="R55" s="716">
        <f ca="1">SUM(C55:Q55)</f>
        <v>307.88053630303807</v>
      </c>
    </row>
    <row r="56" spans="1:18" ht="15.75" thickBot="1">
      <c r="A56" s="816" t="s">
        <v>691</v>
      </c>
      <c r="B56" s="829"/>
      <c r="C56" s="717">
        <f ca="1">SUM(C54:C55)</f>
        <v>386.88736981126169</v>
      </c>
      <c r="D56" s="717">
        <f t="shared" ref="D56:Q56" ca="1" si="7">SUM(D54:D55)</f>
        <v>18482.745378151263</v>
      </c>
      <c r="E56" s="717">
        <f t="shared" si="7"/>
        <v>204.70683788810982</v>
      </c>
      <c r="F56" s="717">
        <f t="shared" si="7"/>
        <v>8.5080651910170602</v>
      </c>
      <c r="G56" s="717">
        <f t="shared" si="7"/>
        <v>1106.0062564030995</v>
      </c>
      <c r="H56" s="717">
        <f t="shared" si="7"/>
        <v>0</v>
      </c>
      <c r="I56" s="717">
        <f t="shared" si="7"/>
        <v>0</v>
      </c>
      <c r="J56" s="717">
        <f t="shared" si="7"/>
        <v>0</v>
      </c>
      <c r="K56" s="717">
        <f t="shared" si="7"/>
        <v>117.78833058838897</v>
      </c>
      <c r="L56" s="717">
        <f t="shared" si="7"/>
        <v>0</v>
      </c>
      <c r="M56" s="717">
        <f t="shared" si="7"/>
        <v>0</v>
      </c>
      <c r="N56" s="717">
        <f t="shared" si="7"/>
        <v>0</v>
      </c>
      <c r="O56" s="717">
        <f t="shared" si="7"/>
        <v>0</v>
      </c>
      <c r="P56" s="717">
        <f t="shared" si="7"/>
        <v>0</v>
      </c>
      <c r="Q56" s="718">
        <f t="shared" si="7"/>
        <v>0</v>
      </c>
      <c r="R56" s="719">
        <f ca="1">SUM(R54:R55)</f>
        <v>20306.642238033139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19614.007099242153</v>
      </c>
      <c r="D61" s="725">
        <f t="shared" ref="D61:Q61" ca="1" si="8">D46+D52+D56</f>
        <v>18482.745378151263</v>
      </c>
      <c r="E61" s="725">
        <f t="shared" ca="1" si="8"/>
        <v>29218.799225911989</v>
      </c>
      <c r="F61" s="725">
        <f t="shared" si="8"/>
        <v>457.59152794092256</v>
      </c>
      <c r="G61" s="725">
        <f t="shared" ca="1" si="8"/>
        <v>13651.502794934186</v>
      </c>
      <c r="H61" s="725">
        <f t="shared" si="8"/>
        <v>55737.954708491321</v>
      </c>
      <c r="I61" s="725">
        <f t="shared" si="8"/>
        <v>11978.997323442532</v>
      </c>
      <c r="J61" s="725">
        <f t="shared" si="8"/>
        <v>0</v>
      </c>
      <c r="K61" s="725">
        <f t="shared" si="8"/>
        <v>330.73827551570565</v>
      </c>
      <c r="L61" s="725">
        <f t="shared" si="8"/>
        <v>0</v>
      </c>
      <c r="M61" s="725">
        <f t="shared" ca="1" si="8"/>
        <v>0</v>
      </c>
      <c r="N61" s="725">
        <f t="shared" si="8"/>
        <v>0</v>
      </c>
      <c r="O61" s="725">
        <f t="shared" ca="1" si="8"/>
        <v>0</v>
      </c>
      <c r="P61" s="725">
        <f t="shared" si="8"/>
        <v>0</v>
      </c>
      <c r="Q61" s="725">
        <f t="shared" si="8"/>
        <v>0</v>
      </c>
      <c r="R61" s="725">
        <f ca="1">R46+R52+R56</f>
        <v>149472.33633363008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0.21680734291489517</v>
      </c>
      <c r="D63" s="771">
        <f t="shared" ca="1" si="9"/>
        <v>0.23745667214897725</v>
      </c>
      <c r="E63" s="963">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5773.5174345890409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43.65</v>
      </c>
      <c r="C76" s="738">
        <f>'lokale energieproductie'!B8*IFERROR(SUM(D76:H76)/SUM(D76:O76),0)</f>
        <v>54441.750000000007</v>
      </c>
      <c r="D76" s="946">
        <f>'lokale energieproductie'!C8</f>
        <v>64049.117647058825</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12937.921764705883</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5817.1674345890406</v>
      </c>
      <c r="C78" s="743">
        <f>SUM(C72:C77)</f>
        <v>54441.750000000007</v>
      </c>
      <c r="D78" s="744">
        <f t="shared" ref="D78:H78" si="10">SUM(D76:D77)</f>
        <v>64049.117647058825</v>
      </c>
      <c r="E78" s="744">
        <f t="shared" si="10"/>
        <v>0</v>
      </c>
      <c r="F78" s="744">
        <f t="shared" si="10"/>
        <v>0</v>
      </c>
      <c r="G78" s="744">
        <f t="shared" si="10"/>
        <v>0</v>
      </c>
      <c r="H78" s="744">
        <f t="shared" si="10"/>
        <v>0</v>
      </c>
      <c r="I78" s="744">
        <f>SUM(I76:I77)</f>
        <v>0</v>
      </c>
      <c r="J78" s="744">
        <f>SUM(J76:J77)</f>
        <v>51.352941176470587</v>
      </c>
      <c r="K78" s="744">
        <f t="shared" ref="K78:L78" si="11">SUM(K76:K77)</f>
        <v>0</v>
      </c>
      <c r="L78" s="744">
        <f t="shared" si="11"/>
        <v>0</v>
      </c>
      <c r="M78" s="744">
        <f>SUM(M76:M77)</f>
        <v>0</v>
      </c>
      <c r="N78" s="744">
        <f>SUM(N76:N77)</f>
        <v>0</v>
      </c>
      <c r="O78" s="853">
        <f>SUM(O76:O77)</f>
        <v>0</v>
      </c>
      <c r="P78" s="745">
        <v>0</v>
      </c>
      <c r="Q78" s="745">
        <f>SUM(Q76:Q77)</f>
        <v>12937.921764705883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v>
      </c>
      <c r="C87" s="756">
        <f>'lokale energieproductie'!B17*IFERROR(SUM(D87:H87)/SUM(D87:O87),0)</f>
        <v>77773.928571428565</v>
      </c>
      <c r="D87" s="767">
        <f>'lokale energieproductie'!C17</f>
        <v>91498.73949579832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18482.745378151263</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v>
      </c>
      <c r="C90" s="743">
        <f>SUM(C87:C89)</f>
        <v>77773.928571428565</v>
      </c>
      <c r="D90" s="743">
        <f t="shared" ref="D90:H90" si="12">SUM(D87:D89)</f>
        <v>91498.73949579832</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18482.745378151263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25092.860438439238</v>
      </c>
      <c r="C4" s="447">
        <f>huishoudens!C8</f>
        <v>0</v>
      </c>
      <c r="D4" s="447">
        <f>huishoudens!D8</f>
        <v>65424.601489646811</v>
      </c>
      <c r="E4" s="447">
        <f>huishoudens!E8</f>
        <v>973.42019593504256</v>
      </c>
      <c r="F4" s="447">
        <f>huishoudens!F8</f>
        <v>21324.331999556569</v>
      </c>
      <c r="G4" s="447">
        <f>huishoudens!G8</f>
        <v>0</v>
      </c>
      <c r="H4" s="447">
        <f>huishoudens!H8</f>
        <v>0</v>
      </c>
      <c r="I4" s="447">
        <f>huishoudens!I8</f>
        <v>0</v>
      </c>
      <c r="J4" s="447">
        <f>huishoudens!J8</f>
        <v>121.5297003878058</v>
      </c>
      <c r="K4" s="447">
        <f>huishoudens!K8</f>
        <v>0</v>
      </c>
      <c r="L4" s="447">
        <f>huishoudens!L8</f>
        <v>0</v>
      </c>
      <c r="M4" s="447">
        <f>huishoudens!M8</f>
        <v>0</v>
      </c>
      <c r="N4" s="447">
        <f>huishoudens!N8</f>
        <v>7814.5563099565352</v>
      </c>
      <c r="O4" s="447">
        <f>huishoudens!O8</f>
        <v>232.12311166828275</v>
      </c>
      <c r="P4" s="448">
        <f>huishoudens!P8</f>
        <v>674.17339569184151</v>
      </c>
      <c r="Q4" s="449">
        <f>SUM(B4:P4)</f>
        <v>121657.59664128213</v>
      </c>
    </row>
    <row r="5" spans="1:17">
      <c r="A5" s="446" t="s">
        <v>149</v>
      </c>
      <c r="B5" s="447">
        <f ca="1">tertiair!B16</f>
        <v>46150.154597598761</v>
      </c>
      <c r="C5" s="447">
        <f ca="1">tertiair!C16</f>
        <v>0</v>
      </c>
      <c r="D5" s="447">
        <f ca="1">tertiair!D16</f>
        <v>28529.267465005887</v>
      </c>
      <c r="E5" s="447">
        <f>tertiair!E16</f>
        <v>353.5351890454528</v>
      </c>
      <c r="F5" s="447">
        <f ca="1">tertiair!F16</f>
        <v>22268.091975078212</v>
      </c>
      <c r="G5" s="447">
        <f>tertiair!G16</f>
        <v>0</v>
      </c>
      <c r="H5" s="447">
        <f>tertiair!H16</f>
        <v>0</v>
      </c>
      <c r="I5" s="447">
        <f>tertiair!I16</f>
        <v>0</v>
      </c>
      <c r="J5" s="447">
        <f>tertiair!J16</f>
        <v>0.22118514362904793</v>
      </c>
      <c r="K5" s="447">
        <f>tertiair!K16</f>
        <v>0</v>
      </c>
      <c r="L5" s="447">
        <f ca="1">tertiair!L16</f>
        <v>0</v>
      </c>
      <c r="M5" s="447">
        <f>tertiair!M16</f>
        <v>0</v>
      </c>
      <c r="N5" s="447">
        <f ca="1">tertiair!N16</f>
        <v>8420.5089644008767</v>
      </c>
      <c r="O5" s="447">
        <f>tertiair!O16</f>
        <v>0</v>
      </c>
      <c r="P5" s="448">
        <f>tertiair!P16</f>
        <v>52.539138306495019</v>
      </c>
      <c r="Q5" s="446">
        <f t="shared" ref="Q5:Q14" ca="1" si="0">SUM(B5:P5)</f>
        <v>105774.31851457931</v>
      </c>
    </row>
    <row r="6" spans="1:17">
      <c r="A6" s="446" t="s">
        <v>187</v>
      </c>
      <c r="B6" s="447">
        <f>'openbare verlichting'!B8</f>
        <v>936.37400000000002</v>
      </c>
      <c r="C6" s="447"/>
      <c r="D6" s="447"/>
      <c r="E6" s="447"/>
      <c r="F6" s="447"/>
      <c r="G6" s="447"/>
      <c r="H6" s="447"/>
      <c r="I6" s="447"/>
      <c r="J6" s="447"/>
      <c r="K6" s="447"/>
      <c r="L6" s="447"/>
      <c r="M6" s="447"/>
      <c r="N6" s="447"/>
      <c r="O6" s="447"/>
      <c r="P6" s="448"/>
      <c r="Q6" s="446">
        <f t="shared" si="0"/>
        <v>936.37400000000002</v>
      </c>
    </row>
    <row r="7" spans="1:17">
      <c r="A7" s="446" t="s">
        <v>105</v>
      </c>
      <c r="B7" s="447">
        <f>landbouw!B8</f>
        <v>1308.59807413304</v>
      </c>
      <c r="C7" s="447">
        <f>landbouw!C8</f>
        <v>77836.28571428571</v>
      </c>
      <c r="D7" s="447">
        <f>landbouw!D8</f>
        <v>0</v>
      </c>
      <c r="E7" s="447">
        <f>landbouw!E8</f>
        <v>37.480463396550924</v>
      </c>
      <c r="F7" s="447">
        <f>landbouw!F8</f>
        <v>4142.3455295996237</v>
      </c>
      <c r="G7" s="447">
        <f>landbouw!G8</f>
        <v>0</v>
      </c>
      <c r="H7" s="447">
        <f>landbouw!H8</f>
        <v>0</v>
      </c>
      <c r="I7" s="447">
        <f>landbouw!I8</f>
        <v>0</v>
      </c>
      <c r="J7" s="447">
        <f>landbouw!J8</f>
        <v>332.73539714234175</v>
      </c>
      <c r="K7" s="447">
        <f>landbouw!K8</f>
        <v>0</v>
      </c>
      <c r="L7" s="447">
        <f>landbouw!L8</f>
        <v>0</v>
      </c>
      <c r="M7" s="447">
        <f>landbouw!M8</f>
        <v>0</v>
      </c>
      <c r="N7" s="447">
        <f>landbouw!N8</f>
        <v>0</v>
      </c>
      <c r="O7" s="447">
        <f>landbouw!O8</f>
        <v>0</v>
      </c>
      <c r="P7" s="448">
        <f>landbouw!P8</f>
        <v>0</v>
      </c>
      <c r="Q7" s="446">
        <f t="shared" si="0"/>
        <v>83657.445178557275</v>
      </c>
    </row>
    <row r="8" spans="1:17">
      <c r="A8" s="446" t="s">
        <v>611</v>
      </c>
      <c r="B8" s="447">
        <f>industrie!B18</f>
        <v>15853.707791432738</v>
      </c>
      <c r="C8" s="447">
        <f>industrie!C18</f>
        <v>0</v>
      </c>
      <c r="D8" s="447">
        <f>industrie!D18</f>
        <v>48723.597983205822</v>
      </c>
      <c r="E8" s="447">
        <f>industrie!E18</f>
        <v>229.73744055434113</v>
      </c>
      <c r="F8" s="447">
        <f>industrie!F18</f>
        <v>3394.4544468299573</v>
      </c>
      <c r="G8" s="447">
        <f>industrie!G18</f>
        <v>0</v>
      </c>
      <c r="H8" s="447">
        <f>industrie!H18</f>
        <v>0</v>
      </c>
      <c r="I8" s="447">
        <f>industrie!I18</f>
        <v>0</v>
      </c>
      <c r="J8" s="447">
        <f>industrie!J18</f>
        <v>479.80263121239761</v>
      </c>
      <c r="K8" s="447">
        <f>industrie!K18</f>
        <v>0</v>
      </c>
      <c r="L8" s="447">
        <f>industrie!L18</f>
        <v>0</v>
      </c>
      <c r="M8" s="447">
        <f>industrie!M18</f>
        <v>0</v>
      </c>
      <c r="N8" s="447">
        <f>industrie!N18</f>
        <v>7440.054720311171</v>
      </c>
      <c r="O8" s="447">
        <f>industrie!O18</f>
        <v>0</v>
      </c>
      <c r="P8" s="448">
        <f>industrie!P18</f>
        <v>0</v>
      </c>
      <c r="Q8" s="446">
        <f t="shared" si="0"/>
        <v>76121.355013546417</v>
      </c>
    </row>
    <row r="9" spans="1:17" s="452" customFormat="1">
      <c r="A9" s="450" t="s">
        <v>537</v>
      </c>
      <c r="B9" s="451">
        <f>transport!B14</f>
        <v>620.43281594784332</v>
      </c>
      <c r="C9" s="451">
        <f>transport!C14</f>
        <v>0</v>
      </c>
      <c r="D9" s="451">
        <f>transport!D14</f>
        <v>956.6537949329396</v>
      </c>
      <c r="E9" s="451">
        <f>transport!E14</f>
        <v>421.64842005946065</v>
      </c>
      <c r="F9" s="451">
        <f>transport!F14</f>
        <v>0</v>
      </c>
      <c r="G9" s="451">
        <f>transport!G14</f>
        <v>206913.14399270515</v>
      </c>
      <c r="H9" s="451">
        <f>transport!H14</f>
        <v>48108.422985712983</v>
      </c>
      <c r="I9" s="451">
        <f>transport!I14</f>
        <v>0</v>
      </c>
      <c r="J9" s="451">
        <f>transport!J14</f>
        <v>0</v>
      </c>
      <c r="K9" s="451">
        <f>transport!K14</f>
        <v>0</v>
      </c>
      <c r="L9" s="451">
        <f>transport!L14</f>
        <v>0</v>
      </c>
      <c r="M9" s="451">
        <f>transport!M14</f>
        <v>15291.051012021124</v>
      </c>
      <c r="N9" s="451">
        <f>transport!N14</f>
        <v>0</v>
      </c>
      <c r="O9" s="451">
        <f>transport!O14</f>
        <v>0</v>
      </c>
      <c r="P9" s="451">
        <f>transport!P14</f>
        <v>0</v>
      </c>
      <c r="Q9" s="450">
        <f>SUM(B9:P9)</f>
        <v>272311.3530213795</v>
      </c>
    </row>
    <row r="10" spans="1:17">
      <c r="A10" s="446" t="s">
        <v>527</v>
      </c>
      <c r="B10" s="447">
        <f>transport!B54</f>
        <v>29.443317410696537</v>
      </c>
      <c r="C10" s="447">
        <f>transport!C54</f>
        <v>0</v>
      </c>
      <c r="D10" s="447">
        <f>transport!D54</f>
        <v>0</v>
      </c>
      <c r="E10" s="447">
        <f>transport!E54</f>
        <v>0</v>
      </c>
      <c r="F10" s="447">
        <f>transport!F54</f>
        <v>0</v>
      </c>
      <c r="G10" s="447">
        <f>transport!G54</f>
        <v>1843.2406832923061</v>
      </c>
      <c r="H10" s="447">
        <f>transport!H54</f>
        <v>0</v>
      </c>
      <c r="I10" s="447">
        <f>transport!I54</f>
        <v>0</v>
      </c>
      <c r="J10" s="447">
        <f>transport!J54</f>
        <v>0</v>
      </c>
      <c r="K10" s="447">
        <f>transport!K54</f>
        <v>0</v>
      </c>
      <c r="L10" s="447">
        <f>transport!L54</f>
        <v>0</v>
      </c>
      <c r="M10" s="447">
        <f>transport!M54</f>
        <v>105.83479867058499</v>
      </c>
      <c r="N10" s="447">
        <f>transport!N54</f>
        <v>0</v>
      </c>
      <c r="O10" s="447">
        <f>transport!O54</f>
        <v>0</v>
      </c>
      <c r="P10" s="448">
        <f>transport!P54</f>
        <v>0</v>
      </c>
      <c r="Q10" s="446">
        <f t="shared" si="0"/>
        <v>1978.5187993735879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475.87732513020899</v>
      </c>
      <c r="C14" s="454"/>
      <c r="D14" s="454">
        <f>'SEAP template'!E25</f>
        <v>1013.4001875649001</v>
      </c>
      <c r="E14" s="454"/>
      <c r="F14" s="454"/>
      <c r="G14" s="454"/>
      <c r="H14" s="454"/>
      <c r="I14" s="454"/>
      <c r="J14" s="454"/>
      <c r="K14" s="454"/>
      <c r="L14" s="454"/>
      <c r="M14" s="454"/>
      <c r="N14" s="454"/>
      <c r="O14" s="454"/>
      <c r="P14" s="455"/>
      <c r="Q14" s="446">
        <f t="shared" si="0"/>
        <v>1489.2775126951092</v>
      </c>
    </row>
    <row r="15" spans="1:17" s="458" customFormat="1">
      <c r="A15" s="456" t="s">
        <v>531</v>
      </c>
      <c r="B15" s="457">
        <f ca="1">SUM(B4:B14)</f>
        <v>90467.44836009253</v>
      </c>
      <c r="C15" s="457">
        <f t="shared" ref="C15:Q15" ca="1" si="1">SUM(C4:C14)</f>
        <v>77836.28571428571</v>
      </c>
      <c r="D15" s="457">
        <f t="shared" ca="1" si="1"/>
        <v>144647.52092035636</v>
      </c>
      <c r="E15" s="457">
        <f t="shared" si="1"/>
        <v>2015.8217089908483</v>
      </c>
      <c r="F15" s="457">
        <f t="shared" ca="1" si="1"/>
        <v>51129.223951064363</v>
      </c>
      <c r="G15" s="457">
        <f t="shared" si="1"/>
        <v>208756.38467599745</v>
      </c>
      <c r="H15" s="457">
        <f t="shared" si="1"/>
        <v>48108.422985712983</v>
      </c>
      <c r="I15" s="457">
        <f t="shared" si="1"/>
        <v>0</v>
      </c>
      <c r="J15" s="457">
        <f t="shared" si="1"/>
        <v>934.28891388617421</v>
      </c>
      <c r="K15" s="457">
        <f t="shared" si="1"/>
        <v>0</v>
      </c>
      <c r="L15" s="457">
        <f t="shared" ca="1" si="1"/>
        <v>0</v>
      </c>
      <c r="M15" s="457">
        <f t="shared" si="1"/>
        <v>15396.885810691709</v>
      </c>
      <c r="N15" s="457">
        <f t="shared" ca="1" si="1"/>
        <v>23675.119994668581</v>
      </c>
      <c r="O15" s="457">
        <f t="shared" si="1"/>
        <v>232.12311166828275</v>
      </c>
      <c r="P15" s="457">
        <f t="shared" si="1"/>
        <v>726.71253399833654</v>
      </c>
      <c r="Q15" s="457">
        <f t="shared" ca="1" si="1"/>
        <v>663926.23868141323</v>
      </c>
    </row>
    <row r="17" spans="1:17">
      <c r="A17" s="459" t="s">
        <v>532</v>
      </c>
      <c r="B17" s="776">
        <f ca="1">huishoudens!B10</f>
        <v>0.21680734291489517</v>
      </c>
      <c r="C17" s="776">
        <f ca="1">huishoudens!C10</f>
        <v>0.23745667214897725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5440.3163977923032</v>
      </c>
      <c r="C22" s="447">
        <f t="shared" ref="C22:C32" ca="1" si="3">C4*$C$17</f>
        <v>0</v>
      </c>
      <c r="D22" s="447">
        <f t="shared" ref="D22:D32" si="4">D4*$D$17</f>
        <v>13215.769500908656</v>
      </c>
      <c r="E22" s="447">
        <f t="shared" ref="E22:E32" si="5">E4*$E$17</f>
        <v>220.96638447725468</v>
      </c>
      <c r="F22" s="447">
        <f t="shared" ref="F22:F32" si="6">F4*$F$17</f>
        <v>5693.596643881604</v>
      </c>
      <c r="G22" s="447">
        <f t="shared" ref="G22:G32" si="7">G4*$G$17</f>
        <v>0</v>
      </c>
      <c r="H22" s="447">
        <f t="shared" ref="H22:H32" si="8">H4*$H$17</f>
        <v>0</v>
      </c>
      <c r="I22" s="447">
        <f t="shared" ref="I22:I32" si="9">I4*$I$17</f>
        <v>0</v>
      </c>
      <c r="J22" s="447">
        <f t="shared" ref="J22:J32" si="10">J4*$J$17</f>
        <v>43.021513937283252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24613.670440997103</v>
      </c>
    </row>
    <row r="23" spans="1:17">
      <c r="A23" s="446" t="s">
        <v>149</v>
      </c>
      <c r="B23" s="447">
        <f t="shared" ca="1" si="2"/>
        <v>10005.692393417021</v>
      </c>
      <c r="C23" s="447">
        <f t="shared" ca="1" si="3"/>
        <v>0</v>
      </c>
      <c r="D23" s="447">
        <f t="shared" ca="1" si="4"/>
        <v>5762.9120279311892</v>
      </c>
      <c r="E23" s="447">
        <f t="shared" si="5"/>
        <v>80.252487913317793</v>
      </c>
      <c r="F23" s="447">
        <f t="shared" ca="1" si="6"/>
        <v>5945.5805573458829</v>
      </c>
      <c r="G23" s="447">
        <f t="shared" si="7"/>
        <v>0</v>
      </c>
      <c r="H23" s="447">
        <f t="shared" si="8"/>
        <v>0</v>
      </c>
      <c r="I23" s="447">
        <f t="shared" si="9"/>
        <v>0</v>
      </c>
      <c r="J23" s="447">
        <f t="shared" si="10"/>
        <v>7.8299540844682963E-2</v>
      </c>
      <c r="K23" s="447">
        <f t="shared" si="11"/>
        <v>0</v>
      </c>
      <c r="L23" s="447">
        <f t="shared" ca="1" si="12"/>
        <v>0</v>
      </c>
      <c r="M23" s="447">
        <f t="shared" si="13"/>
        <v>0</v>
      </c>
      <c r="N23" s="447">
        <f t="shared" ca="1" si="14"/>
        <v>0</v>
      </c>
      <c r="O23" s="447">
        <f t="shared" si="15"/>
        <v>0</v>
      </c>
      <c r="P23" s="448">
        <f t="shared" si="16"/>
        <v>0</v>
      </c>
      <c r="Q23" s="446">
        <f t="shared" ref="Q23:Q31" ca="1" si="17">SUM(B23:P23)</f>
        <v>21794.515766148255</v>
      </c>
    </row>
    <row r="24" spans="1:17">
      <c r="A24" s="446" t="s">
        <v>187</v>
      </c>
      <c r="B24" s="447">
        <f t="shared" ca="1" si="2"/>
        <v>203.01275891459207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203.01275891459207</v>
      </c>
    </row>
    <row r="25" spans="1:17">
      <c r="A25" s="446" t="s">
        <v>105</v>
      </c>
      <c r="B25" s="447">
        <f t="shared" ca="1" si="2"/>
        <v>283.71367139633344</v>
      </c>
      <c r="C25" s="447">
        <f t="shared" ca="1" si="3"/>
        <v>18482.745378151263</v>
      </c>
      <c r="D25" s="447">
        <f t="shared" si="4"/>
        <v>0</v>
      </c>
      <c r="E25" s="447">
        <f t="shared" si="5"/>
        <v>8.5080651910170602</v>
      </c>
      <c r="F25" s="447">
        <f t="shared" si="6"/>
        <v>1106.0062564030995</v>
      </c>
      <c r="G25" s="447">
        <f t="shared" si="7"/>
        <v>0</v>
      </c>
      <c r="H25" s="447">
        <f t="shared" si="8"/>
        <v>0</v>
      </c>
      <c r="I25" s="447">
        <f t="shared" si="9"/>
        <v>0</v>
      </c>
      <c r="J25" s="447">
        <f t="shared" si="10"/>
        <v>117.78833058838897</v>
      </c>
      <c r="K25" s="447">
        <f t="shared" si="11"/>
        <v>0</v>
      </c>
      <c r="L25" s="447">
        <f t="shared" si="12"/>
        <v>0</v>
      </c>
      <c r="M25" s="447">
        <f t="shared" si="13"/>
        <v>0</v>
      </c>
      <c r="N25" s="447">
        <f t="shared" si="14"/>
        <v>0</v>
      </c>
      <c r="O25" s="447">
        <f t="shared" si="15"/>
        <v>0</v>
      </c>
      <c r="P25" s="448">
        <f t="shared" si="16"/>
        <v>0</v>
      </c>
      <c r="Q25" s="446">
        <f t="shared" ca="1" si="17"/>
        <v>19998.761701730102</v>
      </c>
    </row>
    <row r="26" spans="1:17">
      <c r="A26" s="446" t="s">
        <v>611</v>
      </c>
      <c r="B26" s="447">
        <f t="shared" ca="1" si="2"/>
        <v>3437.2002616097029</v>
      </c>
      <c r="C26" s="447">
        <f t="shared" ca="1" si="3"/>
        <v>0</v>
      </c>
      <c r="D26" s="447">
        <f t="shared" si="4"/>
        <v>9842.166792607577</v>
      </c>
      <c r="E26" s="447">
        <f t="shared" si="5"/>
        <v>52.150399005835439</v>
      </c>
      <c r="F26" s="447">
        <f t="shared" si="6"/>
        <v>906.31933730359867</v>
      </c>
      <c r="G26" s="447">
        <f t="shared" si="7"/>
        <v>0</v>
      </c>
      <c r="H26" s="447">
        <f t="shared" si="8"/>
        <v>0</v>
      </c>
      <c r="I26" s="447">
        <f t="shared" si="9"/>
        <v>0</v>
      </c>
      <c r="J26" s="447">
        <f t="shared" si="10"/>
        <v>169.85013144918875</v>
      </c>
      <c r="K26" s="447">
        <f t="shared" si="11"/>
        <v>0</v>
      </c>
      <c r="L26" s="447">
        <f t="shared" si="12"/>
        <v>0</v>
      </c>
      <c r="M26" s="447">
        <f t="shared" si="13"/>
        <v>0</v>
      </c>
      <c r="N26" s="447">
        <f t="shared" si="14"/>
        <v>0</v>
      </c>
      <c r="O26" s="447">
        <f t="shared" si="15"/>
        <v>0</v>
      </c>
      <c r="P26" s="448">
        <f t="shared" si="16"/>
        <v>0</v>
      </c>
      <c r="Q26" s="446">
        <f t="shared" ca="1" si="17"/>
        <v>14407.686921975905</v>
      </c>
    </row>
    <row r="27" spans="1:17" s="452" customFormat="1">
      <c r="A27" s="450" t="s">
        <v>537</v>
      </c>
      <c r="B27" s="770">
        <f t="shared" ca="1" si="2"/>
        <v>134.5143902828581</v>
      </c>
      <c r="C27" s="451">
        <f t="shared" ca="1" si="3"/>
        <v>0</v>
      </c>
      <c r="D27" s="451">
        <f t="shared" si="4"/>
        <v>193.2440665764538</v>
      </c>
      <c r="E27" s="451">
        <f t="shared" si="5"/>
        <v>95.714191353497569</v>
      </c>
      <c r="F27" s="451">
        <f t="shared" si="6"/>
        <v>0</v>
      </c>
      <c r="G27" s="451">
        <f t="shared" si="7"/>
        <v>55245.809446052277</v>
      </c>
      <c r="H27" s="451">
        <f t="shared" si="8"/>
        <v>11978.997323442532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67648.279417707614</v>
      </c>
    </row>
    <row r="28" spans="1:17" ht="16.5" customHeight="1">
      <c r="A28" s="446" t="s">
        <v>527</v>
      </c>
      <c r="B28" s="447">
        <f t="shared" ca="1" si="2"/>
        <v>6.3835274144129874</v>
      </c>
      <c r="C28" s="447">
        <f t="shared" ca="1" si="3"/>
        <v>0</v>
      </c>
      <c r="D28" s="447">
        <f t="shared" si="4"/>
        <v>0</v>
      </c>
      <c r="E28" s="447">
        <f t="shared" si="5"/>
        <v>0</v>
      </c>
      <c r="F28" s="447">
        <f t="shared" si="6"/>
        <v>0</v>
      </c>
      <c r="G28" s="447">
        <f t="shared" si="7"/>
        <v>492.14526243904578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498.52878985345876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103.17369841492828</v>
      </c>
      <c r="C32" s="447">
        <f t="shared" ca="1" si="3"/>
        <v>0</v>
      </c>
      <c r="D32" s="447">
        <f t="shared" si="4"/>
        <v>204.70683788810982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307.88053630303807</v>
      </c>
    </row>
    <row r="33" spans="1:17" s="458" customFormat="1">
      <c r="A33" s="456" t="s">
        <v>531</v>
      </c>
      <c r="B33" s="457">
        <f ca="1">SUM(B22:B32)</f>
        <v>19614.00709924215</v>
      </c>
      <c r="C33" s="457">
        <f t="shared" ref="C33:Q33" ca="1" si="19">SUM(C22:C32)</f>
        <v>18482.745378151263</v>
      </c>
      <c r="D33" s="457">
        <f t="shared" ca="1" si="19"/>
        <v>29218.799225911989</v>
      </c>
      <c r="E33" s="457">
        <f t="shared" si="19"/>
        <v>457.59152794092256</v>
      </c>
      <c r="F33" s="457">
        <f t="shared" ca="1" si="19"/>
        <v>13651.502794934186</v>
      </c>
      <c r="G33" s="457">
        <f t="shared" si="19"/>
        <v>55737.954708491321</v>
      </c>
      <c r="H33" s="457">
        <f t="shared" si="19"/>
        <v>11978.997323442532</v>
      </c>
      <c r="I33" s="457">
        <f t="shared" si="19"/>
        <v>0</v>
      </c>
      <c r="J33" s="457">
        <f t="shared" si="19"/>
        <v>330.73827551570565</v>
      </c>
      <c r="K33" s="457">
        <f t="shared" si="19"/>
        <v>0</v>
      </c>
      <c r="L33" s="457">
        <f t="shared" ca="1" si="19"/>
        <v>0</v>
      </c>
      <c r="M33" s="457">
        <f t="shared" si="19"/>
        <v>0</v>
      </c>
      <c r="N33" s="457">
        <f t="shared" ca="1" si="19"/>
        <v>0</v>
      </c>
      <c r="O33" s="457">
        <f t="shared" si="19"/>
        <v>0</v>
      </c>
      <c r="P33" s="457">
        <f t="shared" si="19"/>
        <v>0</v>
      </c>
      <c r="Q33" s="457">
        <f t="shared" ca="1" si="19"/>
        <v>149472.33633363008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5773.5174345890409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43.65</v>
      </c>
      <c r="C8" s="1014">
        <f>'SEAP template'!C76</f>
        <v>54441.750000000007</v>
      </c>
      <c r="D8" s="1014">
        <f>'SEAP template'!D76</f>
        <v>64049.117647058825</v>
      </c>
      <c r="E8" s="1014">
        <f>'SEAP template'!E76</f>
        <v>0</v>
      </c>
      <c r="F8" s="1014">
        <f>'SEAP template'!F76</f>
        <v>0</v>
      </c>
      <c r="G8" s="1014">
        <f>'SEAP template'!G76</f>
        <v>0</v>
      </c>
      <c r="H8" s="1014">
        <f>'SEAP template'!H76</f>
        <v>0</v>
      </c>
      <c r="I8" s="1014">
        <f>'SEAP template'!I76</f>
        <v>0</v>
      </c>
      <c r="J8" s="1014">
        <f>'SEAP template'!J76</f>
        <v>51.352941176470587</v>
      </c>
      <c r="K8" s="1014">
        <f>'SEAP template'!K76</f>
        <v>0</v>
      </c>
      <c r="L8" s="1014">
        <f>'SEAP template'!L76</f>
        <v>0</v>
      </c>
      <c r="M8" s="1014">
        <f>'SEAP template'!M76</f>
        <v>0</v>
      </c>
      <c r="N8" s="1014">
        <f>'SEAP template'!N76</f>
        <v>0</v>
      </c>
      <c r="O8" s="1014">
        <f>'SEAP template'!O76</f>
        <v>0</v>
      </c>
      <c r="P8" s="1015">
        <f>'SEAP template'!Q76</f>
        <v>12937.921764705883</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5817.1674345890406</v>
      </c>
      <c r="C10" s="1016">
        <f>SUM(C4:C9)</f>
        <v>54441.750000000007</v>
      </c>
      <c r="D10" s="1016">
        <f t="shared" ref="D10:H10" si="0">SUM(D8:D9)</f>
        <v>64049.117647058825</v>
      </c>
      <c r="E10" s="1016">
        <f t="shared" si="0"/>
        <v>0</v>
      </c>
      <c r="F10" s="1016">
        <f t="shared" si="0"/>
        <v>0</v>
      </c>
      <c r="G10" s="1016">
        <f t="shared" si="0"/>
        <v>0</v>
      </c>
      <c r="H10" s="1016">
        <f t="shared" si="0"/>
        <v>0</v>
      </c>
      <c r="I10" s="1016">
        <f>SUM(I8:I9)</f>
        <v>0</v>
      </c>
      <c r="J10" s="1016">
        <f>SUM(J8:J9)</f>
        <v>51.352941176470587</v>
      </c>
      <c r="K10" s="1016">
        <f t="shared" ref="K10:L10" si="1">SUM(K8:K9)</f>
        <v>0</v>
      </c>
      <c r="L10" s="1016">
        <f t="shared" si="1"/>
        <v>0</v>
      </c>
      <c r="M10" s="1016">
        <f>SUM(M8:M9)</f>
        <v>0</v>
      </c>
      <c r="N10" s="1016">
        <f>SUM(N8:N9)</f>
        <v>0</v>
      </c>
      <c r="O10" s="1016">
        <f>SUM(O8:O9)</f>
        <v>0</v>
      </c>
      <c r="P10" s="1016">
        <f>SUM(P8:P9)</f>
        <v>12937.921764705883</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0.21680734291489517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v>
      </c>
      <c r="C17" s="1017">
        <f>'SEAP template'!C87</f>
        <v>77773.928571428565</v>
      </c>
      <c r="D17" s="1015">
        <f>'SEAP template'!D87</f>
        <v>91498.73949579832</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18482.745378151263</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v>
      </c>
      <c r="C20" s="1016">
        <f>SUM(C17:C19)</f>
        <v>77773.928571428565</v>
      </c>
      <c r="D20" s="1016">
        <f t="shared" ref="D20:H20" si="2">SUM(D17:D19)</f>
        <v>91498.73949579832</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18482.745378151263</v>
      </c>
    </row>
    <row r="21" spans="1:16">
      <c r="B21" s="881"/>
    </row>
    <row r="22" spans="1:16">
      <c r="A22" s="459" t="s">
        <v>749</v>
      </c>
      <c r="B22" s="776" t="s">
        <v>747</v>
      </c>
      <c r="C22" s="776">
        <f ca="1">'EF ele_warmte'!B22</f>
        <v>0.23745667214897725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0.21680734291489517</v>
      </c>
      <c r="C17" s="496">
        <f ca="1">'EF ele_warmte'!B22</f>
        <v>0.23745667214897725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0.21680734291489517</v>
      </c>
      <c r="C17" s="496">
        <f ca="1">'EF ele_warmte'!B22</f>
        <v>0.23745667214897725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0.21680734291489517</v>
      </c>
      <c r="C29" s="497">
        <f ca="1">'EF ele_warmte'!B22</f>
        <v>0.23745667214897725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615</v>
      </c>
      <c r="C14" s="326"/>
      <c r="D14" s="326"/>
      <c r="E14" s="326"/>
      <c r="F14" s="326"/>
    </row>
    <row r="15" spans="1:6">
      <c r="A15" s="1310" t="s">
        <v>177</v>
      </c>
      <c r="B15" s="1311">
        <v>10</v>
      </c>
      <c r="C15" s="326"/>
      <c r="D15" s="326"/>
      <c r="E15" s="326"/>
      <c r="F15" s="326"/>
    </row>
    <row r="16" spans="1:6">
      <c r="A16" s="1310" t="s">
        <v>6</v>
      </c>
      <c r="B16" s="1311">
        <v>606</v>
      </c>
      <c r="C16" s="326"/>
      <c r="D16" s="326"/>
      <c r="E16" s="326"/>
      <c r="F16" s="326"/>
    </row>
    <row r="17" spans="1:6">
      <c r="A17" s="1310" t="s">
        <v>7</v>
      </c>
      <c r="B17" s="1311">
        <v>43</v>
      </c>
      <c r="C17" s="326"/>
      <c r="D17" s="326"/>
      <c r="E17" s="326"/>
      <c r="F17" s="326"/>
    </row>
    <row r="18" spans="1:6">
      <c r="A18" s="1310" t="s">
        <v>8</v>
      </c>
      <c r="B18" s="1311">
        <v>354</v>
      </c>
      <c r="C18" s="326"/>
      <c r="D18" s="326"/>
      <c r="E18" s="326"/>
      <c r="F18" s="326"/>
    </row>
    <row r="19" spans="1:6">
      <c r="A19" s="1310" t="s">
        <v>9</v>
      </c>
      <c r="B19" s="1311">
        <v>378</v>
      </c>
      <c r="C19" s="326"/>
      <c r="D19" s="326"/>
      <c r="E19" s="326"/>
      <c r="F19" s="326"/>
    </row>
    <row r="20" spans="1:6">
      <c r="A20" s="1310" t="s">
        <v>10</v>
      </c>
      <c r="B20" s="1311">
        <v>105</v>
      </c>
      <c r="C20" s="326"/>
      <c r="D20" s="326"/>
      <c r="E20" s="326"/>
      <c r="F20" s="326"/>
    </row>
    <row r="21" spans="1:6">
      <c r="A21" s="1310" t="s">
        <v>11</v>
      </c>
      <c r="B21" s="1311">
        <v>0</v>
      </c>
      <c r="C21" s="326"/>
      <c r="D21" s="326"/>
      <c r="E21" s="326"/>
      <c r="F21" s="326"/>
    </row>
    <row r="22" spans="1:6">
      <c r="A22" s="1310" t="s">
        <v>12</v>
      </c>
      <c r="B22" s="1311">
        <v>356</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v>
      </c>
      <c r="C26" s="326"/>
      <c r="D26" s="326"/>
      <c r="E26" s="326"/>
      <c r="F26" s="326"/>
    </row>
    <row r="27" spans="1:6">
      <c r="A27" s="1310" t="s">
        <v>17</v>
      </c>
      <c r="B27" s="1311">
        <v>2</v>
      </c>
      <c r="C27" s="326"/>
      <c r="D27" s="326"/>
      <c r="E27" s="326"/>
      <c r="F27" s="326"/>
    </row>
    <row r="28" spans="1:6">
      <c r="A28" s="1310" t="s">
        <v>18</v>
      </c>
      <c r="B28" s="1312">
        <v>64936</v>
      </c>
      <c r="C28" s="326"/>
      <c r="D28" s="326"/>
      <c r="E28" s="326"/>
      <c r="F28" s="326"/>
    </row>
    <row r="29" spans="1:6">
      <c r="A29" s="1310" t="s">
        <v>678</v>
      </c>
      <c r="B29" s="1312">
        <v>61</v>
      </c>
      <c r="C29" s="326"/>
      <c r="D29" s="326"/>
      <c r="E29" s="326"/>
      <c r="F29" s="326"/>
    </row>
    <row r="30" spans="1:6">
      <c r="A30" s="1305" t="s">
        <v>679</v>
      </c>
      <c r="B30" s="1313">
        <v>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87661.910844031503</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4830</v>
      </c>
      <c r="D39" s="1311">
        <v>72452493.344016403</v>
      </c>
      <c r="E39" s="1311">
        <v>6016</v>
      </c>
      <c r="F39" s="1311">
        <v>21371027.380166899</v>
      </c>
    </row>
    <row r="40" spans="1:6">
      <c r="A40" s="1310" t="s">
        <v>29</v>
      </c>
      <c r="B40" s="1310" t="s">
        <v>28</v>
      </c>
      <c r="C40" s="1311">
        <v>0</v>
      </c>
      <c r="D40" s="1311">
        <v>0</v>
      </c>
      <c r="E40" s="1311">
        <v>0</v>
      </c>
      <c r="F40" s="1311">
        <v>0</v>
      </c>
    </row>
    <row r="41" spans="1:6">
      <c r="A41" s="1310" t="s">
        <v>31</v>
      </c>
      <c r="B41" s="1310" t="s">
        <v>32</v>
      </c>
      <c r="C41" s="1311">
        <v>74</v>
      </c>
      <c r="D41" s="1311">
        <v>1400004.08565578</v>
      </c>
      <c r="E41" s="1311">
        <v>141</v>
      </c>
      <c r="F41" s="1311">
        <v>2060506.1171425199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63340.182765633203</v>
      </c>
    </row>
    <row r="45" spans="1:6">
      <c r="A45" s="1310" t="s">
        <v>31</v>
      </c>
      <c r="B45" s="1310" t="s">
        <v>36</v>
      </c>
      <c r="C45" s="1311">
        <v>0</v>
      </c>
      <c r="D45" s="1311">
        <v>0</v>
      </c>
      <c r="E45" s="1311">
        <v>6</v>
      </c>
      <c r="F45" s="1311">
        <v>13398462.993620601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52036811.133739442</v>
      </c>
      <c r="E48" s="1311">
        <v>3</v>
      </c>
      <c r="F48" s="1311">
        <v>48949.528392239998</v>
      </c>
    </row>
    <row r="49" spans="1:6">
      <c r="A49" s="1310" t="s">
        <v>31</v>
      </c>
      <c r="B49" s="1310" t="s">
        <v>39</v>
      </c>
      <c r="C49" s="1311">
        <v>0</v>
      </c>
      <c r="D49" s="1311">
        <v>0</v>
      </c>
      <c r="E49" s="1311">
        <v>0</v>
      </c>
      <c r="F49" s="1311">
        <v>0</v>
      </c>
    </row>
    <row r="50" spans="1:6">
      <c r="A50" s="1310" t="s">
        <v>31</v>
      </c>
      <c r="B50" s="1310" t="s">
        <v>40</v>
      </c>
      <c r="C50" s="1311">
        <v>7</v>
      </c>
      <c r="D50" s="1311">
        <v>520657.63022362301</v>
      </c>
      <c r="E50" s="1311">
        <v>15</v>
      </c>
      <c r="F50" s="1311">
        <v>282448.96951174497</v>
      </c>
    </row>
    <row r="51" spans="1:6">
      <c r="A51" s="1310" t="s">
        <v>41</v>
      </c>
      <c r="B51" s="1310" t="s">
        <v>42</v>
      </c>
      <c r="C51" s="1311">
        <v>14</v>
      </c>
      <c r="D51" s="1311">
        <v>164903401.40654701</v>
      </c>
      <c r="E51" s="1311">
        <v>59</v>
      </c>
      <c r="F51" s="1311">
        <v>1308598.0741330399</v>
      </c>
    </row>
    <row r="52" spans="1:6">
      <c r="A52" s="1310" t="s">
        <v>41</v>
      </c>
      <c r="B52" s="1310" t="s">
        <v>28</v>
      </c>
      <c r="C52" s="1311">
        <v>0</v>
      </c>
      <c r="D52" s="1311">
        <v>0</v>
      </c>
      <c r="E52" s="1311">
        <v>0</v>
      </c>
      <c r="F52" s="1311">
        <v>0</v>
      </c>
    </row>
    <row r="53" spans="1:6">
      <c r="A53" s="1310" t="s">
        <v>43</v>
      </c>
      <c r="B53" s="1310" t="s">
        <v>44</v>
      </c>
      <c r="C53" s="1311">
        <v>89</v>
      </c>
      <c r="D53" s="1311">
        <v>1013400.1875649</v>
      </c>
      <c r="E53" s="1311">
        <v>178</v>
      </c>
      <c r="F53" s="1311">
        <v>475877.32513020898</v>
      </c>
    </row>
    <row r="54" spans="1:6">
      <c r="A54" s="1310" t="s">
        <v>45</v>
      </c>
      <c r="B54" s="1310" t="s">
        <v>46</v>
      </c>
      <c r="C54" s="1311">
        <v>0</v>
      </c>
      <c r="D54" s="1311">
        <v>0</v>
      </c>
      <c r="E54" s="1311">
        <v>1</v>
      </c>
      <c r="F54" s="1311">
        <v>936374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46</v>
      </c>
      <c r="D57" s="1311">
        <v>1017897.93413057</v>
      </c>
      <c r="E57" s="1311">
        <v>76</v>
      </c>
      <c r="F57" s="1311">
        <v>21868833.262522299</v>
      </c>
    </row>
    <row r="58" spans="1:6">
      <c r="A58" s="1310" t="s">
        <v>48</v>
      </c>
      <c r="B58" s="1310" t="s">
        <v>50</v>
      </c>
      <c r="C58" s="1311">
        <v>34</v>
      </c>
      <c r="D58" s="1311">
        <v>7364606.9169490105</v>
      </c>
      <c r="E58" s="1311">
        <v>48</v>
      </c>
      <c r="F58" s="1311">
        <v>5601452.1067486797</v>
      </c>
    </row>
    <row r="59" spans="1:6">
      <c r="A59" s="1310" t="s">
        <v>48</v>
      </c>
      <c r="B59" s="1310" t="s">
        <v>51</v>
      </c>
      <c r="C59" s="1311">
        <v>92</v>
      </c>
      <c r="D59" s="1311">
        <v>11982119.1545975</v>
      </c>
      <c r="E59" s="1311">
        <v>173</v>
      </c>
      <c r="F59" s="1311">
        <v>8513146.8519930709</v>
      </c>
    </row>
    <row r="60" spans="1:6">
      <c r="A60" s="1310" t="s">
        <v>48</v>
      </c>
      <c r="B60" s="1310" t="s">
        <v>52</v>
      </c>
      <c r="C60" s="1311">
        <v>56</v>
      </c>
      <c r="D60" s="1311">
        <v>3853271.6645235498</v>
      </c>
      <c r="E60" s="1311">
        <v>69</v>
      </c>
      <c r="F60" s="1311">
        <v>1494249.6518254401</v>
      </c>
    </row>
    <row r="61" spans="1:6">
      <c r="A61" s="1310" t="s">
        <v>48</v>
      </c>
      <c r="B61" s="1310" t="s">
        <v>53</v>
      </c>
      <c r="C61" s="1311">
        <v>195</v>
      </c>
      <c r="D61" s="1311">
        <v>6559560.5897667101</v>
      </c>
      <c r="E61" s="1311">
        <v>395</v>
      </c>
      <c r="F61" s="1311">
        <v>8250174.9575206703</v>
      </c>
    </row>
    <row r="62" spans="1:6">
      <c r="A62" s="1310" t="s">
        <v>48</v>
      </c>
      <c r="B62" s="1310" t="s">
        <v>54</v>
      </c>
      <c r="C62" s="1311">
        <v>11</v>
      </c>
      <c r="D62" s="1311">
        <v>816416.90172245097</v>
      </c>
      <c r="E62" s="1311">
        <v>17</v>
      </c>
      <c r="F62" s="1311">
        <v>422297.766988602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35692.768696403597</v>
      </c>
      <c r="E65" s="1311">
        <v>0</v>
      </c>
      <c r="F65" s="1311">
        <v>0</v>
      </c>
    </row>
    <row r="66" spans="1:6">
      <c r="A66" s="1310" t="s">
        <v>55</v>
      </c>
      <c r="B66" s="1310" t="s">
        <v>57</v>
      </c>
      <c r="C66" s="1311">
        <v>0</v>
      </c>
      <c r="D66" s="1311">
        <v>0</v>
      </c>
      <c r="E66" s="1311">
        <v>12</v>
      </c>
      <c r="F66" s="1311">
        <v>461537.73842850298</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91023.592548684901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126224152</v>
      </c>
      <c r="E73" s="445"/>
      <c r="F73" s="326"/>
    </row>
    <row r="74" spans="1:6">
      <c r="A74" s="1310" t="s">
        <v>63</v>
      </c>
      <c r="B74" s="1310" t="s">
        <v>632</v>
      </c>
      <c r="C74" s="1323" t="s">
        <v>634</v>
      </c>
      <c r="D74" s="1311">
        <v>15531297.000323815</v>
      </c>
      <c r="E74" s="445"/>
      <c r="F74" s="326"/>
    </row>
    <row r="75" spans="1:6">
      <c r="A75" s="1310" t="s">
        <v>64</v>
      </c>
      <c r="B75" s="1310" t="s">
        <v>631</v>
      </c>
      <c r="C75" s="1323" t="s">
        <v>635</v>
      </c>
      <c r="D75" s="1311">
        <v>9008326</v>
      </c>
      <c r="E75" s="445"/>
      <c r="F75" s="326"/>
    </row>
    <row r="76" spans="1:6">
      <c r="A76" s="1310" t="s">
        <v>64</v>
      </c>
      <c r="B76" s="1310" t="s">
        <v>632</v>
      </c>
      <c r="C76" s="1323" t="s">
        <v>636</v>
      </c>
      <c r="D76" s="1311">
        <v>15905</v>
      </c>
      <c r="E76" s="445"/>
      <c r="F76" s="326"/>
    </row>
    <row r="77" spans="1:6">
      <c r="A77" s="1310" t="s">
        <v>65</v>
      </c>
      <c r="B77" s="1310" t="s">
        <v>631</v>
      </c>
      <c r="C77" s="1323" t="s">
        <v>637</v>
      </c>
      <c r="D77" s="1311">
        <v>152227243</v>
      </c>
      <c r="E77" s="445"/>
      <c r="F77" s="326"/>
    </row>
    <row r="78" spans="1:6">
      <c r="A78" s="1305" t="s">
        <v>65</v>
      </c>
      <c r="B78" s="1305" t="s">
        <v>632</v>
      </c>
      <c r="C78" s="1305" t="s">
        <v>638</v>
      </c>
      <c r="D78" s="1313">
        <v>18129565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549181.99935237097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3721.8330582723397</v>
      </c>
      <c r="C91" s="326"/>
      <c r="D91" s="326"/>
      <c r="E91" s="326"/>
      <c r="F91" s="326"/>
    </row>
    <row r="92" spans="1:6">
      <c r="A92" s="1305" t="s">
        <v>68</v>
      </c>
      <c r="B92" s="1306">
        <v>2051.6843763167017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3577</v>
      </c>
      <c r="C97" s="326"/>
      <c r="D97" s="326"/>
      <c r="E97" s="326"/>
      <c r="F97" s="326"/>
    </row>
    <row r="98" spans="1:6">
      <c r="A98" s="1310" t="s">
        <v>71</v>
      </c>
      <c r="B98" s="1311">
        <v>8</v>
      </c>
      <c r="C98" s="326"/>
      <c r="D98" s="326"/>
      <c r="E98" s="326"/>
      <c r="F98" s="326"/>
    </row>
    <row r="99" spans="1:6">
      <c r="A99" s="1310" t="s">
        <v>72</v>
      </c>
      <c r="B99" s="1311">
        <v>24</v>
      </c>
      <c r="C99" s="326"/>
      <c r="D99" s="326"/>
      <c r="E99" s="326"/>
      <c r="F99" s="326"/>
    </row>
    <row r="100" spans="1:6">
      <c r="A100" s="1310" t="s">
        <v>73</v>
      </c>
      <c r="B100" s="1311">
        <v>607</v>
      </c>
      <c r="C100" s="326"/>
      <c r="D100" s="326"/>
      <c r="E100" s="326"/>
      <c r="F100" s="326"/>
    </row>
    <row r="101" spans="1:6">
      <c r="A101" s="1310" t="s">
        <v>74</v>
      </c>
      <c r="B101" s="1311">
        <v>38</v>
      </c>
      <c r="C101" s="326"/>
      <c r="D101" s="326"/>
      <c r="E101" s="326"/>
      <c r="F101" s="326"/>
    </row>
    <row r="102" spans="1:6">
      <c r="A102" s="1310" t="s">
        <v>75</v>
      </c>
      <c r="B102" s="1311">
        <v>92</v>
      </c>
      <c r="C102" s="326"/>
      <c r="D102" s="326"/>
      <c r="E102" s="326"/>
      <c r="F102" s="326"/>
    </row>
    <row r="103" spans="1:6">
      <c r="A103" s="1310" t="s">
        <v>76</v>
      </c>
      <c r="B103" s="1311">
        <v>96</v>
      </c>
      <c r="C103" s="326"/>
      <c r="D103" s="326"/>
      <c r="E103" s="326"/>
      <c r="F103" s="326"/>
    </row>
    <row r="104" spans="1:6">
      <c r="A104" s="1310" t="s">
        <v>77</v>
      </c>
      <c r="B104" s="1311">
        <v>1007</v>
      </c>
      <c r="C104" s="326"/>
      <c r="D104" s="326"/>
      <c r="E104" s="326"/>
      <c r="F104" s="326"/>
    </row>
    <row r="105" spans="1:6">
      <c r="A105" s="1305" t="s">
        <v>78</v>
      </c>
      <c r="B105" s="131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37</v>
      </c>
      <c r="C123" s="1311">
        <v>13</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104</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90467.44836009253</v>
      </c>
      <c r="C3" s="43" t="s">
        <v>163</v>
      </c>
      <c r="D3" s="43"/>
      <c r="E3" s="154"/>
      <c r="F3" s="43"/>
      <c r="G3" s="43"/>
      <c r="H3" s="43"/>
      <c r="I3" s="43"/>
      <c r="J3" s="43"/>
      <c r="K3" s="96"/>
    </row>
    <row r="4" spans="1:11">
      <c r="A4" s="352" t="s">
        <v>164</v>
      </c>
      <c r="B4" s="49">
        <f>IF(ISERROR('SEAP template'!B78+'SEAP template'!C78),0,'SEAP template'!B78+'SEAP template'!C78)</f>
        <v>60258.91743458905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12937.921764705883</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0.21680734291489517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18482.745378151263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77836.28571428571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0.23745667214897725</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936.37400000000002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936.37400000000002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0.21680734291489517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203.01275891459207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21371.027380166899</v>
      </c>
      <c r="C5" s="17">
        <f>IF(ISERROR('Eigen informatie GS &amp; warmtenet'!B59),0,'Eigen informatie GS &amp; warmtenet'!B59)</f>
        <v>0</v>
      </c>
      <c r="D5" s="30">
        <f>(SUM(HH_hh_gas_kWh,HH_rest_gas_kWh)/1000)*0.903</f>
        <v>65424.601489646811</v>
      </c>
      <c r="E5" s="17">
        <f>B32*B41</f>
        <v>973.42019593504256</v>
      </c>
      <c r="F5" s="17">
        <f>B36*B45</f>
        <v>21324.331999556569</v>
      </c>
      <c r="G5" s="18"/>
      <c r="H5" s="17"/>
      <c r="I5" s="17"/>
      <c r="J5" s="17">
        <f>B35*B44+C35*C44</f>
        <v>121.5297003878058</v>
      </c>
      <c r="K5" s="17"/>
      <c r="L5" s="17"/>
      <c r="M5" s="17"/>
      <c r="N5" s="17">
        <f>B34*B43+C34*C43</f>
        <v>7814.5563099565352</v>
      </c>
      <c r="O5" s="17">
        <f>B52*B53*B54</f>
        <v>232.12311166828275</v>
      </c>
      <c r="P5" s="17">
        <f>B60*B61*B62/1000-B60*B61*B62/1000/B63</f>
        <v>674.17339569184151</v>
      </c>
    </row>
    <row r="6" spans="1:16">
      <c r="A6" s="16" t="s">
        <v>597</v>
      </c>
      <c r="B6" s="778">
        <f>kWh_PV_kleiner_dan_10kW</f>
        <v>3721.8330582723397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25092.860438439238</v>
      </c>
      <c r="C8" s="21">
        <f>C5</f>
        <v>0</v>
      </c>
      <c r="D8" s="21">
        <f>D5</f>
        <v>65424.601489646811</v>
      </c>
      <c r="E8" s="21">
        <f>E5</f>
        <v>973.42019593504256</v>
      </c>
      <c r="F8" s="21">
        <f>F5</f>
        <v>21324.331999556569</v>
      </c>
      <c r="G8" s="21"/>
      <c r="H8" s="21"/>
      <c r="I8" s="21"/>
      <c r="J8" s="21">
        <f>J5</f>
        <v>121.5297003878058</v>
      </c>
      <c r="K8" s="21"/>
      <c r="L8" s="21">
        <f>L5</f>
        <v>0</v>
      </c>
      <c r="M8" s="21">
        <f>M5</f>
        <v>0</v>
      </c>
      <c r="N8" s="21">
        <f>N5</f>
        <v>7814.5563099565352</v>
      </c>
      <c r="O8" s="21">
        <f>O5</f>
        <v>232.12311166828275</v>
      </c>
      <c r="P8" s="21">
        <f>P5</f>
        <v>674.17339569184151</v>
      </c>
    </row>
    <row r="9" spans="1:16">
      <c r="B9" s="19"/>
      <c r="C9" s="19"/>
      <c r="D9" s="254"/>
      <c r="E9" s="19"/>
      <c r="F9" s="19"/>
      <c r="G9" s="19"/>
      <c r="H9" s="19"/>
      <c r="I9" s="19"/>
      <c r="J9" s="19"/>
      <c r="K9" s="19"/>
      <c r="L9" s="19"/>
      <c r="M9" s="19"/>
      <c r="N9" s="19"/>
      <c r="O9" s="19"/>
      <c r="P9" s="19"/>
    </row>
    <row r="10" spans="1:16">
      <c r="A10" s="24" t="s">
        <v>207</v>
      </c>
      <c r="B10" s="25">
        <f ca="1">'EF ele_warmte'!B12</f>
        <v>0.21680734291489517</v>
      </c>
      <c r="C10" s="25">
        <f ca="1">'EF ele_warmte'!B22</f>
        <v>0.23745667214897725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5440.3163977923032</v>
      </c>
      <c r="C12" s="23">
        <f ca="1">C10*C8</f>
        <v>0</v>
      </c>
      <c r="D12" s="23">
        <f>D8*D10</f>
        <v>13215.769500908656</v>
      </c>
      <c r="E12" s="23">
        <f>E10*E8</f>
        <v>220.96638447725468</v>
      </c>
      <c r="F12" s="23">
        <f>F10*F8</f>
        <v>5693.596643881604</v>
      </c>
      <c r="G12" s="23"/>
      <c r="H12" s="23"/>
      <c r="I12" s="23"/>
      <c r="J12" s="23">
        <f>J10*J8</f>
        <v>43.021513937283252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6186</v>
      </c>
      <c r="C26" s="36"/>
      <c r="D26" s="225"/>
    </row>
    <row r="27" spans="1:5" s="15" customFormat="1">
      <c r="A27" s="227" t="s">
        <v>860</v>
      </c>
      <c r="B27" s="37">
        <f>SUM(HH_hh_gas_aantal,HH_rest_gas_aantal)</f>
        <v>4830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4588.5</v>
      </c>
      <c r="C31" s="34" t="s">
        <v>104</v>
      </c>
      <c r="D31" s="171"/>
    </row>
    <row r="32" spans="1:5">
      <c r="A32" s="168" t="s">
        <v>72</v>
      </c>
      <c r="B32" s="33">
        <f>IF((B21*($B$26-($B$27-0.05*$B$27)-$B$60))&lt;0,0,(B21*($B$26-($B$27-0.05*$B$27)-$B$60)))</f>
        <v>24.34461719714886</v>
      </c>
      <c r="C32" s="34" t="s">
        <v>104</v>
      </c>
      <c r="D32" s="171"/>
    </row>
    <row r="33" spans="1:6">
      <c r="A33" s="168" t="s">
        <v>73</v>
      </c>
      <c r="B33" s="33">
        <f>IF((B22*($B$26-($B$27-0.05*$B$27)-$B$60))&lt;0,0,B22*($B$26-($B$27-0.05*$B$27)-$B$60))</f>
        <v>395.30836823813559</v>
      </c>
      <c r="C33" s="34" t="s">
        <v>104</v>
      </c>
      <c r="D33" s="171"/>
    </row>
    <row r="34" spans="1:6">
      <c r="A34" s="168" t="s">
        <v>74</v>
      </c>
      <c r="B34" s="33">
        <f>IF((B24*($B$26-($B$27-0.05*$B$27)-$B$60))&lt;0,0,B24*($B$26-($B$27-0.05*$B$27)-$B$60))</f>
        <v>75.785904391295347</v>
      </c>
      <c r="C34" s="33">
        <f>B26*C24</f>
        <v>1267.5481436432822</v>
      </c>
      <c r="D34" s="230"/>
    </row>
    <row r="35" spans="1:6">
      <c r="A35" s="168" t="s">
        <v>76</v>
      </c>
      <c r="B35" s="33">
        <f>IF((B19*($B$26-($B$27-0.05*$B$27)-$B$60))&lt;0,0,B19*($B$26-($B$27-0.05*$B$27)-$B$60))</f>
        <v>10.582547056444598</v>
      </c>
      <c r="C35" s="33">
        <f>B35/2</f>
        <v>5.2912735282222991</v>
      </c>
      <c r="D35" s="230"/>
    </row>
    <row r="36" spans="1:6">
      <c r="A36" s="168" t="s">
        <v>77</v>
      </c>
      <c r="B36" s="33">
        <f>IF((B18*($B$26-($B$27-0.05*$B$27)-$B$60))&lt;0,0,B18*($B$26-($B$27-0.05*$B$27)-$B$60))</f>
        <v>1027.4785631169752</v>
      </c>
      <c r="C36" s="34" t="s">
        <v>104</v>
      </c>
      <c r="D36" s="171"/>
    </row>
    <row r="37" spans="1:6">
      <c r="A37" s="168" t="s">
        <v>78</v>
      </c>
      <c r="B37" s="33">
        <f>B60</f>
        <v>64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46150.154597598761</v>
      </c>
      <c r="C5" s="17">
        <f>IF(ISERROR('Eigen informatie GS &amp; warmtenet'!B60),0,'Eigen informatie GS &amp; warmtenet'!B60)</f>
        <v>0</v>
      </c>
      <c r="D5" s="30">
        <f>SUM(D6:D12)</f>
        <v>28529.267465005887</v>
      </c>
      <c r="E5" s="17">
        <f>SUM(E6:E12)</f>
        <v>353.5351890454528</v>
      </c>
      <c r="F5" s="17">
        <f>SUM(F6:F12)</f>
        <v>22268.091975078212</v>
      </c>
      <c r="G5" s="18"/>
      <c r="H5" s="17"/>
      <c r="I5" s="17"/>
      <c r="J5" s="17">
        <f>SUM(J6:J12)</f>
        <v>0.22118514362904793</v>
      </c>
      <c r="K5" s="17"/>
      <c r="L5" s="17"/>
      <c r="M5" s="17"/>
      <c r="N5" s="17">
        <f>SUM(N6:N12)</f>
        <v>8420.5089644008767</v>
      </c>
      <c r="O5" s="17">
        <f>B38*B39*B40</f>
        <v>0</v>
      </c>
      <c r="P5" s="17">
        <f>B46*B47*B48/1000-B46*B47*B48/1000/B49</f>
        <v>52.539138306495019</v>
      </c>
      <c r="R5" s="32"/>
    </row>
    <row r="6" spans="1:18">
      <c r="A6" s="32" t="s">
        <v>53</v>
      </c>
      <c r="B6" s="37">
        <f>B26</f>
        <v>8250.1749575206704</v>
      </c>
      <c r="C6" s="33"/>
      <c r="D6" s="37">
        <f>IF(ISERROR(TER_kantoor_gas_kWh/1000),0,TER_kantoor_gas_kWh/1000)*0.903</f>
        <v>5923.2832125593395</v>
      </c>
      <c r="E6" s="33">
        <f>$C$26*'E Balans VL '!I12/100/3.6*1000000</f>
        <v>1.9657735211292029</v>
      </c>
      <c r="F6" s="33">
        <f>$C$26*('E Balans VL '!L12+'E Balans VL '!N12)/100/3.6*1000000</f>
        <v>716.60851500341403</v>
      </c>
      <c r="G6" s="34"/>
      <c r="H6" s="33"/>
      <c r="I6" s="33"/>
      <c r="J6" s="33">
        <f>$C$26*('E Balans VL '!D12+'E Balans VL '!E12)/100/3.6*1000000</f>
        <v>0</v>
      </c>
      <c r="K6" s="33"/>
      <c r="L6" s="33"/>
      <c r="M6" s="33"/>
      <c r="N6" s="33">
        <f>$C$26*'E Balans VL '!Y12/100/3.6*1000000</f>
        <v>11.027513031845139</v>
      </c>
      <c r="O6" s="33"/>
      <c r="P6" s="33"/>
      <c r="R6" s="32"/>
    </row>
    <row r="7" spans="1:18">
      <c r="A7" s="32" t="s">
        <v>52</v>
      </c>
      <c r="B7" s="37">
        <f t="shared" ref="B7:B12" si="0">B27</f>
        <v>1494.2496518254402</v>
      </c>
      <c r="C7" s="33"/>
      <c r="D7" s="37">
        <f>IF(ISERROR(TER_horeca_gas_kWh/1000),0,TER_horeca_gas_kWh/1000)*0.903</f>
        <v>3479.5043130647659</v>
      </c>
      <c r="E7" s="33">
        <f>$C$27*'E Balans VL '!I9/100/3.6*1000000</f>
        <v>0</v>
      </c>
      <c r="F7" s="33">
        <f>$C$27*('E Balans VL '!L9+'E Balans VL '!N9)/100/3.6*1000000</f>
        <v>121.7543045679453</v>
      </c>
      <c r="G7" s="34"/>
      <c r="H7" s="33"/>
      <c r="I7" s="33"/>
      <c r="J7" s="33">
        <f>$C$27*('E Balans VL '!D9+'E Balans VL '!E9)/100/3.6*1000000</f>
        <v>0</v>
      </c>
      <c r="K7" s="33"/>
      <c r="L7" s="33"/>
      <c r="M7" s="33"/>
      <c r="N7" s="33">
        <f>$C$27*'E Balans VL '!Y9/100/3.6*1000000</f>
        <v>0.41387933458573695</v>
      </c>
      <c r="O7" s="33"/>
      <c r="P7" s="33"/>
      <c r="R7" s="32"/>
    </row>
    <row r="8" spans="1:18">
      <c r="A8" s="6" t="s">
        <v>51</v>
      </c>
      <c r="B8" s="37">
        <f t="shared" si="0"/>
        <v>8513.1468519930713</v>
      </c>
      <c r="C8" s="33"/>
      <c r="D8" s="37">
        <f>IF(ISERROR(TER_handel_gas_kWh/1000),0,TER_handel_gas_kWh/1000)*0.903</f>
        <v>10819.853596601542</v>
      </c>
      <c r="E8" s="33">
        <f>$C$28*'E Balans VL '!I13/100/3.6*1000000</f>
        <v>68.050814956283602</v>
      </c>
      <c r="F8" s="33">
        <f>$C$28*('E Balans VL '!L13+'E Balans VL '!N13)/100/3.6*1000000</f>
        <v>845.72821893702474</v>
      </c>
      <c r="G8" s="34"/>
      <c r="H8" s="33"/>
      <c r="I8" s="33"/>
      <c r="J8" s="33">
        <f>$C$28*('E Balans VL '!D13+'E Balans VL '!E13)/100/3.6*1000000</f>
        <v>0</v>
      </c>
      <c r="K8" s="33"/>
      <c r="L8" s="33"/>
      <c r="M8" s="33"/>
      <c r="N8" s="33">
        <f>$C$28*'E Balans VL '!Y13/100/3.6*1000000</f>
        <v>3.180167085450178</v>
      </c>
      <c r="O8" s="33"/>
      <c r="P8" s="33"/>
      <c r="R8" s="32"/>
    </row>
    <row r="9" spans="1:18">
      <c r="A9" s="32" t="s">
        <v>50</v>
      </c>
      <c r="B9" s="37">
        <f t="shared" si="0"/>
        <v>5601.4521067486794</v>
      </c>
      <c r="C9" s="33"/>
      <c r="D9" s="37">
        <f>IF(ISERROR(TER_gezond_gas_kWh/1000),0,TER_gezond_gas_kWh/1000)*0.903</f>
        <v>6650.2400460049566</v>
      </c>
      <c r="E9" s="33">
        <f>$C$29*'E Balans VL '!I10/100/3.6*1000000</f>
        <v>0</v>
      </c>
      <c r="F9" s="33">
        <f>$C$29*('E Balans VL '!L10+'E Balans VL '!N10)/100/3.6*1000000</f>
        <v>510.66363909449376</v>
      </c>
      <c r="G9" s="34"/>
      <c r="H9" s="33"/>
      <c r="I9" s="33"/>
      <c r="J9" s="33">
        <f>$C$29*('E Balans VL '!D10+'E Balans VL '!E10)/100/3.6*1000000</f>
        <v>0</v>
      </c>
      <c r="K9" s="33"/>
      <c r="L9" s="33"/>
      <c r="M9" s="33"/>
      <c r="N9" s="33">
        <f>$C$29*'E Balans VL '!Y10/100/3.6*1000000</f>
        <v>40.941595102767849</v>
      </c>
      <c r="O9" s="33"/>
      <c r="P9" s="33"/>
      <c r="R9" s="32"/>
    </row>
    <row r="10" spans="1:18">
      <c r="A10" s="32" t="s">
        <v>49</v>
      </c>
      <c r="B10" s="37">
        <f t="shared" si="0"/>
        <v>21868.833262522297</v>
      </c>
      <c r="C10" s="33"/>
      <c r="D10" s="37">
        <f>IF(ISERROR(TER_ander_gas_kWh/1000),0,TER_ander_gas_kWh/1000)*0.903</f>
        <v>919.1618345199048</v>
      </c>
      <c r="E10" s="33">
        <f>$C$30*'E Balans VL '!I14/100/3.6*1000000</f>
        <v>283.51860056803997</v>
      </c>
      <c r="F10" s="33">
        <f>$C$30*('E Balans VL '!L14+'E Balans VL '!N14)/100/3.6*1000000</f>
        <v>20056.790544222138</v>
      </c>
      <c r="G10" s="34"/>
      <c r="H10" s="33"/>
      <c r="I10" s="33"/>
      <c r="J10" s="33">
        <f>$C$30*('E Balans VL '!D14+'E Balans VL '!E14)/100/3.6*1000000</f>
        <v>0.22118514362904793</v>
      </c>
      <c r="K10" s="33"/>
      <c r="L10" s="33"/>
      <c r="M10" s="33"/>
      <c r="N10" s="33">
        <f>$C$30*'E Balans VL '!Y14/100/3.6*1000000</f>
        <v>8363.615889839677</v>
      </c>
      <c r="O10" s="33"/>
      <c r="P10" s="33"/>
      <c r="R10" s="32"/>
    </row>
    <row r="11" spans="1:18">
      <c r="A11" s="32" t="s">
        <v>54</v>
      </c>
      <c r="B11" s="37">
        <f t="shared" si="0"/>
        <v>422.29776698860201</v>
      </c>
      <c r="C11" s="33"/>
      <c r="D11" s="37">
        <f>IF(ISERROR(TER_onderwijs_gas_kWh/1000),0,TER_onderwijs_gas_kWh/1000)*0.903</f>
        <v>737.22446225537328</v>
      </c>
      <c r="E11" s="33">
        <f>$C$31*'E Balans VL '!I11/100/3.6*1000000</f>
        <v>0</v>
      </c>
      <c r="F11" s="33">
        <f>$C$31*('E Balans VL '!L11+'E Balans VL '!N11)/100/3.6*1000000</f>
        <v>16.546753253199615</v>
      </c>
      <c r="G11" s="34"/>
      <c r="H11" s="33"/>
      <c r="I11" s="33"/>
      <c r="J11" s="33">
        <f>$C$31*('E Balans VL '!D11+'E Balans VL '!E11)/100/3.6*1000000</f>
        <v>0</v>
      </c>
      <c r="K11" s="33"/>
      <c r="L11" s="33"/>
      <c r="M11" s="33"/>
      <c r="N11" s="33">
        <f>$C$31*'E Balans VL '!Y11/100/3.6*1000000</f>
        <v>1.3299200065499779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energieproductie'!N46+'lokale energieproductie'!N39</f>
        <v>0</v>
      </c>
      <c r="C13" s="243">
        <f ca="1">'lokale energieproductie'!O46+'lokale energieproductie'!O39</f>
        <v>0</v>
      </c>
      <c r="D13" s="304">
        <f ca="1">('lokale energieproductie'!P39+'lokale energieproductie'!P46)*(-1)</f>
        <v>0</v>
      </c>
      <c r="E13" s="244"/>
      <c r="F13" s="304">
        <f ca="1">('lokale energieproductie'!S39+'lokale energieproductie'!S46)*(-1)</f>
        <v>0</v>
      </c>
      <c r="G13" s="245"/>
      <c r="H13" s="244"/>
      <c r="I13" s="244"/>
      <c r="J13" s="244"/>
      <c r="K13" s="244"/>
      <c r="L13" s="304">
        <f ca="1">('lokale energieproductie'!U39+'lokale energieproductie'!T39+'lokale energieproductie'!U46+'lokale energieproductie'!T46)*(-1)</f>
        <v>0</v>
      </c>
      <c r="M13" s="244"/>
      <c r="N13" s="304">
        <f ca="1">('lokale energieproductie'!Q39+'lokale energieproductie'!R39+'lokale energieproductie'!V39+'lokale energieproductie'!Q46+'lokale energieproductie'!R46+'lokale energieproductie'!V46)*(-1)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46150.154597598761</v>
      </c>
      <c r="C16" s="21">
        <f t="shared" ca="1" si="1"/>
        <v>0</v>
      </c>
      <c r="D16" s="21">
        <f t="shared" ca="1" si="1"/>
        <v>28529.267465005887</v>
      </c>
      <c r="E16" s="21">
        <f t="shared" si="1"/>
        <v>353.5351890454528</v>
      </c>
      <c r="F16" s="21">
        <f t="shared" ca="1" si="1"/>
        <v>22268.091975078212</v>
      </c>
      <c r="G16" s="21">
        <f t="shared" si="1"/>
        <v>0</v>
      </c>
      <c r="H16" s="21">
        <f t="shared" si="1"/>
        <v>0</v>
      </c>
      <c r="I16" s="21">
        <f t="shared" si="1"/>
        <v>0</v>
      </c>
      <c r="J16" s="21">
        <f t="shared" si="1"/>
        <v>0.22118514362904793</v>
      </c>
      <c r="K16" s="21">
        <f t="shared" si="1"/>
        <v>0</v>
      </c>
      <c r="L16" s="21">
        <f t="shared" ca="1" si="1"/>
        <v>0</v>
      </c>
      <c r="M16" s="21">
        <f t="shared" si="1"/>
        <v>0</v>
      </c>
      <c r="N16" s="21">
        <f t="shared" ca="1" si="1"/>
        <v>8420.5089644008767</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0.21680734291489517</v>
      </c>
      <c r="C18" s="25">
        <f ca="1">'EF ele_warmte'!B22</f>
        <v>0.23745667214897725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10005.692393417021</v>
      </c>
      <c r="C20" s="23">
        <f t="shared" ref="C20:P20" ca="1" si="2">C16*C18</f>
        <v>0</v>
      </c>
      <c r="D20" s="23">
        <f t="shared" ca="1" si="2"/>
        <v>5762.9120279311892</v>
      </c>
      <c r="E20" s="23">
        <f t="shared" si="2"/>
        <v>80.252487913317793</v>
      </c>
      <c r="F20" s="23">
        <f t="shared" ca="1" si="2"/>
        <v>5945.5805573458829</v>
      </c>
      <c r="G20" s="23">
        <f t="shared" si="2"/>
        <v>0</v>
      </c>
      <c r="H20" s="23">
        <f t="shared" si="2"/>
        <v>0</v>
      </c>
      <c r="I20" s="23">
        <f t="shared" si="2"/>
        <v>0</v>
      </c>
      <c r="J20" s="23">
        <f t="shared" si="2"/>
        <v>7.8299540844682963E-2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8250.1749575206704</v>
      </c>
      <c r="C26" s="39">
        <f>IF(ISERROR(B26*3.6/1000000/'E Balans VL '!Z12*100),0,B26*3.6/1000000/'E Balans VL '!Z12*100)</f>
        <v>0.2366967431476763</v>
      </c>
      <c r="D26" s="233" t="s">
        <v>835</v>
      </c>
      <c r="F26" s="6"/>
    </row>
    <row r="27" spans="1:18" ht="30">
      <c r="A27" s="228" t="s">
        <v>52</v>
      </c>
      <c r="B27" s="33">
        <f>IF(ISERROR(TER_horeca_ele_kWh/1000),0,TER_horeca_ele_kWh/1000)</f>
        <v>1494.2496518254402</v>
      </c>
      <c r="C27" s="39">
        <f>IF(ISERROR(B27*3.6/1000000/'E Balans VL '!Z9*100),0,B27*3.6/1000000/'E Balans VL '!Z9*100)</f>
        <v>0.10946925851024408</v>
      </c>
      <c r="D27" s="233" t="s">
        <v>835</v>
      </c>
      <c r="F27" s="6"/>
    </row>
    <row r="28" spans="1:18" ht="30">
      <c r="A28" s="168" t="s">
        <v>51</v>
      </c>
      <c r="B28" s="33">
        <f>IF(ISERROR(TER_handel_ele_kWh/1000),0,TER_handel_ele_kWh/1000)</f>
        <v>8513.1468519930713</v>
      </c>
      <c r="C28" s="39">
        <f>IF(ISERROR(B28*3.6/1000000/'E Balans VL '!Z13*100),0,B28*3.6/1000000/'E Balans VL '!Z13*100)</f>
        <v>0.26306341815167772</v>
      </c>
      <c r="D28" s="233" t="s">
        <v>835</v>
      </c>
      <c r="F28" s="6"/>
    </row>
    <row r="29" spans="1:18" ht="30">
      <c r="A29" s="228" t="s">
        <v>50</v>
      </c>
      <c r="B29" s="33">
        <f>IF(ISERROR(TER_gezond_ele_kWh/1000),0,TER_gezond_ele_kWh/1000)</f>
        <v>5601.4521067486794</v>
      </c>
      <c r="C29" s="39">
        <f>IF(ISERROR(B29*3.6/1000000/'E Balans VL '!Z10*100),0,B29*3.6/1000000/'E Balans VL '!Z10*100)</f>
        <v>0.54897674953830267</v>
      </c>
      <c r="D29" s="233" t="s">
        <v>835</v>
      </c>
      <c r="F29" s="6"/>
    </row>
    <row r="30" spans="1:18" ht="30">
      <c r="A30" s="228" t="s">
        <v>49</v>
      </c>
      <c r="B30" s="33">
        <f>IF(ISERROR(TER_ander_ele_kWh/1000),0,TER_ander_ele_kWh/1000)</f>
        <v>21868.833262522297</v>
      </c>
      <c r="C30" s="39">
        <f>IF(ISERROR(B30*3.6/1000000/'E Balans VL '!Z14*100),0,B30*3.6/1000000/'E Balans VL '!Z14*100)</f>
        <v>0.90587772134763656</v>
      </c>
      <c r="D30" s="233" t="s">
        <v>835</v>
      </c>
      <c r="F30" s="6"/>
    </row>
    <row r="31" spans="1:18" ht="30">
      <c r="A31" s="228" t="s">
        <v>54</v>
      </c>
      <c r="B31" s="33">
        <f>IF(ISERROR(TER_onderwijs_ele_kWh/1000),0,TER_onderwijs_ele_kWh/1000)</f>
        <v>422.29776698860201</v>
      </c>
      <c r="C31" s="39">
        <f>IF(ISERROR(B31*3.6/1000000/'E Balans VL '!Z11*100),0,B31*3.6/1000000/'E Balans VL '!Z11*100)</f>
        <v>0.12975926483702471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15853.707791432738</v>
      </c>
      <c r="C5" s="17">
        <f>IF(ISERROR('Eigen informatie GS &amp; warmtenet'!B61),0,'Eigen informatie GS &amp; warmtenet'!B61)</f>
        <v>0</v>
      </c>
      <c r="D5" s="30">
        <f>SUM(D6:D15)</f>
        <v>48723.597983205822</v>
      </c>
      <c r="E5" s="17">
        <f>SUM(E6:E15)</f>
        <v>229.73744055434113</v>
      </c>
      <c r="F5" s="17">
        <f>SUM(F6:F15)</f>
        <v>3394.4544468299573</v>
      </c>
      <c r="G5" s="18"/>
      <c r="H5" s="17"/>
      <c r="I5" s="17"/>
      <c r="J5" s="17">
        <f>SUM(J6:J15)</f>
        <v>479.80263121239761</v>
      </c>
      <c r="K5" s="17"/>
      <c r="L5" s="17"/>
      <c r="M5" s="17"/>
      <c r="N5" s="17">
        <f>SUM(N6:N15)</f>
        <v>7440.054720311171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63.340182765633202</v>
      </c>
      <c r="C8" s="33"/>
      <c r="D8" s="37">
        <f>IF( ISERROR(IND_metaal_Gas_kWH/1000),0,IND_metaal_Gas_kWH/1000)*0.903</f>
        <v>0</v>
      </c>
      <c r="E8" s="33">
        <f>C30*'E Balans VL '!I18/100/3.6*1000000</f>
        <v>0.34527721463024807</v>
      </c>
      <c r="F8" s="33">
        <f>C30*'E Balans VL '!L18/100/3.6*1000000+C30*'E Balans VL '!N18/100/3.6*1000000</f>
        <v>4.0791126082010534</v>
      </c>
      <c r="G8" s="34"/>
      <c r="H8" s="33"/>
      <c r="I8" s="33"/>
      <c r="J8" s="40">
        <f>C30*'E Balans VL '!D18/100/3.6*1000000+C30*'E Balans VL '!E18/100/3.6*1000000</f>
        <v>5.1883335819710559E-2</v>
      </c>
      <c r="K8" s="33"/>
      <c r="L8" s="33"/>
      <c r="M8" s="33"/>
      <c r="N8" s="33">
        <f>C30*'E Balans VL '!Y18/100/3.6*1000000</f>
        <v>1.368422793655248</v>
      </c>
      <c r="O8" s="33"/>
      <c r="P8" s="33"/>
      <c r="R8" s="32"/>
    </row>
    <row r="9" spans="1:18">
      <c r="A9" s="6" t="s">
        <v>32</v>
      </c>
      <c r="B9" s="37">
        <f t="shared" si="0"/>
        <v>2060.50611714252</v>
      </c>
      <c r="C9" s="33"/>
      <c r="D9" s="37">
        <f>IF( ISERROR(IND_andere_gas_kWh/1000),0,IND_andere_gas_kWh/1000)*0.903</f>
        <v>1264.2036893471695</v>
      </c>
      <c r="E9" s="33">
        <f>C31*'E Balans VL '!I19/100/3.6*1000000</f>
        <v>6.6516646514726991</v>
      </c>
      <c r="F9" s="33">
        <f>C31*'E Balans VL '!L19/100/3.6*1000000+C31*'E Balans VL '!N19/100/3.6*1000000</f>
        <v>1332.3394304439266</v>
      </c>
      <c r="G9" s="34"/>
      <c r="H9" s="33"/>
      <c r="I9" s="33"/>
      <c r="J9" s="40">
        <f>C31*'E Balans VL '!D19/100/3.6*1000000+C31*'E Balans VL '!E19/100/3.6*1000000</f>
        <v>0</v>
      </c>
      <c r="K9" s="33"/>
      <c r="L9" s="33"/>
      <c r="M9" s="33"/>
      <c r="N9" s="33">
        <f>C31*'E Balans VL '!Y19/100/3.6*1000000</f>
        <v>83.262672100429967</v>
      </c>
      <c r="O9" s="33"/>
      <c r="P9" s="33"/>
      <c r="R9" s="32"/>
    </row>
    <row r="10" spans="1:18">
      <c r="A10" s="6" t="s">
        <v>40</v>
      </c>
      <c r="B10" s="37">
        <f t="shared" si="0"/>
        <v>282.44896951174496</v>
      </c>
      <c r="C10" s="33"/>
      <c r="D10" s="37">
        <f>IF( ISERROR(IND_voed_gas_kWh/1000),0,IND_voed_gas_kWh/1000)*0.903</f>
        <v>470.15384009193156</v>
      </c>
      <c r="E10" s="33">
        <f>C32*'E Balans VL '!I20/100/3.6*1000000</f>
        <v>0.59208226087090932</v>
      </c>
      <c r="F10" s="33">
        <f>C32*'E Balans VL '!L20/100/3.6*1000000+C32*'E Balans VL '!N20/100/3.6*1000000</f>
        <v>5.5030820350303467</v>
      </c>
      <c r="G10" s="34"/>
      <c r="H10" s="33"/>
      <c r="I10" s="33"/>
      <c r="J10" s="40">
        <f>C32*'E Balans VL '!D20/100/3.6*1000000+C32*'E Balans VL '!E20/100/3.6*1000000</f>
        <v>0</v>
      </c>
      <c r="K10" s="33"/>
      <c r="L10" s="33"/>
      <c r="M10" s="33"/>
      <c r="N10" s="33">
        <f>C32*'E Balans VL '!Y20/100/3.6*1000000</f>
        <v>11.235036943869577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13398.4629936206</v>
      </c>
      <c r="C12" s="33"/>
      <c r="D12" s="37">
        <f>IF( ISERROR(IND_min_gas_kWh/1000),0,IND_min_gas_kWh/1000)*0.903</f>
        <v>0</v>
      </c>
      <c r="E12" s="33">
        <f>C34*'E Balans VL '!I22/100/3.6*1000000</f>
        <v>219.26663587515071</v>
      </c>
      <c r="F12" s="33">
        <f>C34*'E Balans VL '!L22/100/3.6*1000000+C34*'E Balans VL '!N22/100/3.6*1000000</f>
        <v>2045.0653983881834</v>
      </c>
      <c r="G12" s="34"/>
      <c r="H12" s="33"/>
      <c r="I12" s="33"/>
      <c r="J12" s="40">
        <f>C34*'E Balans VL '!D22/100/3.6*1000000+C34*'E Balans VL '!E22/100/3.6*1000000</f>
        <v>479.48497554049828</v>
      </c>
      <c r="K12" s="33"/>
      <c r="L12" s="33"/>
      <c r="M12" s="33"/>
      <c r="N12" s="33">
        <f>C34*'E Balans VL '!Y22/100/3.6*1000000</f>
        <v>7342.6420876535412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48.949528392239998</v>
      </c>
      <c r="C15" s="33"/>
      <c r="D15" s="37">
        <f>IF( ISERROR(IND_rest_gas_kWh/1000),0,IND_rest_gas_kWh/1000)*0.903</f>
        <v>46989.240453766717</v>
      </c>
      <c r="E15" s="33">
        <f>C37*'E Balans VL '!I15/100/3.6*1000000</f>
        <v>2.8817805522165436</v>
      </c>
      <c r="F15" s="33">
        <f>C37*'E Balans VL '!L15/100/3.6*1000000+C37*'E Balans VL '!N15/100/3.6*1000000</f>
        <v>7.4674233546155078</v>
      </c>
      <c r="G15" s="34"/>
      <c r="H15" s="33"/>
      <c r="I15" s="33"/>
      <c r="J15" s="40">
        <f>C37*'E Balans VL '!D15/100/3.6*1000000+C37*'E Balans VL '!E15/100/3.6*1000000</f>
        <v>0.26577233607964124</v>
      </c>
      <c r="K15" s="33"/>
      <c r="L15" s="33"/>
      <c r="M15" s="33"/>
      <c r="N15" s="33">
        <f>C37*'E Balans VL '!Y15/100/3.6*1000000</f>
        <v>1.5465008196755266</v>
      </c>
      <c r="O15" s="33"/>
      <c r="P15" s="33"/>
      <c r="R15" s="32"/>
    </row>
    <row r="16" spans="1:18">
      <c r="A16" s="16" t="s">
        <v>467</v>
      </c>
      <c r="B16" s="243">
        <f>'lokale energieproductie'!N45+'lokale energieproductie'!N38</f>
        <v>0</v>
      </c>
      <c r="C16" s="243">
        <f>'lokale energieproductie'!O45+'lokale energieproductie'!O38</f>
        <v>0</v>
      </c>
      <c r="D16" s="304">
        <f>('lokale energieproductie'!P38+'lokale energieproductie'!P45)*(-1)</f>
        <v>0</v>
      </c>
      <c r="E16" s="244"/>
      <c r="F16" s="304">
        <f>('lokale energieproductie'!S38+'lokale energieproductie'!S45)*(-1)</f>
        <v>0</v>
      </c>
      <c r="G16" s="245"/>
      <c r="H16" s="244"/>
      <c r="I16" s="244"/>
      <c r="J16" s="244"/>
      <c r="K16" s="244"/>
      <c r="L16" s="304">
        <f>('lokale energieproductie'!T38+'lokale energieproductie'!U38+'lokale energieproductie'!T45+'lokale energieproductie'!U45)*(-1)</f>
        <v>0</v>
      </c>
      <c r="M16" s="244"/>
      <c r="N16" s="304">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15853.707791432738</v>
      </c>
      <c r="C18" s="21">
        <f>C5+C16</f>
        <v>0</v>
      </c>
      <c r="D18" s="21">
        <f>MAX((D5+D16),0)</f>
        <v>48723.597983205822</v>
      </c>
      <c r="E18" s="21">
        <f>MAX((E5+E16),0)</f>
        <v>229.73744055434113</v>
      </c>
      <c r="F18" s="21">
        <f>MAX((F5+F16),0)</f>
        <v>3394.4544468299573</v>
      </c>
      <c r="G18" s="21"/>
      <c r="H18" s="21"/>
      <c r="I18" s="21"/>
      <c r="J18" s="21">
        <f>MAX((J5+J16),0)</f>
        <v>479.80263121239761</v>
      </c>
      <c r="K18" s="21"/>
      <c r="L18" s="21">
        <f>MAX((L5+L16),0)</f>
        <v>0</v>
      </c>
      <c r="M18" s="21"/>
      <c r="N18" s="21">
        <f>MAX((N5+N16),0)</f>
        <v>7440.054720311171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0.21680734291489517</v>
      </c>
      <c r="C20" s="25">
        <f ca="1">'EF ele_warmte'!B22</f>
        <v>0.23745667214897725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3437.2002616097029</v>
      </c>
      <c r="C22" s="23">
        <f ca="1">C18*C20</f>
        <v>0</v>
      </c>
      <c r="D22" s="23">
        <f>D18*D20</f>
        <v>9842.166792607577</v>
      </c>
      <c r="E22" s="23">
        <f>E18*E20</f>
        <v>52.150399005835439</v>
      </c>
      <c r="F22" s="23">
        <f>F18*F20</f>
        <v>906.31933730359867</v>
      </c>
      <c r="G22" s="23"/>
      <c r="H22" s="23"/>
      <c r="I22" s="23"/>
      <c r="J22" s="23">
        <f>J18*J20</f>
        <v>169.85013144918875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63.340182765633202</v>
      </c>
      <c r="C30" s="39">
        <f>IF(ISERROR(B30*3.6/1000000/'E Balans VL '!Z18*100),0,B30*3.6/1000000/'E Balans VL '!Z18*100)</f>
        <v>3.8141721247898419E-3</v>
      </c>
      <c r="D30" s="233" t="s">
        <v>835</v>
      </c>
    </row>
    <row r="31" spans="1:18" ht="30">
      <c r="A31" s="6" t="s">
        <v>32</v>
      </c>
      <c r="B31" s="37">
        <f>IF( ISERROR(IND_ander_ele_kWh/1000),0,IND_ander_ele_kWh/1000)</f>
        <v>2060.50611714252</v>
      </c>
      <c r="C31" s="39">
        <f>IF(ISERROR(B31*3.6/1000000/'E Balans VL '!Z19*100),0,B31*3.6/1000000/'E Balans VL '!Z19*100)</f>
        <v>8.3949284950955397E-2</v>
      </c>
      <c r="D31" s="233" t="s">
        <v>835</v>
      </c>
    </row>
    <row r="32" spans="1:18" ht="30">
      <c r="A32" s="168" t="s">
        <v>40</v>
      </c>
      <c r="B32" s="37">
        <f>IF( ISERROR(IND_voed_ele_kWh/1000),0,IND_voed_ele_kWh/1000)</f>
        <v>282.44896951174496</v>
      </c>
      <c r="C32" s="39">
        <f>IF(ISERROR(B32*3.6/1000000/'E Balans VL '!Z20*100),0,B32*3.6/1000000/'E Balans VL '!Z20*100)</f>
        <v>8.1667363681722192E-3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13398.4629936206</v>
      </c>
      <c r="C34" s="39">
        <f>IF(ISERROR(B34*3.6/1000000/'E Balans VL '!Z22*100),0,B34*3.6/1000000/'E Balans VL '!Z22*100)</f>
        <v>5.7210191964264618</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48.949528392239998</v>
      </c>
      <c r="C37" s="39">
        <f>IF(ISERROR(B37*3.6/1000000/'E Balans VL '!Z15*100),0,B37*3.6/1000000/'E Balans VL '!Z15*100)</f>
        <v>4.0191270352899562E-4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1308.59807413304</v>
      </c>
      <c r="C5" s="17">
        <f>'Eigen informatie GS &amp; warmtenet'!B62</f>
        <v>0</v>
      </c>
      <c r="D5" s="30">
        <f>IF(ISERROR(SUM(LB_lb_gas_kWh,LB_rest_gas_kWh)/1000),0,SUM(LB_lb_gas_kWh,LB_rest_gas_kWh)/1000)*0.903</f>
        <v>148907.77147011194</v>
      </c>
      <c r="E5" s="17">
        <f>B17*'E Balans VL '!I25/3.6*1000000/100</f>
        <v>37.480463396550924</v>
      </c>
      <c r="F5" s="17">
        <f>B17*('E Balans VL '!L25/3.6*1000000+'E Balans VL '!N25/3.6*1000000)/100</f>
        <v>4142.3455295996237</v>
      </c>
      <c r="G5" s="18"/>
      <c r="H5" s="17"/>
      <c r="I5" s="17"/>
      <c r="J5" s="17">
        <f>('E Balans VL '!D25+'E Balans VL '!E25)/3.6*1000000*landbouw!B17/100</f>
        <v>332.73539714234175</v>
      </c>
      <c r="K5" s="17"/>
      <c r="L5" s="17">
        <f>L6*(-1)</f>
        <v>0</v>
      </c>
      <c r="M5" s="17"/>
      <c r="N5" s="17">
        <f>N6*(-1)</f>
        <v>124.71428571428569</v>
      </c>
      <c r="O5" s="17"/>
      <c r="P5" s="17"/>
      <c r="R5" s="32"/>
    </row>
    <row r="6" spans="1:18">
      <c r="A6" s="16" t="s">
        <v>467</v>
      </c>
      <c r="B6" s="17" t="s">
        <v>204</v>
      </c>
      <c r="C6" s="17">
        <f>'lokale energieproductie'!O47+'lokale energieproductie'!O40</f>
        <v>77836.28571428571</v>
      </c>
      <c r="D6" s="304">
        <f>('lokale energieproductie'!P40+'lokale energieproductie'!P47)*(-1)</f>
        <v>-155547.85714285713</v>
      </c>
      <c r="E6" s="244"/>
      <c r="F6" s="304">
        <f>('lokale energieproductie'!S40+'lokale energieproductie'!S47)*(-1)</f>
        <v>0</v>
      </c>
      <c r="G6" s="245"/>
      <c r="H6" s="244"/>
      <c r="I6" s="244"/>
      <c r="J6" s="244"/>
      <c r="K6" s="244"/>
      <c r="L6" s="304">
        <f>('lokale energieproductie'!T40+'lokale energieproductie'!U40+'lokale energieproductie'!T47+'lokale energieproductie'!U47)*(-1)</f>
        <v>0</v>
      </c>
      <c r="M6" s="244"/>
      <c r="N6" s="304">
        <f>('lokale energieproductie'!V40+'lokale energieproductie'!R40+'lokale energieproductie'!Q40+'lokale energieproductie'!Q47+'lokale energieproductie'!R47+'lokale energieproductie'!V47)*(-1)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1308.59807413304</v>
      </c>
      <c r="C8" s="21">
        <f>C5+C6</f>
        <v>77836.28571428571</v>
      </c>
      <c r="D8" s="21">
        <f>MAX((D5+D6),0)</f>
        <v>0</v>
      </c>
      <c r="E8" s="21">
        <f>MAX((E5+E6),0)</f>
        <v>37.480463396550924</v>
      </c>
      <c r="F8" s="21">
        <f>MAX((F5+F6),0)</f>
        <v>4142.3455295996237</v>
      </c>
      <c r="G8" s="21"/>
      <c r="H8" s="21"/>
      <c r="I8" s="21"/>
      <c r="J8" s="21">
        <f>MAX((J5+J6),0)</f>
        <v>332.73539714234175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0.21680734291489517</v>
      </c>
      <c r="C10" s="31">
        <f ca="1">'EF ele_warmte'!B22</f>
        <v>0.23745667214897725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283.71367139633344</v>
      </c>
      <c r="C12" s="23">
        <f ca="1">C8*C10</f>
        <v>18482.745378151263</v>
      </c>
      <c r="D12" s="23">
        <f>D8*D10</f>
        <v>0</v>
      </c>
      <c r="E12" s="23">
        <f>E8*E10</f>
        <v>8.5080651910170602</v>
      </c>
      <c r="F12" s="23">
        <f>F8*F10</f>
        <v>1106.0062564030995</v>
      </c>
      <c r="G12" s="23"/>
      <c r="H12" s="23"/>
      <c r="I12" s="23"/>
      <c r="J12" s="23">
        <f>J8*J10</f>
        <v>117.78833058838897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0.18121114706613589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120.05084679624483</v>
      </c>
      <c r="C26" s="243">
        <f>B26*'GWP N2O_CH4'!B5</f>
        <v>2521.0677827211412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26.422336713530648</v>
      </c>
      <c r="C27" s="243">
        <f>B27*'GWP N2O_CH4'!B5</f>
        <v>554.8690709841436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1.4369537656006719</v>
      </c>
      <c r="C28" s="243">
        <f>B28*'GWP N2O_CH4'!B4</f>
        <v>445.45566733620831</v>
      </c>
      <c r="D28" s="50"/>
    </row>
    <row r="29" spans="1:4">
      <c r="A29" s="41" t="s">
        <v>266</v>
      </c>
      <c r="B29" s="243">
        <f>B34*'ha_N2O bodem landbouw'!B4</f>
        <v>4.0108470190238874</v>
      </c>
      <c r="C29" s="243">
        <f>B29*'GWP N2O_CH4'!B4</f>
        <v>1243.3625758974051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9.111926594793468E-4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2.2335581374122362E-3</v>
      </c>
      <c r="C5" s="432" t="s">
        <v>204</v>
      </c>
      <c r="D5" s="417">
        <f>SUM(D6:D11)</f>
        <v>3.4439536617585824E-3</v>
      </c>
      <c r="E5" s="417">
        <f>SUM(E6:E11)</f>
        <v>1.5179343122140583E-3</v>
      </c>
      <c r="F5" s="430" t="s">
        <v>204</v>
      </c>
      <c r="G5" s="417">
        <f>SUM(G6:G11)</f>
        <v>0.74488731837373856</v>
      </c>
      <c r="H5" s="417">
        <f>SUM(H6:H11)</f>
        <v>0.17319032274856674</v>
      </c>
      <c r="I5" s="432" t="s">
        <v>204</v>
      </c>
      <c r="J5" s="432" t="s">
        <v>204</v>
      </c>
      <c r="K5" s="432" t="s">
        <v>204</v>
      </c>
      <c r="L5" s="432" t="s">
        <v>204</v>
      </c>
      <c r="M5" s="417">
        <f>SUM(M6:M11)</f>
        <v>5.5047783643276046E-2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8.8510968173793978E-4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1.4757312178834915E-3</v>
      </c>
      <c r="E6" s="884">
        <f>vkm_GW_PW*SUMIFS(TableVerdeelsleutelVkm[LPG],TableVerdeelsleutelVkm[Voertuigtype],"Lichte voertuigen")*SUMIFS(TableECFTransport[EnergieConsumptieFactor (PJ per km)],TableECFTransport[Index],CONCATENATE($A6,"_LPG_LPG"))</f>
        <v>5.850674066845917E-4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0.17582745285954579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7.2372441817874791E-2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1.5226331574936157E-2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3.7787378818415471E-6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0.14979155141524028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1.1052448334988809E-6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8.6007775631502786E-3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7.8822261808772983E-5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1.7998694756653948E-4</v>
      </c>
      <c r="E8" s="420">
        <f>vkm_NGW_PW*SUMIFS(TableVerdeelsleutelVkm[LPG],TableVerdeelsleutelVkm[Voertuigtype],"Lichte voertuigen")*SUMIFS(TableECFTransport[EnergieConsumptieFactor (PJ per km)],TableECFTransport[Index],CONCATENATE($A8,"_LPG_LPG"))</f>
        <v>6.8323971928028161E-5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1.8808228562169595E-2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8.744456470522799E-3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1.6998486826936541E-3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3.8696591797476257E-9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1.9753765219904793E-4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1.3661578705577939E-9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1.134227144611253E-5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1.2614326943014224E-3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1.7882354963085518E-3</v>
      </c>
      <c r="E10" s="420">
        <f>vkm_SW_PW*SUMIFS(TableVerdeelsleutelVkm[LPG],TableVerdeelsleutelVkm[Voertuigtype],"Lichte voertuigen")*SUMIFS(TableECFTransport[EnergieConsumptieFactor (PJ per km)],TableECFTransport[Index],CONCATENATE($A10,"_LPG_LPG"))</f>
        <v>8.6454293360143839E-4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0.23571502630858993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9.207098993932912E-2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2.0061435069004124E-2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4.4108920230796134E-6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0.16454752157599395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1.3279098486535426E-6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9.4480484820457129E-3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620.43281594784332</v>
      </c>
      <c r="C14" s="21"/>
      <c r="D14" s="21">
        <f t="shared" ref="D14:M14" si="0">((D5)*10^9/3600)+D12</f>
        <v>956.6537949329396</v>
      </c>
      <c r="E14" s="21">
        <f t="shared" si="0"/>
        <v>421.64842005946065</v>
      </c>
      <c r="F14" s="21"/>
      <c r="G14" s="21">
        <f t="shared" si="0"/>
        <v>206913.14399270515</v>
      </c>
      <c r="H14" s="21">
        <f t="shared" si="0"/>
        <v>48108.422985712983</v>
      </c>
      <c r="I14" s="21"/>
      <c r="J14" s="21"/>
      <c r="K14" s="21"/>
      <c r="L14" s="21"/>
      <c r="M14" s="21">
        <f t="shared" si="0"/>
        <v>15291.051012021124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0.21680734291489517</v>
      </c>
      <c r="C16" s="56">
        <f ca="1">'EF ele_warmte'!B22</f>
        <v>0.23745667214897725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134.5143902828581</v>
      </c>
      <c r="C18" s="23"/>
      <c r="D18" s="23">
        <f t="shared" ref="D18:M18" si="1">D14*D16</f>
        <v>193.2440665764538</v>
      </c>
      <c r="E18" s="23">
        <f t="shared" si="1"/>
        <v>95.714191353497569</v>
      </c>
      <c r="F18" s="23"/>
      <c r="G18" s="23">
        <f t="shared" si="1"/>
        <v>55245.809446052277</v>
      </c>
      <c r="H18" s="23">
        <f t="shared" si="1"/>
        <v>11978.997323442532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1.0599594267850754E-4</v>
      </c>
      <c r="C50" s="315">
        <f t="shared" ref="C50:P50" si="2">SUM(C51:C52)</f>
        <v>0</v>
      </c>
      <c r="D50" s="315">
        <f t="shared" si="2"/>
        <v>0</v>
      </c>
      <c r="E50" s="315">
        <f t="shared" si="2"/>
        <v>0</v>
      </c>
      <c r="F50" s="315">
        <f t="shared" si="2"/>
        <v>0</v>
      </c>
      <c r="G50" s="315">
        <f t="shared" si="2"/>
        <v>6.6356664598523022E-3</v>
      </c>
      <c r="H50" s="315">
        <f t="shared" si="2"/>
        <v>0</v>
      </c>
      <c r="I50" s="315">
        <f t="shared" si="2"/>
        <v>0</v>
      </c>
      <c r="J50" s="315">
        <f t="shared" si="2"/>
        <v>0</v>
      </c>
      <c r="K50" s="315">
        <f t="shared" si="2"/>
        <v>0</v>
      </c>
      <c r="L50" s="315">
        <f t="shared" si="2"/>
        <v>0</v>
      </c>
      <c r="M50" s="315">
        <f t="shared" si="2"/>
        <v>3.8100527521410597E-4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1.0599594267850754E-4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6.6356664598523022E-3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3.8100527521410597E-4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29.443317410696537</v>
      </c>
      <c r="C54" s="21">
        <f t="shared" ref="C54:P54" si="3">(C50)*10^9/3600</f>
        <v>0</v>
      </c>
      <c r="D54" s="21">
        <f t="shared" si="3"/>
        <v>0</v>
      </c>
      <c r="E54" s="21">
        <f t="shared" si="3"/>
        <v>0</v>
      </c>
      <c r="F54" s="21">
        <f t="shared" si="3"/>
        <v>0</v>
      </c>
      <c r="G54" s="21">
        <f t="shared" si="3"/>
        <v>1843.2406832923061</v>
      </c>
      <c r="H54" s="21">
        <f t="shared" si="3"/>
        <v>0</v>
      </c>
      <c r="I54" s="21">
        <f t="shared" si="3"/>
        <v>0</v>
      </c>
      <c r="J54" s="21">
        <f t="shared" si="3"/>
        <v>0</v>
      </c>
      <c r="K54" s="21">
        <f t="shared" si="3"/>
        <v>0</v>
      </c>
      <c r="L54" s="21">
        <f t="shared" si="3"/>
        <v>0</v>
      </c>
      <c r="M54" s="21">
        <f t="shared" si="3"/>
        <v>105.83479867058499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0.21680734291489517</v>
      </c>
      <c r="C56" s="56">
        <f ca="1">'EF ele_warmte'!B22</f>
        <v>0.23745667214897725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6.3835274144129874</v>
      </c>
      <c r="C58" s="23">
        <f t="shared" ref="C58:P58" ca="1" si="4">C54*C56</f>
        <v>0</v>
      </c>
      <c r="D58" s="23">
        <f t="shared" si="4"/>
        <v>0</v>
      </c>
      <c r="E58" s="23">
        <f t="shared" si="4"/>
        <v>0</v>
      </c>
      <c r="F58" s="23">
        <f t="shared" si="4"/>
        <v>0</v>
      </c>
      <c r="G58" s="23">
        <f t="shared" si="4"/>
        <v>492.14526243904578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5773.5174345890409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N37</f>
        <v>54485.4</v>
      </c>
      <c r="C8" s="543">
        <f>B56</f>
        <v>64049.117647058825</v>
      </c>
      <c r="D8" s="544"/>
      <c r="E8" s="544">
        <f>E56</f>
        <v>0</v>
      </c>
      <c r="F8" s="545"/>
      <c r="G8" s="546"/>
      <c r="H8" s="544">
        <f>I56</f>
        <v>0</v>
      </c>
      <c r="I8" s="544">
        <f>G56+F56</f>
        <v>0</v>
      </c>
      <c r="J8" s="544">
        <f>H56+D56+C56</f>
        <v>51.352941176470587</v>
      </c>
      <c r="K8" s="544"/>
      <c r="L8" s="544"/>
      <c r="M8" s="544"/>
      <c r="N8" s="547"/>
      <c r="O8" s="548">
        <f>C8*$C$12+D8*$D$12+E8*$E$12+F8*$F$12+G8*$G$12+H8*$H$12+I8*$I$12+J8*$J$12</f>
        <v>12937.921764705883</v>
      </c>
      <c r="P8" s="1256"/>
      <c r="Q8" s="1257"/>
      <c r="S8" s="538"/>
      <c r="T8" s="1244"/>
      <c r="U8" s="1244"/>
    </row>
    <row r="9" spans="1:21" s="529" customFormat="1" ht="17.45" customHeight="1" thickBot="1">
      <c r="A9" s="549" t="s">
        <v>237</v>
      </c>
      <c r="B9" s="550">
        <f>N44+'Eigen informatie GS &amp; warmtenet'!B12</f>
        <v>0</v>
      </c>
      <c r="C9" s="551">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60258.917434589042</v>
      </c>
      <c r="C10" s="558">
        <f t="shared" ref="C10:L10" si="0">SUM(C8:C9)</f>
        <v>64049.117647058825</v>
      </c>
      <c r="D10" s="558">
        <f t="shared" si="0"/>
        <v>0</v>
      </c>
      <c r="E10" s="558">
        <f t="shared" si="0"/>
        <v>0</v>
      </c>
      <c r="F10" s="558">
        <f t="shared" si="0"/>
        <v>0</v>
      </c>
      <c r="G10" s="558">
        <f t="shared" si="0"/>
        <v>0</v>
      </c>
      <c r="H10" s="558">
        <f t="shared" si="0"/>
        <v>0</v>
      </c>
      <c r="I10" s="558">
        <f t="shared" si="0"/>
        <v>0</v>
      </c>
      <c r="J10" s="558">
        <f t="shared" si="0"/>
        <v>51.352941176470587</v>
      </c>
      <c r="K10" s="558">
        <f t="shared" si="0"/>
        <v>0</v>
      </c>
      <c r="L10" s="558">
        <f t="shared" si="0"/>
        <v>0</v>
      </c>
      <c r="M10" s="959"/>
      <c r="N10" s="959"/>
      <c r="O10" s="559">
        <f>SUM(O4:O9)</f>
        <v>12937.921764705883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O37</f>
        <v>77836.28571428571</v>
      </c>
      <c r="C17" s="574">
        <f>B57</f>
        <v>91498.73949579832</v>
      </c>
      <c r="D17" s="575"/>
      <c r="E17" s="575">
        <f>E57</f>
        <v>0</v>
      </c>
      <c r="F17" s="576"/>
      <c r="G17" s="577"/>
      <c r="H17" s="574">
        <f>I57</f>
        <v>0</v>
      </c>
      <c r="I17" s="575">
        <f>G57+F57</f>
        <v>0</v>
      </c>
      <c r="J17" s="575">
        <f>H57+D57+C57</f>
        <v>73.361344537815114</v>
      </c>
      <c r="K17" s="575"/>
      <c r="L17" s="575"/>
      <c r="M17" s="575"/>
      <c r="N17" s="960"/>
      <c r="O17" s="578">
        <f>C17*$C$22+E17*$E$22+H17*$H$22+I17*$I$22+J17*$J$22+D17*$D$22+F17*$F$22+G17*$G$22+K17*$K$22+L17*$L$22</f>
        <v>18482.745378151263</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77836.28571428571</v>
      </c>
      <c r="C20" s="557">
        <f>SUM(C17:C19)</f>
        <v>91498.73949579832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18482.745378151263</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11037</v>
      </c>
      <c r="C28" s="785">
        <v>2840</v>
      </c>
      <c r="D28" s="635"/>
      <c r="E28" s="634"/>
      <c r="F28" s="634"/>
      <c r="G28" s="634" t="s">
        <v>868</v>
      </c>
      <c r="H28" s="634" t="s">
        <v>869</v>
      </c>
      <c r="I28" s="634"/>
      <c r="J28" s="784"/>
      <c r="K28" s="784"/>
      <c r="L28" s="634" t="s">
        <v>870</v>
      </c>
      <c r="M28" s="634">
        <v>2358</v>
      </c>
      <c r="N28" s="634">
        <v>10611</v>
      </c>
      <c r="O28" s="634">
        <v>15158.571428571429</v>
      </c>
      <c r="P28" s="634">
        <v>30317.142857142859</v>
      </c>
      <c r="Q28" s="634">
        <v>0</v>
      </c>
      <c r="R28" s="634">
        <v>0</v>
      </c>
      <c r="S28" s="634">
        <v>0</v>
      </c>
      <c r="T28" s="634">
        <v>0</v>
      </c>
      <c r="U28" s="634">
        <v>0</v>
      </c>
      <c r="V28" s="634">
        <v>0</v>
      </c>
      <c r="W28" s="634">
        <v>0</v>
      </c>
      <c r="X28" s="634">
        <v>10</v>
      </c>
      <c r="Y28" s="634" t="s">
        <v>105</v>
      </c>
      <c r="Z28" s="636" t="s">
        <v>105</v>
      </c>
    </row>
    <row r="29" spans="1:26" s="588" customFormat="1" ht="25.5" hidden="1">
      <c r="A29" s="587"/>
      <c r="B29" s="785">
        <v>11037</v>
      </c>
      <c r="C29" s="785">
        <v>2840</v>
      </c>
      <c r="D29" s="635"/>
      <c r="E29" s="634"/>
      <c r="F29" s="634"/>
      <c r="G29" s="634" t="s">
        <v>868</v>
      </c>
      <c r="H29" s="634" t="s">
        <v>869</v>
      </c>
      <c r="I29" s="634"/>
      <c r="J29" s="784"/>
      <c r="K29" s="784"/>
      <c r="L29" s="634" t="s">
        <v>870</v>
      </c>
      <c r="M29" s="634">
        <v>1944</v>
      </c>
      <c r="N29" s="634">
        <v>8748</v>
      </c>
      <c r="O29" s="634">
        <v>12497.142857142857</v>
      </c>
      <c r="P29" s="634">
        <v>24994.285714285717</v>
      </c>
      <c r="Q29" s="634">
        <v>0</v>
      </c>
      <c r="R29" s="634">
        <v>0</v>
      </c>
      <c r="S29" s="634">
        <v>0</v>
      </c>
      <c r="T29" s="634">
        <v>0</v>
      </c>
      <c r="U29" s="634">
        <v>0</v>
      </c>
      <c r="V29" s="634">
        <v>0</v>
      </c>
      <c r="W29" s="634">
        <v>0</v>
      </c>
      <c r="X29" s="634">
        <v>10</v>
      </c>
      <c r="Y29" s="634" t="s">
        <v>105</v>
      </c>
      <c r="Z29" s="636" t="s">
        <v>105</v>
      </c>
    </row>
    <row r="30" spans="1:26" s="588" customFormat="1" ht="25.5" hidden="1">
      <c r="A30" s="587"/>
      <c r="B30" s="785">
        <v>11037</v>
      </c>
      <c r="C30" s="785">
        <v>2840</v>
      </c>
      <c r="D30" s="635"/>
      <c r="E30" s="634"/>
      <c r="F30" s="634"/>
      <c r="G30" s="634" t="s">
        <v>868</v>
      </c>
      <c r="H30" s="634" t="s">
        <v>869</v>
      </c>
      <c r="I30" s="634"/>
      <c r="J30" s="784"/>
      <c r="K30" s="784"/>
      <c r="L30" s="634" t="s">
        <v>870</v>
      </c>
      <c r="M30" s="634">
        <v>2358</v>
      </c>
      <c r="N30" s="634">
        <v>10611</v>
      </c>
      <c r="O30" s="634">
        <v>15158.571428571429</v>
      </c>
      <c r="P30" s="634">
        <v>30317.142857142859</v>
      </c>
      <c r="Q30" s="634">
        <v>0</v>
      </c>
      <c r="R30" s="634">
        <v>0</v>
      </c>
      <c r="S30" s="634">
        <v>0</v>
      </c>
      <c r="T30" s="634">
        <v>0</v>
      </c>
      <c r="U30" s="634">
        <v>0</v>
      </c>
      <c r="V30" s="634">
        <v>0</v>
      </c>
      <c r="W30" s="634">
        <v>0</v>
      </c>
      <c r="X30" s="634">
        <v>10</v>
      </c>
      <c r="Y30" s="634" t="s">
        <v>105</v>
      </c>
      <c r="Z30" s="636" t="s">
        <v>105</v>
      </c>
    </row>
    <row r="31" spans="1:26" s="588" customFormat="1" ht="25.5" hidden="1">
      <c r="A31" s="587"/>
      <c r="B31" s="785">
        <v>11037</v>
      </c>
      <c r="C31" s="785">
        <v>2840</v>
      </c>
      <c r="D31" s="635"/>
      <c r="E31" s="634"/>
      <c r="F31" s="634"/>
      <c r="G31" s="634" t="s">
        <v>868</v>
      </c>
      <c r="H31" s="634" t="s">
        <v>869</v>
      </c>
      <c r="I31" s="634"/>
      <c r="J31" s="784"/>
      <c r="K31" s="784"/>
      <c r="L31" s="634" t="s">
        <v>870</v>
      </c>
      <c r="M31" s="634">
        <v>1532</v>
      </c>
      <c r="N31" s="634">
        <v>6894</v>
      </c>
      <c r="O31" s="634">
        <v>9848.5714285714294</v>
      </c>
      <c r="P31" s="634">
        <v>19697.142857142859</v>
      </c>
      <c r="Q31" s="634">
        <v>0</v>
      </c>
      <c r="R31" s="634">
        <v>0</v>
      </c>
      <c r="S31" s="634">
        <v>0</v>
      </c>
      <c r="T31" s="634">
        <v>0</v>
      </c>
      <c r="U31" s="634">
        <v>0</v>
      </c>
      <c r="V31" s="634">
        <v>0</v>
      </c>
      <c r="W31" s="634">
        <v>0</v>
      </c>
      <c r="X31" s="634">
        <v>10</v>
      </c>
      <c r="Y31" s="634" t="s">
        <v>105</v>
      </c>
      <c r="Z31" s="636" t="s">
        <v>105</v>
      </c>
    </row>
    <row r="32" spans="1:26" s="588" customFormat="1" ht="25.5" hidden="1">
      <c r="A32" s="587"/>
      <c r="B32" s="785">
        <v>11037</v>
      </c>
      <c r="C32" s="785">
        <v>2840</v>
      </c>
      <c r="D32" s="635"/>
      <c r="E32" s="634"/>
      <c r="F32" s="634"/>
      <c r="G32" s="634" t="s">
        <v>868</v>
      </c>
      <c r="H32" s="634" t="s">
        <v>869</v>
      </c>
      <c r="I32" s="634"/>
      <c r="J32" s="784"/>
      <c r="K32" s="784"/>
      <c r="L32" s="634" t="s">
        <v>870</v>
      </c>
      <c r="M32" s="634">
        <v>1532</v>
      </c>
      <c r="N32" s="634">
        <v>6894</v>
      </c>
      <c r="O32" s="634">
        <v>9848.5714285714294</v>
      </c>
      <c r="P32" s="634">
        <v>19697.142857142859</v>
      </c>
      <c r="Q32" s="634">
        <v>0</v>
      </c>
      <c r="R32" s="634">
        <v>0</v>
      </c>
      <c r="S32" s="634">
        <v>0</v>
      </c>
      <c r="T32" s="634">
        <v>0</v>
      </c>
      <c r="U32" s="634">
        <v>0</v>
      </c>
      <c r="V32" s="634">
        <v>0</v>
      </c>
      <c r="W32" s="634">
        <v>0</v>
      </c>
      <c r="X32" s="634">
        <v>10</v>
      </c>
      <c r="Y32" s="634" t="s">
        <v>105</v>
      </c>
      <c r="Z32" s="636" t="s">
        <v>105</v>
      </c>
    </row>
    <row r="33" spans="1:26" s="588" customFormat="1" ht="25.5" hidden="1">
      <c r="A33" s="587"/>
      <c r="B33" s="785">
        <v>11037</v>
      </c>
      <c r="C33" s="785">
        <v>2840</v>
      </c>
      <c r="D33" s="635"/>
      <c r="E33" s="634"/>
      <c r="F33" s="634"/>
      <c r="G33" s="634" t="s">
        <v>868</v>
      </c>
      <c r="H33" s="634" t="s">
        <v>869</v>
      </c>
      <c r="I33" s="634"/>
      <c r="J33" s="784"/>
      <c r="K33" s="784"/>
      <c r="L33" s="634" t="s">
        <v>870</v>
      </c>
      <c r="M33" s="634">
        <v>800</v>
      </c>
      <c r="N33" s="634">
        <v>3600</v>
      </c>
      <c r="O33" s="634">
        <v>5142.8571428571431</v>
      </c>
      <c r="P33" s="634">
        <v>10285.714285714286</v>
      </c>
      <c r="Q33" s="634">
        <v>0</v>
      </c>
      <c r="R33" s="634">
        <v>0</v>
      </c>
      <c r="S33" s="634">
        <v>0</v>
      </c>
      <c r="T33" s="634">
        <v>0</v>
      </c>
      <c r="U33" s="634">
        <v>0</v>
      </c>
      <c r="V33" s="634">
        <v>0</v>
      </c>
      <c r="W33" s="634">
        <v>0</v>
      </c>
      <c r="X33" s="634">
        <v>10</v>
      </c>
      <c r="Y33" s="634" t="s">
        <v>105</v>
      </c>
      <c r="Z33" s="636" t="s">
        <v>105</v>
      </c>
    </row>
    <row r="34" spans="1:26" s="588" customFormat="1" ht="25.5" hidden="1">
      <c r="A34" s="587"/>
      <c r="B34" s="785">
        <v>11037</v>
      </c>
      <c r="C34" s="785">
        <v>2840</v>
      </c>
      <c r="D34" s="635"/>
      <c r="E34" s="634"/>
      <c r="F34" s="634"/>
      <c r="G34" s="634" t="s">
        <v>868</v>
      </c>
      <c r="H34" s="634" t="s">
        <v>869</v>
      </c>
      <c r="I34" s="634"/>
      <c r="J34" s="784"/>
      <c r="K34" s="784"/>
      <c r="L34" s="634" t="s">
        <v>870</v>
      </c>
      <c r="M34" s="634">
        <v>12</v>
      </c>
      <c r="N34" s="634">
        <v>54</v>
      </c>
      <c r="O34" s="634">
        <v>77.142857142857139</v>
      </c>
      <c r="P34" s="634">
        <v>154.28571428571431</v>
      </c>
      <c r="Q34" s="634">
        <v>0</v>
      </c>
      <c r="R34" s="634">
        <v>0</v>
      </c>
      <c r="S34" s="634">
        <v>0</v>
      </c>
      <c r="T34" s="634">
        <v>0</v>
      </c>
      <c r="U34" s="634">
        <v>0</v>
      </c>
      <c r="V34" s="634">
        <v>0</v>
      </c>
      <c r="W34" s="634">
        <v>0</v>
      </c>
      <c r="X34" s="634">
        <v>10</v>
      </c>
      <c r="Y34" s="634" t="s">
        <v>105</v>
      </c>
      <c r="Z34" s="636" t="s">
        <v>105</v>
      </c>
    </row>
    <row r="35" spans="1:26" s="588" customFormat="1" ht="25.5" hidden="1">
      <c r="A35" s="587"/>
      <c r="B35" s="785">
        <v>11037</v>
      </c>
      <c r="C35" s="785">
        <v>2840</v>
      </c>
      <c r="D35" s="635"/>
      <c r="E35" s="634"/>
      <c r="F35" s="634"/>
      <c r="G35" s="634" t="s">
        <v>868</v>
      </c>
      <c r="H35" s="634" t="s">
        <v>869</v>
      </c>
      <c r="I35" s="634"/>
      <c r="J35" s="784"/>
      <c r="K35" s="784"/>
      <c r="L35" s="634" t="s">
        <v>870</v>
      </c>
      <c r="M35" s="634">
        <v>9.6999999999999993</v>
      </c>
      <c r="N35" s="634">
        <v>43.649999999999991</v>
      </c>
      <c r="O35" s="634">
        <v>62.357142857142847</v>
      </c>
      <c r="P35" s="634">
        <v>0</v>
      </c>
      <c r="Q35" s="634">
        <v>124.71428571428569</v>
      </c>
      <c r="R35" s="634">
        <v>0</v>
      </c>
      <c r="S35" s="634">
        <v>0</v>
      </c>
      <c r="T35" s="634">
        <v>0</v>
      </c>
      <c r="U35" s="634">
        <v>0</v>
      </c>
      <c r="V35" s="634">
        <v>0</v>
      </c>
      <c r="W35" s="634">
        <v>0</v>
      </c>
      <c r="X35" s="634">
        <v>10</v>
      </c>
      <c r="Y35" s="634" t="s">
        <v>105</v>
      </c>
      <c r="Z35" s="636" t="s">
        <v>105</v>
      </c>
    </row>
    <row r="36" spans="1:26" s="588" customFormat="1" ht="25.5" hidden="1">
      <c r="A36" s="587"/>
      <c r="B36" s="785">
        <v>11037</v>
      </c>
      <c r="C36" s="785">
        <v>2840</v>
      </c>
      <c r="D36" s="635"/>
      <c r="E36" s="634"/>
      <c r="F36" s="634"/>
      <c r="G36" s="634" t="s">
        <v>871</v>
      </c>
      <c r="H36" s="634" t="s">
        <v>869</v>
      </c>
      <c r="I36" s="634"/>
      <c r="J36" s="784"/>
      <c r="K36" s="784"/>
      <c r="L36" s="634" t="s">
        <v>872</v>
      </c>
      <c r="M36" s="634">
        <v>2678</v>
      </c>
      <c r="N36" s="634">
        <v>7029.75</v>
      </c>
      <c r="O36" s="634">
        <v>10042.5</v>
      </c>
      <c r="P36" s="634">
        <v>20085</v>
      </c>
      <c r="Q36" s="634">
        <v>0</v>
      </c>
      <c r="R36" s="634">
        <v>0</v>
      </c>
      <c r="S36" s="634">
        <v>0</v>
      </c>
      <c r="T36" s="634">
        <v>0</v>
      </c>
      <c r="U36" s="634">
        <v>0</v>
      </c>
      <c r="V36" s="634">
        <v>0</v>
      </c>
      <c r="W36" s="634">
        <v>0</v>
      </c>
      <c r="X36" s="634">
        <v>10</v>
      </c>
      <c r="Y36" s="634" t="s">
        <v>105</v>
      </c>
      <c r="Z36" s="636" t="s">
        <v>105</v>
      </c>
    </row>
    <row r="37" spans="1:26" s="568" customFormat="1" hidden="1">
      <c r="A37" s="590" t="s">
        <v>269</v>
      </c>
      <c r="B37" s="591"/>
      <c r="C37" s="591"/>
      <c r="D37" s="591"/>
      <c r="E37" s="591"/>
      <c r="F37" s="591"/>
      <c r="G37" s="591"/>
      <c r="H37" s="591"/>
      <c r="I37" s="591"/>
      <c r="J37" s="591"/>
      <c r="K37" s="591"/>
      <c r="L37" s="592"/>
      <c r="M37" s="592">
        <f>SUM(M28:M36)</f>
        <v>13223.7</v>
      </c>
      <c r="N37" s="592">
        <f>SUM(N28:N36)</f>
        <v>54485.4</v>
      </c>
      <c r="O37" s="592">
        <f>SUM(O28:O36)</f>
        <v>77836.28571428571</v>
      </c>
      <c r="P37" s="592">
        <f>SUM(P28:P36)</f>
        <v>155547.85714285713</v>
      </c>
      <c r="Q37" s="592">
        <f>SUM(Q28:Q36)</f>
        <v>124.71428571428569</v>
      </c>
      <c r="R37" s="592">
        <f>SUM(R28:R36)</f>
        <v>0</v>
      </c>
      <c r="S37" s="592">
        <f>SUM(S28:S36)</f>
        <v>0</v>
      </c>
      <c r="T37" s="592">
        <f>SUM(T28:T36)</f>
        <v>0</v>
      </c>
      <c r="U37" s="592">
        <f>SUM(U28:U36)</f>
        <v>0</v>
      </c>
      <c r="V37" s="592">
        <f>SUM(V28:V36)</f>
        <v>0</v>
      </c>
      <c r="W37" s="592">
        <f>SUM(W28:W36)</f>
        <v>0</v>
      </c>
      <c r="X37" s="593"/>
      <c r="Y37" s="593"/>
      <c r="Z37" s="594"/>
    </row>
    <row r="38" spans="1:26" s="568" customFormat="1">
      <c r="A38" s="590" t="s">
        <v>276</v>
      </c>
      <c r="B38" s="591"/>
      <c r="C38" s="591"/>
      <c r="D38" s="591"/>
      <c r="E38" s="591"/>
      <c r="F38" s="591"/>
      <c r="G38" s="591"/>
      <c r="H38" s="591"/>
      <c r="I38" s="591"/>
      <c r="J38" s="591"/>
      <c r="K38" s="591"/>
      <c r="L38" s="592"/>
      <c r="M38" s="592">
        <f>SUMIF($Z$28:$Z$36,"industrie",M28:M36)</f>
        <v>0</v>
      </c>
      <c r="N38" s="592">
        <f>SUMIF($Z$28:$Z$36,"industrie",N28:N36)</f>
        <v>0</v>
      </c>
      <c r="O38" s="592">
        <f>SUMIF($Z$28:$Z$36,"industrie",O28:O36)</f>
        <v>0</v>
      </c>
      <c r="P38" s="592">
        <f>SUMIF($Z$28:$Z$36,"industrie",P28:P36)</f>
        <v>0</v>
      </c>
      <c r="Q38" s="592">
        <f>SUMIF($Z$28:$Z$36,"industrie",Q28:Q36)</f>
        <v>0</v>
      </c>
      <c r="R38" s="592">
        <f>SUMIF($Z$28:$Z$36,"industrie",R28:R36)</f>
        <v>0</v>
      </c>
      <c r="S38" s="592">
        <f>SUMIF($Z$28:$Z$36,"industrie",S28:S36)</f>
        <v>0</v>
      </c>
      <c r="T38" s="592">
        <f>SUMIF($Z$28:$Z$36,"industrie",T28:T36)</f>
        <v>0</v>
      </c>
      <c r="U38" s="592">
        <f>SUMIF($Z$28:$Z$36,"industrie",U28:U36)</f>
        <v>0</v>
      </c>
      <c r="V38" s="592">
        <f>SUMIF($Z$28:$Z$36,"industrie",V28:V36)</f>
        <v>0</v>
      </c>
      <c r="W38" s="592">
        <f>SUMIF($Z$28:$Z$36,"industrie",W28:W36)</f>
        <v>0</v>
      </c>
      <c r="X38" s="593"/>
      <c r="Y38" s="593"/>
      <c r="Z38" s="594"/>
    </row>
    <row r="39" spans="1:26" s="568" customFormat="1">
      <c r="A39" s="590" t="s">
        <v>277</v>
      </c>
      <c r="B39" s="591"/>
      <c r="C39" s="591"/>
      <c r="D39" s="591"/>
      <c r="E39" s="591"/>
      <c r="F39" s="591"/>
      <c r="G39" s="591"/>
      <c r="H39" s="591"/>
      <c r="I39" s="591"/>
      <c r="J39" s="591"/>
      <c r="K39" s="591"/>
      <c r="L39" s="592"/>
      <c r="M39" s="592">
        <f ca="1">SUMIF($Z$28:AC36,"tertiair",M28:M36)</f>
        <v>0</v>
      </c>
      <c r="N39" s="592">
        <f ca="1">SUMIF($Z$28:AD36,"tertiair",N28:N36)</f>
        <v>0</v>
      </c>
      <c r="O39" s="592">
        <f ca="1">SUMIF($Z$28:AE36,"tertiair",O28:O36)</f>
        <v>0</v>
      </c>
      <c r="P39" s="592">
        <f ca="1">SUMIF($Z$28:AF36,"tertiair",P28:P36)</f>
        <v>0</v>
      </c>
      <c r="Q39" s="592">
        <f ca="1">SUMIF($Z$28:AG36,"tertiair",Q28:Q36)</f>
        <v>0</v>
      </c>
      <c r="R39" s="592">
        <f ca="1">SUMIF($Z$28:AH36,"tertiair",R28:R36)</f>
        <v>0</v>
      </c>
      <c r="S39" s="592">
        <f ca="1">SUMIF($Z$28:AI36,"tertiair",S28:S36)</f>
        <v>0</v>
      </c>
      <c r="T39" s="592">
        <f ca="1">SUMIF($Z$28:AJ36,"tertiair",T28:T36)</f>
        <v>0</v>
      </c>
      <c r="U39" s="592">
        <f ca="1">SUMIF($Z$28:AK36,"tertiair",U28:U36)</f>
        <v>0</v>
      </c>
      <c r="V39" s="592">
        <f ca="1">SUMIF($Z$28:AL36,"tertiair",V28:V36)</f>
        <v>0</v>
      </c>
      <c r="W39" s="592">
        <f ca="1">SUMIF($Z$28:AM36,"tertiair",W28:W36)</f>
        <v>0</v>
      </c>
      <c r="X39" s="593"/>
      <c r="Y39" s="593"/>
      <c r="Z39" s="594"/>
    </row>
    <row r="40" spans="1:26" s="568" customFormat="1" ht="15.75" thickBot="1">
      <c r="A40" s="595" t="s">
        <v>278</v>
      </c>
      <c r="B40" s="596"/>
      <c r="C40" s="596"/>
      <c r="D40" s="596"/>
      <c r="E40" s="596"/>
      <c r="F40" s="596"/>
      <c r="G40" s="596"/>
      <c r="H40" s="596"/>
      <c r="I40" s="596"/>
      <c r="J40" s="596"/>
      <c r="K40" s="596"/>
      <c r="L40" s="597"/>
      <c r="M40" s="597">
        <f>SUMIF($Z$28:$Z$36,"landbouw",M28:M36)</f>
        <v>13223.7</v>
      </c>
      <c r="N40" s="597">
        <f>SUMIF($Z$28:$Z$36,"landbouw",N28:N36)</f>
        <v>54485.4</v>
      </c>
      <c r="O40" s="597">
        <f>SUMIF($Z$28:$Z$36,"landbouw",O28:O36)</f>
        <v>77836.28571428571</v>
      </c>
      <c r="P40" s="597">
        <f>SUMIF($Z$28:$Z$36,"landbouw",P28:P36)</f>
        <v>155547.85714285713</v>
      </c>
      <c r="Q40" s="597">
        <f>SUMIF($Z$28:$Z$36,"landbouw",Q28:Q36)</f>
        <v>124.71428571428569</v>
      </c>
      <c r="R40" s="597">
        <f>SUMIF($Z$28:$Z$36,"landbouw",R28:R36)</f>
        <v>0</v>
      </c>
      <c r="S40" s="597">
        <f>SUMIF($Z$28:$Z$36,"landbouw",S28:S36)</f>
        <v>0</v>
      </c>
      <c r="T40" s="597">
        <f>SUMIF($Z$28:$Z$36,"landbouw",T28:T36)</f>
        <v>0</v>
      </c>
      <c r="U40" s="597">
        <f>SUMIF($Z$28:$Z$36,"landbouw",U28:U36)</f>
        <v>0</v>
      </c>
      <c r="V40" s="597">
        <f>SUMIF($Z$28:$Z$36,"landbouw",V28:V36)</f>
        <v>0</v>
      </c>
      <c r="W40" s="597">
        <f>SUMIF($Z$28:$Z$36,"landbouw",W28:W36)</f>
        <v>0</v>
      </c>
      <c r="X40" s="598"/>
      <c r="Y40" s="598"/>
      <c r="Z40" s="599"/>
    </row>
    <row r="41" spans="1:26" s="529" customFormat="1" ht="15.75" thickBot="1">
      <c r="A41" s="600"/>
      <c r="B41" s="601"/>
      <c r="C41" s="601"/>
      <c r="D41" s="601"/>
      <c r="E41" s="601"/>
      <c r="F41" s="601"/>
      <c r="G41" s="601"/>
      <c r="H41" s="601"/>
      <c r="I41" s="601"/>
      <c r="J41" s="601"/>
      <c r="K41" s="601"/>
      <c r="L41" s="584"/>
      <c r="M41" s="584"/>
      <c r="N41" s="584"/>
      <c r="O41" s="585"/>
      <c r="P41" s="585"/>
    </row>
    <row r="42" spans="1:26" s="529" customFormat="1" ht="45">
      <c r="A42" s="602" t="s">
        <v>270</v>
      </c>
      <c r="B42" s="631" t="s">
        <v>89</v>
      </c>
      <c r="C42" s="631" t="s">
        <v>90</v>
      </c>
      <c r="D42" s="631"/>
      <c r="E42" s="631"/>
      <c r="F42" s="631"/>
      <c r="G42" s="631" t="s">
        <v>91</v>
      </c>
      <c r="H42" s="631" t="s">
        <v>92</v>
      </c>
      <c r="I42" s="631"/>
      <c r="J42" s="631"/>
      <c r="K42" s="631"/>
      <c r="L42" s="631" t="s">
        <v>93</v>
      </c>
      <c r="M42" s="632" t="s">
        <v>287</v>
      </c>
      <c r="N42" s="632" t="s">
        <v>94</v>
      </c>
      <c r="O42" s="632" t="s">
        <v>95</v>
      </c>
      <c r="P42" s="632" t="s">
        <v>511</v>
      </c>
      <c r="Q42" s="632" t="s">
        <v>96</v>
      </c>
      <c r="R42" s="632" t="s">
        <v>97</v>
      </c>
      <c r="S42" s="632" t="s">
        <v>98</v>
      </c>
      <c r="T42" s="632" t="s">
        <v>99</v>
      </c>
      <c r="U42" s="632" t="s">
        <v>100</v>
      </c>
      <c r="V42" s="632" t="s">
        <v>101</v>
      </c>
      <c r="W42" s="631" t="s">
        <v>102</v>
      </c>
      <c r="X42" s="631" t="s">
        <v>288</v>
      </c>
      <c r="Y42" s="631" t="s">
        <v>103</v>
      </c>
      <c r="Z42" s="633" t="s">
        <v>289</v>
      </c>
    </row>
    <row r="43" spans="1:26" s="603" customFormat="1" ht="12.75" hidden="1">
      <c r="A43" s="589"/>
      <c r="B43" s="785"/>
      <c r="C43" s="785"/>
      <c r="D43" s="637"/>
      <c r="E43" s="637"/>
      <c r="F43" s="637"/>
      <c r="G43" s="637"/>
      <c r="H43" s="637"/>
      <c r="I43" s="637"/>
      <c r="J43" s="784"/>
      <c r="K43" s="784"/>
      <c r="L43" s="637"/>
      <c r="M43" s="637"/>
      <c r="N43" s="637"/>
      <c r="O43" s="637"/>
      <c r="P43" s="637"/>
      <c r="Q43" s="637"/>
      <c r="R43" s="637"/>
      <c r="S43" s="637"/>
      <c r="T43" s="637"/>
      <c r="U43" s="637"/>
      <c r="V43" s="637"/>
      <c r="W43" s="637"/>
      <c r="X43" s="637"/>
      <c r="Y43" s="637"/>
      <c r="Z43" s="638"/>
    </row>
    <row r="44" spans="1:26" s="568" customFormat="1" hidden="1">
      <c r="A44" s="590" t="s">
        <v>269</v>
      </c>
      <c r="B44" s="591"/>
      <c r="C44" s="591"/>
      <c r="D44" s="591"/>
      <c r="E44" s="591"/>
      <c r="F44" s="591"/>
      <c r="G44" s="591"/>
      <c r="H44" s="591"/>
      <c r="I44" s="591"/>
      <c r="J44" s="591"/>
      <c r="K44" s="591"/>
      <c r="L44" s="592"/>
      <c r="M44" s="592">
        <f>SUM(M43:M43)</f>
        <v>0</v>
      </c>
      <c r="N44" s="592">
        <f>SUM(N43:N43)</f>
        <v>0</v>
      </c>
      <c r="O44" s="592">
        <f>SUM(O43:O43)</f>
        <v>0</v>
      </c>
      <c r="P44" s="592">
        <f>SUM(P43:P43)</f>
        <v>0</v>
      </c>
      <c r="Q44" s="592">
        <f>SUM(Q43:Q43)</f>
        <v>0</v>
      </c>
      <c r="R44" s="592">
        <f>SUM(R43:R43)</f>
        <v>0</v>
      </c>
      <c r="S44" s="592">
        <f>SUM(S43:S43)</f>
        <v>0</v>
      </c>
      <c r="T44" s="592">
        <f>SUM(T43:T43)</f>
        <v>0</v>
      </c>
      <c r="U44" s="592">
        <f>SUM(U43:U43)</f>
        <v>0</v>
      </c>
      <c r="V44" s="592">
        <f>SUM(V43:V43)</f>
        <v>0</v>
      </c>
      <c r="W44" s="592">
        <f>SUM(W43:W43)</f>
        <v>0</v>
      </c>
      <c r="X44" s="593"/>
      <c r="Y44" s="593"/>
      <c r="Z44" s="594"/>
    </row>
    <row r="45" spans="1:26" s="568" customFormat="1">
      <c r="A45" s="590" t="s">
        <v>276</v>
      </c>
      <c r="B45" s="591"/>
      <c r="C45" s="591"/>
      <c r="D45" s="591"/>
      <c r="E45" s="591"/>
      <c r="F45" s="591"/>
      <c r="G45" s="591"/>
      <c r="H45" s="591"/>
      <c r="I45" s="591"/>
      <c r="J45" s="591"/>
      <c r="K45" s="591"/>
      <c r="L45" s="592"/>
      <c r="M45" s="592">
        <f>SUMIF($Z$43:$Z$43,"industrie",M43:M43)</f>
        <v>0</v>
      </c>
      <c r="N45" s="592">
        <f>SUMIF($Z$43:$Z$43,"industrie",N43:N43)</f>
        <v>0</v>
      </c>
      <c r="O45" s="592">
        <f>SUMIF($Z$43:$Z$43,"industrie",O43:O43)</f>
        <v>0</v>
      </c>
      <c r="P45" s="592">
        <f>SUMIF($Z$43:$Z$43,"industrie",P43:P43)</f>
        <v>0</v>
      </c>
      <c r="Q45" s="592">
        <f>SUMIF($Z$43:$Z$43,"industrie",Q43:Q43)</f>
        <v>0</v>
      </c>
      <c r="R45" s="592">
        <f>SUMIF($Z$43:$Z$43,"industrie",R43:R43)</f>
        <v>0</v>
      </c>
      <c r="S45" s="592">
        <f>SUMIF($Z$43:$Z$43,"industrie",S43:S43)</f>
        <v>0</v>
      </c>
      <c r="T45" s="592">
        <f>SUMIF($Z$43:$Z$43,"industrie",T43:T43)</f>
        <v>0</v>
      </c>
      <c r="U45" s="592">
        <f>SUMIF($Z$43:$Z$43,"industrie",U43:U43)</f>
        <v>0</v>
      </c>
      <c r="V45" s="592">
        <f>SUMIF($Z$43:$Z$43,"industrie",V43:V43)</f>
        <v>0</v>
      </c>
      <c r="W45" s="592">
        <f>SUMIF($Z$43:$Z$43,"industrie",W43:W43)</f>
        <v>0</v>
      </c>
      <c r="X45" s="593"/>
      <c r="Y45" s="593"/>
      <c r="Z45" s="594"/>
    </row>
    <row r="46" spans="1:26" s="568" customFormat="1">
      <c r="A46" s="590" t="s">
        <v>277</v>
      </c>
      <c r="B46" s="591"/>
      <c r="C46" s="591"/>
      <c r="D46" s="591"/>
      <c r="E46" s="591"/>
      <c r="F46" s="591"/>
      <c r="G46" s="591"/>
      <c r="H46" s="591"/>
      <c r="I46" s="591"/>
      <c r="J46" s="591"/>
      <c r="K46" s="591"/>
      <c r="L46" s="592"/>
      <c r="M46" s="592">
        <f>SUMIF($Z$43:$Z$44,"tertiair",M43:M44)</f>
        <v>0</v>
      </c>
      <c r="N46" s="592">
        <f>SUMIF($Z$43:$Z$44,"tertiair",N43:N44)</f>
        <v>0</v>
      </c>
      <c r="O46" s="592">
        <f>SUMIF($Z$43:$Z$44,"tertiair",O43:O44)</f>
        <v>0</v>
      </c>
      <c r="P46" s="592">
        <f>SUMIF($Z$43:$Z$44,"tertiair",P43:P44)</f>
        <v>0</v>
      </c>
      <c r="Q46" s="592">
        <f>SUMIF($Z$43:$Z$44,"tertiair",Q43:Q44)</f>
        <v>0</v>
      </c>
      <c r="R46" s="592">
        <f>SUMIF($Z$43:$Z$44,"tertiair",R43:R44)</f>
        <v>0</v>
      </c>
      <c r="S46" s="592">
        <f>SUMIF($Z$43:$Z$44,"tertiair",S43:S44)</f>
        <v>0</v>
      </c>
      <c r="T46" s="592">
        <f>SUMIF($Z$43:$Z$44,"tertiair",T43:T44)</f>
        <v>0</v>
      </c>
      <c r="U46" s="592">
        <f>SUMIF($Z$43:$Z$44,"tertiair",U43:U44)</f>
        <v>0</v>
      </c>
      <c r="V46" s="592">
        <f>SUMIF($Z$43:$Z$44,"tertiair",V43:V44)</f>
        <v>0</v>
      </c>
      <c r="W46" s="592">
        <f>SUMIF($Z$43:$Z$44,"tertiair",W43:W44)</f>
        <v>0</v>
      </c>
      <c r="X46" s="593"/>
      <c r="Y46" s="593"/>
      <c r="Z46" s="594"/>
    </row>
    <row r="47" spans="1:26" s="568" customFormat="1" ht="15.75" thickBot="1">
      <c r="A47" s="595" t="s">
        <v>278</v>
      </c>
      <c r="B47" s="596"/>
      <c r="C47" s="596"/>
      <c r="D47" s="596"/>
      <c r="E47" s="596"/>
      <c r="F47" s="596"/>
      <c r="G47" s="596"/>
      <c r="H47" s="596"/>
      <c r="I47" s="596"/>
      <c r="J47" s="596"/>
      <c r="K47" s="596"/>
      <c r="L47" s="597"/>
      <c r="M47" s="597">
        <f>SUMIF($Z$43:$Z$45,"landbouw",M43:M45)</f>
        <v>0</v>
      </c>
      <c r="N47" s="597">
        <f>SUMIF($Z$43:$Z$45,"landbouw",N43:N45)</f>
        <v>0</v>
      </c>
      <c r="O47" s="597">
        <f>SUMIF($Z$43:$Z$45,"landbouw",O43:O45)</f>
        <v>0</v>
      </c>
      <c r="P47" s="597">
        <f>SUMIF($Z$43:$Z$45,"landbouw",P43:P45)</f>
        <v>0</v>
      </c>
      <c r="Q47" s="597">
        <f>SUMIF($Z$43:$Z$45,"landbouw",Q43:Q45)</f>
        <v>0</v>
      </c>
      <c r="R47" s="597">
        <f>SUMIF($Z$43:$Z$45,"landbouw",R43:R45)</f>
        <v>0</v>
      </c>
      <c r="S47" s="597">
        <f>SUMIF($Z$43:$Z$45,"landbouw",S43:S45)</f>
        <v>0</v>
      </c>
      <c r="T47" s="597">
        <f>SUMIF($Z$43:$Z$45,"landbouw",T43:T45)</f>
        <v>0</v>
      </c>
      <c r="U47" s="597">
        <f>SUMIF($Z$43:$Z$45,"landbouw",U43:U45)</f>
        <v>0</v>
      </c>
      <c r="V47" s="597">
        <f>SUMIF($Z$43:$Z$45,"landbouw",V43:V45)</f>
        <v>0</v>
      </c>
      <c r="W47" s="597">
        <f>SUMIF($Z$43:$Z$45,"landbouw",W43:W45)</f>
        <v>0</v>
      </c>
      <c r="X47" s="598"/>
      <c r="Y47" s="598"/>
      <c r="Z47" s="599"/>
    </row>
    <row r="48" spans="1:26" s="604" customFormat="1">
      <c r="A48" s="600"/>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row>
    <row r="49" spans="1:27" s="604" customFormat="1" ht="15.75" thickBot="1">
      <c r="A49" s="600"/>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row>
    <row r="50" spans="1:27">
      <c r="A50" s="605" t="s">
        <v>271</v>
      </c>
      <c r="B50" s="606"/>
      <c r="C50" s="606"/>
      <c r="D50" s="606"/>
      <c r="E50" s="606"/>
      <c r="F50" s="606"/>
      <c r="G50" s="606"/>
      <c r="H50" s="606"/>
      <c r="I50" s="607"/>
      <c r="J50" s="608"/>
      <c r="K50" s="608"/>
      <c r="L50" s="609"/>
      <c r="M50" s="609"/>
      <c r="N50" s="609"/>
      <c r="O50" s="609"/>
      <c r="P50" s="609"/>
    </row>
    <row r="51" spans="1:27">
      <c r="A51" s="611"/>
      <c r="B51" s="601"/>
      <c r="C51" s="601"/>
      <c r="D51" s="601"/>
      <c r="E51" s="601"/>
      <c r="F51" s="601"/>
      <c r="G51" s="601"/>
      <c r="H51" s="601"/>
      <c r="I51" s="612"/>
      <c r="J51" s="601"/>
      <c r="K51" s="601"/>
      <c r="L51" s="609"/>
      <c r="M51" s="609"/>
      <c r="N51" s="609"/>
      <c r="O51" s="609"/>
      <c r="P51" s="609"/>
    </row>
    <row r="52" spans="1:27">
      <c r="A52" s="613"/>
      <c r="B52" s="614" t="s">
        <v>272</v>
      </c>
      <c r="C52" s="614" t="s">
        <v>273</v>
      </c>
      <c r="D52" s="614"/>
      <c r="E52" s="614"/>
      <c r="F52" s="614"/>
      <c r="G52" s="614"/>
      <c r="H52" s="614"/>
      <c r="I52" s="615"/>
      <c r="J52" s="614"/>
      <c r="K52" s="614"/>
      <c r="L52" s="614"/>
      <c r="M52" s="614"/>
      <c r="N52" s="614"/>
      <c r="O52" s="614"/>
      <c r="P52" s="609"/>
    </row>
    <row r="53" spans="1:27">
      <c r="A53" s="611" t="s">
        <v>269</v>
      </c>
      <c r="B53" s="616">
        <f>IF(ISERROR(O37/(O37+N37)),0,O37/(O37+N37))</f>
        <v>0.58823529411764708</v>
      </c>
      <c r="C53" s="617">
        <f>IF(ISERROR(N37/(O37+N37)),0,N37/(N37+O37))</f>
        <v>0.41176470588235298</v>
      </c>
      <c r="D53" s="584"/>
      <c r="E53" s="584"/>
      <c r="F53" s="584"/>
      <c r="G53" s="584"/>
      <c r="H53" s="584"/>
      <c r="I53" s="618"/>
      <c r="J53" s="584"/>
      <c r="K53" s="584"/>
      <c r="L53" s="619"/>
      <c r="M53" s="619"/>
      <c r="N53" s="619"/>
      <c r="O53" s="619"/>
      <c r="P53" s="609"/>
    </row>
    <row r="54" spans="1:27">
      <c r="A54" s="611"/>
      <c r="B54" s="620"/>
      <c r="C54" s="620"/>
      <c r="D54" s="620"/>
      <c r="E54" s="620"/>
      <c r="F54" s="620"/>
      <c r="G54" s="620"/>
      <c r="H54" s="620"/>
      <c r="I54" s="621"/>
      <c r="J54" s="620"/>
      <c r="K54" s="620"/>
      <c r="L54" s="622"/>
      <c r="M54" s="622"/>
      <c r="N54" s="622"/>
      <c r="O54" s="622"/>
      <c r="P54" s="609"/>
    </row>
    <row r="55" spans="1:27" ht="30">
      <c r="A55" s="623"/>
      <c r="B55" s="624" t="s">
        <v>511</v>
      </c>
      <c r="C55" s="624" t="s">
        <v>96</v>
      </c>
      <c r="D55" s="624" t="s">
        <v>97</v>
      </c>
      <c r="E55" s="624" t="s">
        <v>98</v>
      </c>
      <c r="F55" s="624" t="s">
        <v>99</v>
      </c>
      <c r="G55" s="624" t="s">
        <v>100</v>
      </c>
      <c r="H55" s="624" t="s">
        <v>101</v>
      </c>
      <c r="I55" s="625" t="s">
        <v>102</v>
      </c>
      <c r="J55" s="614"/>
      <c r="K55" s="614"/>
      <c r="L55" s="622"/>
      <c r="M55" s="622"/>
      <c r="N55" s="622"/>
      <c r="O55" s="609"/>
      <c r="P55" s="609"/>
    </row>
    <row r="56" spans="1:27">
      <c r="A56" s="613" t="s">
        <v>274</v>
      </c>
      <c r="B56" s="626">
        <f t="shared" ref="B56:I56" si="2">$C$53*P37</f>
        <v>64049.117647058825</v>
      </c>
      <c r="C56" s="626">
        <f t="shared" si="2"/>
        <v>51.352941176470587</v>
      </c>
      <c r="D56" s="626">
        <f t="shared" si="2"/>
        <v>0</v>
      </c>
      <c r="E56" s="626">
        <f t="shared" si="2"/>
        <v>0</v>
      </c>
      <c r="F56" s="626">
        <f t="shared" si="2"/>
        <v>0</v>
      </c>
      <c r="G56" s="626">
        <f t="shared" si="2"/>
        <v>0</v>
      </c>
      <c r="H56" s="626">
        <f t="shared" si="2"/>
        <v>0</v>
      </c>
      <c r="I56" s="627">
        <f t="shared" si="2"/>
        <v>0</v>
      </c>
      <c r="J56" s="584"/>
      <c r="K56" s="584"/>
      <c r="L56" s="622"/>
      <c r="M56" s="622"/>
      <c r="N56" s="622"/>
      <c r="O56" s="609"/>
      <c r="P56" s="609"/>
    </row>
    <row r="57" spans="1:27" ht="15.75" thickBot="1">
      <c r="A57" s="628" t="s">
        <v>275</v>
      </c>
      <c r="B57" s="629">
        <f t="shared" ref="B57:I57" si="3">$B$53*P37</f>
        <v>91498.73949579832</v>
      </c>
      <c r="C57" s="629">
        <f t="shared" si="3"/>
        <v>73.361344537815114</v>
      </c>
      <c r="D57" s="629">
        <f t="shared" si="3"/>
        <v>0</v>
      </c>
      <c r="E57" s="629">
        <f t="shared" si="3"/>
        <v>0</v>
      </c>
      <c r="F57" s="629">
        <f t="shared" si="3"/>
        <v>0</v>
      </c>
      <c r="G57" s="629">
        <f t="shared" si="3"/>
        <v>0</v>
      </c>
      <c r="H57" s="629">
        <f t="shared" si="3"/>
        <v>0</v>
      </c>
      <c r="I57" s="630">
        <f t="shared" si="3"/>
        <v>0</v>
      </c>
      <c r="J57" s="584"/>
      <c r="K57" s="584"/>
      <c r="L57" s="622"/>
      <c r="M57" s="622"/>
      <c r="N57" s="622"/>
      <c r="O57" s="609"/>
      <c r="P57" s="609"/>
    </row>
    <row r="58" spans="1:27">
      <c r="J58" s="564"/>
      <c r="K58" s="564"/>
      <c r="L58" s="564"/>
      <c r="M58" s="564"/>
      <c r="N58" s="564"/>
    </row>
    <row r="59" spans="1:27">
      <c r="J59" s="564"/>
      <c r="K59" s="564"/>
      <c r="L59" s="564"/>
      <c r="M59" s="564"/>
      <c r="N59"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2021-11-11T12:12:29Z</dcterms:modified>
</cp:coreProperties>
</file>