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F954785F-9EC9-490C-A99E-C0FD101741F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<sst xmlns="http://schemas.openxmlformats.org/spreadsheetml/2006/main" count="2427" uniqueCount="871">
  <si>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</si>
  <si>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</si>
  <si>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</si>
  <si>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</si>
  <si>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</si>
  <si>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</si>
  <si>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</si>
  <si>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</si>
  <si>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</si>
  <si>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</si>
  <si>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</si>
  <si>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</si>
  <si>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</si>
  <si>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</si>
  <si>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</si>
  <si>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</si>
  <si>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</si>
  <si>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</si>
  <si>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</si>
  <si>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</si>
  <si>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</si>
  <si>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</si>
  <si>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</si>
  <si>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</si>
  <si>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</si>
  <si>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</si>
  <si>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</si>
  <si>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</si>
  <si>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</si>
  <si>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</si>
  <si>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</si>
  <si>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</si>
  <si>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</si>
  <si>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</si>
  <si>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</si>
  <si>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</si>
  <si>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</si>
  <si>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</si>
  <si>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</si>
  <si>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</si>
  <si>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</si>
  <si>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</si>
  <si>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</si>
  <si>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</si>
  <si>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</si>
  <si>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</si>
  <si>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</si>
  <si>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</si>
  <si>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</si>
  <si>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</si>
  <si>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</si>
  <si>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</si>
  <si>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</si>
  <si>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</si>
  <si>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</si>
  <si>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</si>
  <si>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</si>
  <si>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</si>
  <si>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</si>
  <si>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</si>
  <si>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</si>
  <si>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</si>
  <si>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</si>
  <si>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</si>
  <si>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</si>
  <si>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</si>
  <si>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</si>
  <si>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</si>
  <si>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</si>
  <si>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</si>
  <si>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</si>
  <si>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</si>
  <si>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</si>
  <si>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</si>
  <si>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</si>
  <si>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</si>
  <si>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</si>
  <si>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</si>
  <si>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</si>
  <si>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</si>
  <si>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</si>
  <si>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</si>
  <si>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</si>
  <si>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</si>
  <si>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</si>
  <si>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</si>
  <si>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</si>
  <si>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</si>
  <si>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</si>
  <si>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</si>
  <si>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</si>
  <si>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</si>
  <si>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</si>
  <si>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</si>
  <si>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</si>
  <si>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</si>
  <si>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</si>
  <si>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</si>
  <si>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</si>
  <si>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</si>
  <si>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</si>
  <si>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</si>
  <si>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</si>
  <si>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</si>
  <si>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</si>
  <si>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</si>
  <si>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</si>
  <si>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</si>
  <si>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</si>
  <si>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</si>
  <si>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</si>
  <si>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</si>
  <si>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</si>
  <si>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</si>
  <si>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</si>
  <si>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</si>
  <si>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</si>
  <si>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</si>
  <si>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</si>
  <si>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</si>
  <si>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</si>
  <si>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</si>
  <si>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</si>
  <si>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</si>
  <si>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</si>
  <si>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</si>
  <si>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</si>
  <si>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</si>
  <si>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</si>
  <si>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</si>
  <si>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</si>
  <si>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</si>
  <si>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</si>
  <si>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</si>
  <si>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</si>
  <si>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</si>
  <si>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</si>
  <si>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</si>
  <si>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</si>
  <si>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</si>
  <si>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</si>
  <si>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</si>
  <si>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</si>
  <si>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</si>
  <si>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</si>
  <si>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</si>
  <si>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</si>
  <si>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</si>
  <si>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</si>
  <si>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</si>
  <si>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</si>
  <si>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</si>
  <si>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</si>
  <si>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</si>
  <si>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</si>
  <si>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</si>
  <si>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</si>
  <si>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</si>
  <si>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</si>
  <si>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</si>
  <si>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</si>
  <si>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</si>
  <si>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</si>
  <si>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</si>
  <si>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</si>
  <si>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</si>
  <si>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</si>
  <si>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</si>
  <si>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</si>
  <si>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</si>
  <si>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</si>
  <si>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</si>
  <si>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</si>
  <si>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</si>
  <si>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</si>
  <si>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</si>
  <si>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</si>
  <si>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</si>
  <si>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</si>
  <si>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</si>
  <si>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</si>
  <si>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</si>
  <si>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</si>
  <si>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</si>
  <si>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</si>
  <si>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</si>
  <si>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</si>
  <si>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</si>
  <si>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</si>
  <si>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</si>
  <si>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</si>
  <si>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</si>
  <si>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</si>
  <si>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</si>
  <si>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</si>
  <si>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</si>
  <si>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</si>
  <si>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</si>
  <si>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</si>
  <si>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</si>
  <si>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</si>
  <si>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</si>
  <si>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</si>
  <si>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</si>
  <si>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</si>
  <si>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</si>
  <si>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</si>
  <si>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</si>
  <si>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</si>
  <si>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</si>
  <si>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</si>
  <si>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</si>
  <si>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</si>
  <si>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</si>
  <si>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</si>
  <si>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</si>
  <si>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</si>
  <si>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</si>
  <si>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</si>
  <si>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</si>
  <si>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</si>
  <si>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</si>
  <si>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</si>
  <si>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</si>
  <si>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</si>
  <si>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</si>
  <si>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</si>
  <si>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</si>
  <si>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</si>
  <si>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</si>
  <si>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</si>
  <si>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</si>
  <si>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</si>
  <si>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</si>
  <si>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</si>
  <si>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</si>
  <si>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</si>
  <si>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</si>
  <si>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</si>
  <si>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</si>
  <si>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</si>
  <si>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</si>
  <si>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</si>
  <si>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</si>
  <si>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</si>
  <si>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</si>
  <si>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</si>
  <si>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</si>
  <si>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</si>
  <si>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</si>
  <si>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</si>
  <si>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</si>
  <si>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</si>
  <si>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</si>
  <si>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</si>
  <si>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</si>
  <si>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</si>
  <si>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</si>
  <si>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</si>
  <si>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</si>
  <si>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</si>
  <si>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</si>
  <si>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</si>
  <si>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</si>
  <si>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</si>
  <si>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</si>
  <si>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</si>
  <si>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</si>
  <si>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</si>
  <si>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</si>
  <si>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</si>
  <si>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</si>
  <si>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</si>
  <si>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</si>
  <si>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</si>
  <si>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</si>
  <si>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</si>
  <si>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</si>
  <si>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</si>
  <si>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</si>
  <si>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</si>
  <si>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</si>
  <si>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</si>
  <si>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</si>
  <si>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</si>
  <si>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</si>
  <si>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</si>
  <si>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</si>
  <si>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</si>
  <si>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</si>
  <si>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</si>
  <si>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</si>
  <si>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</si>
  <si>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</si>
  <si>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</si>
  <si>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</si>
  <si>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</si>
  <si>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</si>
  <si>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</si>
  <si>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</si>
  <si>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</si>
  <si>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</si>
  <si>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</si>
  <si>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</si>
  <si>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</si>
  <si>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</si>
  <si>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</si>
  <si>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</si>
  <si>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</si>
  <si>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</si>
  <si>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</si>
  <si>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</si>
  <si>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</si>
  <si>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</si>
  <si>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</si>
  <si>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</si>
  <si>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</si>
  <si>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</si>
  <si>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</si>
  <si>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</si>
  <si>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</si>
  <si>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</si>
  <si>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</si>
  <si>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</si>
  <si>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</si>
  <si>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</si>
  <si>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</si>
  <si>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</si>
  <si>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</si>
  <si>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</si>
  <si>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</si>
  <si>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</si>
  <si>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</si>
  <si>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</si>
  <si>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</si>
  <si>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</si>
  <si>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</si>
  <si>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</si>
  <si>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</si>
  <si>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</si>
  <si>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</si>
  <si>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</si>
  <si>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</si>
  <si>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</si>
  <si>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</si>
  <si>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</si>
  <si>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</si>
  <si>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</si>
  <si>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</si>
  <si>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</si>
  <si>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</si>
  <si>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</si>
  <si>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</si>
  <si>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</si>
  <si>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</si>
  <si>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</si>
  <si>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</si>
  <si>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</si>
  <si>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</si>
  <si>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</si>
  <si>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</si>
  <si>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</si>
  <si>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</si>
  <si>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</si>
  <si>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</si>
  <si>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</si>
  <si>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</si>
  <si>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</si>
  <si>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</si>
  <si>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</si>
  <si>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</si>
  <si>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</si>
  <si>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</si>
  <si>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</si>
  <si>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</si>
  <si>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</si>
  <si>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</si>
  <si>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</si>
  <si>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</si>
  <si>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</si>
  <si>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</si>
  <si>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</si>
  <si>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</si>
  <si>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</si>
  <si>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</si>
  <si>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</si>
  <si>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</si>
  <si>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</si>
  <si>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</si>
  <si>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</si>
  <si>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</si>
  <si>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</si>
  <si>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</si>
  <si>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</si>
  <si>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</si>
  <si>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</si>
  <si>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</si>
  <si>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</si>
  <si>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</si>
  <si>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</si>
  <si>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</si>
  <si>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</si>
  <si>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</si>
  <si>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</si>
  <si>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</si>
  <si>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</si>
  <si>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</si>
  <si>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</si>
  <si>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</si>
  <si>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</si>
  <si>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</si>
  <si>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</si>
  <si>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</si>
  <si>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</si>
  <si>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</si>
  <si>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</si>
  <si>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</si>
  <si>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</si>
  <si>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</si>
  <si>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</si>
  <si>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</si>
  <si>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</si>
  <si>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</si>
  <si>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</si>
  <si>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</si>
  <si>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</si>
  <si>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</si>
  <si>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</si>
  <si>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</si>
  <si>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</si>
  <si>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</si>
  <si>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</si>
  <si>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</si>
  <si>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</si>
  <si>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</si>
  <si>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</si>
  <si>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</si>
  <si>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</si>
  <si>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</si>
  <si>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</si>
  <si>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</si>
  <si>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</si>
  <si>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</si>
  <si>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</si>
  <si>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</si>
  <si>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</si>
  <si>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</si>
  <si>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</si>
  <si>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</si>
  <si>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</si>
  <si>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</si>
  <si>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</si>
  <si>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</si>
  <si>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</si>
  <si>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</si>
  <si>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</si>
  <si>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</si>
  <si>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</si>
  <si>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</si>
  <si>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</si>
  <si>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</si>
  <si>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</si>
  <si>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</si>
  <si>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</si>
  <si>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</si>
  <si>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</si>
  <si>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</si>
  <si>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</si>
  <si>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</si>
  <si>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</si>
  <si>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</si>
  <si>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</si>
  <si>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</si>
  <si>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</si>
  <si>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</si>
  <si>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</si>
  <si>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</si>
  <si>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</si>
  <si>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</si>
  <si>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</si>
  <si>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</si>
  <si>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</si>
  <si>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</si>
  <si>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</si>
  <si>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</si>
  <si>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</si>
  <si>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</si>
  <si>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</si>
  <si>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</si>
  <si>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</si>
  <si>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</si>
  <si>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</si>
  <si>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</si>
  <si>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</si>
  <si>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</si>
  <si>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</si>
  <si>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</si>
  <si>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</si>
  <si>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</si>
  <si>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</si>
  <si>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</si>
  <si>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</si>
  <si>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</si>
  <si>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</si>
  <si>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</si>
  <si>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</si>
  <si>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</si>
  <si>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</si>
  <si>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</si>
  <si>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</si>
  <si>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</si>
  <si>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</si>
  <si>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</si>
  <si>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</si>
  <si>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</si>
  <si>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</si>
  <si>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</si>
  <si>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</si>
  <si>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</si>
  <si>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</si>
  <si>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</si>
  <si>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</si>
  <si>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</si>
  <si>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</si>
  <si>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</si>
  <si>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</si>
  <si>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</si>
  <si>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</si>
  <si>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</si>
  <si>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</si>
  <si>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</si>
  <si>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</si>
  <si>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</si>
  <si>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</si>
  <si>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</si>
  <si>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</si>
  <si>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</si>
  <si>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</si>
  <si>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</si>
  <si>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</si>
  <si>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</si>
  <si>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</si>
  <si>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</si>
  <si>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</si>
  <si>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</si>
  <si>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</si>
  <si>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</si>
  <si>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</si>
  <si>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</si>
  <si>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</si>
  <si>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</si>
  <si>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</si>
  <si>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</si>
  <si>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</si>
  <si>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</si>
  <si>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</si>
  <si>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</si>
  <si>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</si>
  <si>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</si>
  <si>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</si>
  <si>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</si>
  <si>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</si>
  <si>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</si>
  <si>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</si>
  <si>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</si>
  <si>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</si>
  <si>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</si>
  <si>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</si>
  <si>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</si>
  <si>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</si>
  <si>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</si>
  <si>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</si>
  <si>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</si>
  <si>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</si>
  <si>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</si>
  <si>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</si>
  <si>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</si>
  <si>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</si>
  <si>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</si>
  <si>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</si>
  <si>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</si>
  <si>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</si>
  <si>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</si>
  <si>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</si>
  <si>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</si>
  <si>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</si>
  <si>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</si>
  <si>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</si>
  <si>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</si>
  <si>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</si>
  <si>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</si>
  <si>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</si>
  <si>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</si>
  <si>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</si>
  <si>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</si>
  <si>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</si>
  <si>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</si>
  <si>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</si>
  <si>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</si>
  <si>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</si>
  <si>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</si>
  <si>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</si>
  <si>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</si>
  <si>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</si>
  <si>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</si>
  <si>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</si>
  <si>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</si>
  <si>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</si>
  <si>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</si>
  <si>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</si>
  <si>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</si>
  <si>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</si>
  <si>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</si>
  <si>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</si>
  <si>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</si>
  <si>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</si>
  <si>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</si>
  <si>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</si>
  <si>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</si>
  <si>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</si>
  <si>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</si>
  <si>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</si>
  <si>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</si>
  <si>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</si>
  <si>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</si>
  <si>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</si>
  <si>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</si>
  <si>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</si>
  <si>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</si>
  <si>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</si>
  <si>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</si>
  <si>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</si>
  <si>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</si>
  <si>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</si>
  <si>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</si>
  <si>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</si>
  <si>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</si>
  <si>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</si>
  <si>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</si>
  <si>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</si>
  <si>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</si>
  <si>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</si>
  <si>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</si>
  <si>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</si>
  <si>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</si>
  <si>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</si>
  <si>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</si>
  <si>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</si>
  <si>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</si>
  <si>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</si>
  <si>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</si>
  <si>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</si>
  <si>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</si>
  <si>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</si>
  <si>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</si>
  <si>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</si>
  <si>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</si>
  <si>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</si>
  <si>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</si>
  <si>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</si>
  <si>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</si>
  <si>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</si>
  <si>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</si>
  <si>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</si>
  <si>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</si>
  <si>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</si>
  <si>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</si>
  <si>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</si>
  <si>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</si>
  <si>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</si>
  <si>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</si>
  <si>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</si>
  <si>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</si>
  <si>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</si>
  <si>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</si>
  <si>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</si>
  <si>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</si>
  <si>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</si>
  <si>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</si>
  <si>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</si>
  <si>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</si>
  <si>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</si>
  <si>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</si>
  <si>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</si>
  <si>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</si>
  <si>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</si>
  <si>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</si>
  <si>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</si>
  <si>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</si>
  <si>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</si>
  <si>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</si>
  <si>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</si>
  <si>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</si>
  <si>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</si>
  <si>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</si>
  <si>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</si>
  <si>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</si>
  <si>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</si>
  <si>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</si>
  <si>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</si>
  <si>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</si>
  <si>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</si>
  <si>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</si>
  <si>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</si>
  <si>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</si>
  <si>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</si>
  <si>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</si>
  <si>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</si>
  <si>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</si>
  <si>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</si>
  <si>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</si>
  <si>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</si>
  <si>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</si>
  <si>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</si>
  <si>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</si>
  <si>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</si>
  <si>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</si>
  <si>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</si>
  <si>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</si>
  <si>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</si>
  <si>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</si>
  <si>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</si>
  <si>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</si>
  <si>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</si>
  <si>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</si>
  <si>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</si>
  <si>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</si>
  <si>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</si>
  <si>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</si>
  <si>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</si>
  <si>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</si>
  <si>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</si>
  <si>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</si>
  <si>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</si>
  <si>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</si>
  <si>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</si>
  <si>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</si>
  <si>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</si>
  <si>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</si>
  <si>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</si>
  <si>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</si>
  <si>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</si>
  <si>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</si>
  <si>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</si>
  <si>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</si>
  <si>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</si>
  <si>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</si>
  <si>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</si>
  <si>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</si>
  <si>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</si>
  <si>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</si>
  <si>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</si>
  <si>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</si>
  <si>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</si>
  <si>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</si>
  <si>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</si>
  <si>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</si>
  <si>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</si>
  <si>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</si>
  <si>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</si>
  <si>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</si>
  <si>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</si>
  <si>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</si>
  <si>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</si>
  <si>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</si>
  <si>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</si>
  <si>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</si>
  <si>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</si>
  <si>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</si>
  <si>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</si>
  <si>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</si>
  <si>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</si>
  <si>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</si>
  <si>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</si>
  <si>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</si>
  <si>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</si>
  <si>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</si>
  <si>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</si>
  <si>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</si>
  <si>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</si>
  <si>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</si>
  <si>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</si>
  <si>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</si>
  <si>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</si>
  <si>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</si>
  <si>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</si>
  <si>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</si>
  <si>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</si>
  <si>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</si>
  <si>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</si>
  <si>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</si>
  <si>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</si>
  <si>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</si>
  <si>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</si>
  <si>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</si>
  <si>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</si>
  <si>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</si>
  <si>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</si>
  <si>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</si>
  <si>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</si>
  <si>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</si>
  <si>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</si>
  <si>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</si>
  <si>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</si>
  <si>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</si>
  <si>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</si>
  <si>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</si>
  <si>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</si>
  <si>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</si>
  <si>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</si>
  <si>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</si>
  <si>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</si>
  <si>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</si>
  <si>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</si>
  <si>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</si>
  <si>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</si>
  <si>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</si>
  <si>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</si>
  <si>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</si>
  <si>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</si>
  <si>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</si>
  <si>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</si>
  <si>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</si>
  <si>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</si>
  <si>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</si>
  <si>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</si>
  <si>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</si>
  <si>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</si>
  <si>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</si>
  <si>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</si>
  <si>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</si>
  <si>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</si>
  <si>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</si>
  <si>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</si>
  <si>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</si>
  <si>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</si>
  <si>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</si>
  <si>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</si>
  <si>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</si>
  <si>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</si>
  <si>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</si>
  <si>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</si>
  <si>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</si>
  <si>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</si>
  <si>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</si>
  <si>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</si>
  <si>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</si>
  <si>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</si>
  <si>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</si>
  <si>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</si>
  <si>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</si>
  <si>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</si>
  <si>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</si>
  <si>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</si>
  <si>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</si>
  <si>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</si>
  <si>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</si>
  <si>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</si>
  <si>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</si>
  <si>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</si>
  <si>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</si>
  <si>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</si>
  <si>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</si>
  <si>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</si>
  <si>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11021</t>
  </si>
  <si>
    <t>HOVE</t>
  </si>
  <si>
    <t>referentietaak LNE (2017); Jaarverslag De Lijn</t>
  </si>
  <si>
    <t>waterkracht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</si>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</sst>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4078415-CDE3-44B2-A957-4AFF576DEF4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70814.118227103041</c:v>
                </c:pt>
                <c:pt idx="1">
                  <c:v>19969.332495836894</c:v>
                </c:pt>
                <c:pt idx="2">
                  <c:v>586.73500000000001</c:v>
                </c:pt>
                <c:pt idx="3">
                  <c:v>1551.075222918219</c:v>
                </c:pt>
                <c:pt idx="4">
                  <c:v>2244.6981529475997</c:v>
                </c:pt>
                <c:pt idx="5">
                  <c:v>12635.76640690613</c:v>
                </c:pt>
                <c:pt idx="6">
                  <c:v>855.75176539124823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70814.118227103041</c:v>
                </c:pt>
                <c:pt idx="1">
                  <c:v>19969.332495836894</c:v>
                </c:pt>
                <c:pt idx="2">
                  <c:v>586.73500000000001</c:v>
                </c:pt>
                <c:pt idx="3">
                  <c:v>1551.075222918219</c:v>
                </c:pt>
                <c:pt idx="4">
                  <c:v>2244.6981529475997</c:v>
                </c:pt>
                <c:pt idx="5">
                  <c:v>12635.76640690613</c:v>
                </c:pt>
                <c:pt idx="6">
                  <c:v>855.75176539124823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13769.134852581425</c:v>
                </c:pt>
                <c:pt idx="1">
                  <c:v>4044.0853970085122</c:v>
                </c:pt>
                <c:pt idx="2">
                  <c:v>117.85486981668058</c:v>
                </c:pt>
                <c:pt idx="3">
                  <c:v>380.57253529773936</c:v>
                </c:pt>
                <c:pt idx="4">
                  <c:v>456.17426036052763</c:v>
                </c:pt>
                <c:pt idx="5">
                  <c:v>3116.8748272032917</c:v>
                </c:pt>
                <c:pt idx="6">
                  <c:v>215.42136517919693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13769.134852581425</c:v>
                </c:pt>
                <c:pt idx="1">
                  <c:v>4044.0853970085122</c:v>
                </c:pt>
                <c:pt idx="2">
                  <c:v>117.85486981668058</c:v>
                </c:pt>
                <c:pt idx="3">
                  <c:v>380.57253529773936</c:v>
                </c:pt>
                <c:pt idx="4">
                  <c:v>456.17426036052763</c:v>
                </c:pt>
                <c:pt idx="5">
                  <c:v>3116.8748272032917</c:v>
                </c:pt>
                <c:pt idx="6">
                  <c:v>215.42136517919693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11021</v>
      </c>
      <c r="B6" s="384"/>
      <c r="C6" s="385"/>
    </row>
    <row r="7" spans="1:7" s="382" customFormat="1" ht="15.75" customHeight="1">
      <c r="A7" s="386" t="str">
        <f>txtMunicipality</f>
        <v>HOVE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7318.9585639852885</v>
      </c>
      <c r="D10" s="681">
        <f ca="1">tertiair!C16</f>
        <v>62.357142857142847</v>
      </c>
      <c r="E10" s="681">
        <f ca="1">tertiair!D16</f>
        <v>11105.316863483966</v>
      </c>
      <c r="F10" s="681">
        <f>tertiair!E16</f>
        <v>26.683465486193956</v>
      </c>
      <c r="G10" s="681">
        <f ca="1">tertiair!F16</f>
        <v>1657.2194059806486</v>
      </c>
      <c r="H10" s="681">
        <f>tertiair!G16</f>
        <v>0</v>
      </c>
      <c r="I10" s="681">
        <f>tertiair!H16</f>
        <v>0</v>
      </c>
      <c r="J10" s="681">
        <f>tertiair!I16</f>
        <v>0</v>
      </c>
      <c r="K10" s="681">
        <f>tertiair!J16</f>
        <v>1.3075686600065221E-2</v>
      </c>
      <c r="L10" s="681">
        <f>tertiair!K16</f>
        <v>0</v>
      </c>
      <c r="M10" s="681">
        <f ca="1">tertiair!L16</f>
        <v>0</v>
      </c>
      <c r="N10" s="681">
        <f>tertiair!M16</f>
        <v>0</v>
      </c>
      <c r="O10" s="681">
        <f ca="1">tertiair!N16</f>
        <v>380.62171759121702</v>
      </c>
      <c r="P10" s="681">
        <f>tertiair!O16</f>
        <v>4.8972607658411542</v>
      </c>
      <c r="Q10" s="682">
        <f>tertiair!P16</f>
        <v>0</v>
      </c>
      <c r="R10" s="684">
        <f ca="1">SUM(C10:Q10)</f>
        <v>20556.067495836895</v>
      </c>
      <c r="S10" s="67"/>
    </row>
    <row r="11" spans="1:19" s="443" customFormat="1">
      <c r="A11" s="802" t="s">
        <v>214</v>
      </c>
      <c r="B11" s="807"/>
      <c r="C11" s="681">
        <f>huishoudens!B8</f>
        <v>13574.302136265207</v>
      </c>
      <c r="D11" s="681">
        <f>huishoudens!C8</f>
        <v>0</v>
      </c>
      <c r="E11" s="681">
        <f>huishoudens!D8</f>
        <v>43548.63453592344</v>
      </c>
      <c r="F11" s="681">
        <f>huishoudens!E8</f>
        <v>366.9289496317258</v>
      </c>
      <c r="G11" s="681">
        <f>huishoudens!F8</f>
        <v>8038.1676637389501</v>
      </c>
      <c r="H11" s="681">
        <f>huishoudens!G8</f>
        <v>0</v>
      </c>
      <c r="I11" s="681">
        <f>huishoudens!H8</f>
        <v>0</v>
      </c>
      <c r="J11" s="681">
        <f>huishoudens!I8</f>
        <v>0</v>
      </c>
      <c r="K11" s="681">
        <f>huishoudens!J8</f>
        <v>45.810396680255081</v>
      </c>
      <c r="L11" s="681">
        <f>huishoudens!K8</f>
        <v>0</v>
      </c>
      <c r="M11" s="681">
        <f>huishoudens!L8</f>
        <v>0</v>
      </c>
      <c r="N11" s="681">
        <f>huishoudens!M8</f>
        <v>0</v>
      </c>
      <c r="O11" s="681">
        <f>huishoudens!N8</f>
        <v>4015.6440390169173</v>
      </c>
      <c r="P11" s="681">
        <f>huishoudens!O8</f>
        <v>160.70061577034957</v>
      </c>
      <c r="Q11" s="682">
        <f>huishoudens!P8</f>
        <v>1063.9298900761873</v>
      </c>
      <c r="R11" s="684">
        <f>SUM(C11:Q11)</f>
        <v>70814.118227103041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773.93872470972406</v>
      </c>
      <c r="D13" s="681">
        <f>industrie!C18</f>
        <v>0</v>
      </c>
      <c r="E13" s="681">
        <f>industrie!D18</f>
        <v>1286.9095528154103</v>
      </c>
      <c r="F13" s="681">
        <f>industrie!E18</f>
        <v>2.3531122887547191</v>
      </c>
      <c r="G13" s="681">
        <f>industrie!F18</f>
        <v>150.59996719573113</v>
      </c>
      <c r="H13" s="681">
        <f>industrie!G18</f>
        <v>0</v>
      </c>
      <c r="I13" s="681">
        <f>industrie!H18</f>
        <v>0</v>
      </c>
      <c r="J13" s="681">
        <f>industrie!I18</f>
        <v>0</v>
      </c>
      <c r="K13" s="681">
        <f>industrie!J18</f>
        <v>4.6687035414408551E-2</v>
      </c>
      <c r="L13" s="681">
        <f>industrie!K18</f>
        <v>0</v>
      </c>
      <c r="M13" s="681">
        <f>industrie!L18</f>
        <v>0</v>
      </c>
      <c r="N13" s="681">
        <f>industrie!M18</f>
        <v>0</v>
      </c>
      <c r="O13" s="681">
        <f>industrie!N18</f>
        <v>30.850108902565406</v>
      </c>
      <c r="P13" s="681">
        <f>industrie!O18</f>
        <v>0</v>
      </c>
      <c r="Q13" s="682">
        <f>industrie!P18</f>
        <v>0</v>
      </c>
      <c r="R13" s="684">
        <f>SUM(C13:Q13)</f>
        <v>2244.6981529475997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21667.199424960221</v>
      </c>
      <c r="D16" s="717">
        <f t="shared" ref="D16:R16" ca="1" si="0">SUM(D9:D15)</f>
        <v>62.357142857142847</v>
      </c>
      <c r="E16" s="717">
        <f t="shared" ca="1" si="0"/>
        <v>55940.860952222822</v>
      </c>
      <c r="F16" s="717">
        <f t="shared" si="0"/>
        <v>395.96552740667448</v>
      </c>
      <c r="G16" s="717">
        <f t="shared" ca="1" si="0"/>
        <v>9845.9870369153286</v>
      </c>
      <c r="H16" s="717">
        <f t="shared" si="0"/>
        <v>0</v>
      </c>
      <c r="I16" s="717">
        <f t="shared" si="0"/>
        <v>0</v>
      </c>
      <c r="J16" s="717">
        <f t="shared" si="0"/>
        <v>0</v>
      </c>
      <c r="K16" s="717">
        <f t="shared" si="0"/>
        <v>45.870159402269557</v>
      </c>
      <c r="L16" s="717">
        <f t="shared" si="0"/>
        <v>0</v>
      </c>
      <c r="M16" s="717">
        <f t="shared" ca="1" si="0"/>
        <v>0</v>
      </c>
      <c r="N16" s="717">
        <f t="shared" si="0"/>
        <v>0</v>
      </c>
      <c r="O16" s="717">
        <f t="shared" ca="1" si="0"/>
        <v>4427.1158655107001</v>
      </c>
      <c r="P16" s="717">
        <f t="shared" si="0"/>
        <v>165.59787653619074</v>
      </c>
      <c r="Q16" s="717">
        <f t="shared" si="0"/>
        <v>1063.9298900761873</v>
      </c>
      <c r="R16" s="717">
        <f t="shared" ca="1" si="0"/>
        <v>93614.883875887535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12.734865527259945</v>
      </c>
      <c r="D19" s="681">
        <f>transport!C54</f>
        <v>0</v>
      </c>
      <c r="E19" s="681">
        <f>transport!D54</f>
        <v>0</v>
      </c>
      <c r="F19" s="681">
        <f>transport!E54</f>
        <v>0</v>
      </c>
      <c r="G19" s="681">
        <f>transport!F54</f>
        <v>0</v>
      </c>
      <c r="H19" s="681">
        <f>transport!G54</f>
        <v>797.24108220137373</v>
      </c>
      <c r="I19" s="681">
        <f>transport!H54</f>
        <v>0</v>
      </c>
      <c r="J19" s="681">
        <f>transport!I54</f>
        <v>0</v>
      </c>
      <c r="K19" s="681">
        <f>transport!J54</f>
        <v>0</v>
      </c>
      <c r="L19" s="681">
        <f>transport!K54</f>
        <v>0</v>
      </c>
      <c r="M19" s="681">
        <f>transport!L54</f>
        <v>0</v>
      </c>
      <c r="N19" s="681">
        <f>transport!M54</f>
        <v>45.775817662614564</v>
      </c>
      <c r="O19" s="681">
        <f>transport!N54</f>
        <v>0</v>
      </c>
      <c r="P19" s="681">
        <f>transport!O54</f>
        <v>0</v>
      </c>
      <c r="Q19" s="682">
        <f>transport!P54</f>
        <v>0</v>
      </c>
      <c r="R19" s="684">
        <f>SUM(C19:Q19)</f>
        <v>855.75176539124823</v>
      </c>
      <c r="S19" s="67"/>
    </row>
    <row r="20" spans="1:19" s="443" customFormat="1">
      <c r="A20" s="802" t="s">
        <v>296</v>
      </c>
      <c r="B20" s="807"/>
      <c r="C20" s="681">
        <f>transport!B14</f>
        <v>35.780041382225683</v>
      </c>
      <c r="D20" s="681">
        <f>transport!C14</f>
        <v>0</v>
      </c>
      <c r="E20" s="681">
        <f>transport!D14</f>
        <v>64.880582164506905</v>
      </c>
      <c r="F20" s="681">
        <f>transport!E14</f>
        <v>25.39308742038131</v>
      </c>
      <c r="G20" s="681">
        <f>transport!F14</f>
        <v>0</v>
      </c>
      <c r="H20" s="681">
        <f>transport!G14</f>
        <v>8617.0850658292929</v>
      </c>
      <c r="I20" s="681">
        <f>transport!H14</f>
        <v>3172.9157718584711</v>
      </c>
      <c r="J20" s="681">
        <f>transport!I14</f>
        <v>0</v>
      </c>
      <c r="K20" s="681">
        <f>transport!J14</f>
        <v>0</v>
      </c>
      <c r="L20" s="681">
        <f>transport!K14</f>
        <v>0</v>
      </c>
      <c r="M20" s="681">
        <f>transport!L14</f>
        <v>0</v>
      </c>
      <c r="N20" s="681">
        <f>transport!M14</f>
        <v>719.71185825125326</v>
      </c>
      <c r="O20" s="681">
        <f>transport!N14</f>
        <v>0</v>
      </c>
      <c r="P20" s="681">
        <f>transport!O14</f>
        <v>0</v>
      </c>
      <c r="Q20" s="682">
        <f>transport!P14</f>
        <v>0</v>
      </c>
      <c r="R20" s="684">
        <f>SUM(C20:Q20)</f>
        <v>12635.76640690613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48.514906909485632</v>
      </c>
      <c r="D22" s="805">
        <f t="shared" ref="D22:R22" si="1">SUM(D18:D21)</f>
        <v>0</v>
      </c>
      <c r="E22" s="805">
        <f t="shared" si="1"/>
        <v>64.880582164506905</v>
      </c>
      <c r="F22" s="805">
        <f t="shared" si="1"/>
        <v>25.39308742038131</v>
      </c>
      <c r="G22" s="805">
        <f t="shared" si="1"/>
        <v>0</v>
      </c>
      <c r="H22" s="805">
        <f t="shared" si="1"/>
        <v>9414.3261480306664</v>
      </c>
      <c r="I22" s="805">
        <f t="shared" si="1"/>
        <v>3172.9157718584711</v>
      </c>
      <c r="J22" s="805">
        <f t="shared" si="1"/>
        <v>0</v>
      </c>
      <c r="K22" s="805">
        <f t="shared" si="1"/>
        <v>0</v>
      </c>
      <c r="L22" s="805">
        <f t="shared" si="1"/>
        <v>0</v>
      </c>
      <c r="M22" s="805">
        <f t="shared" si="1"/>
        <v>0</v>
      </c>
      <c r="N22" s="805">
        <f t="shared" si="1"/>
        <v>765.48767591386786</v>
      </c>
      <c r="O22" s="805">
        <f t="shared" si="1"/>
        <v>0</v>
      </c>
      <c r="P22" s="805">
        <f t="shared" si="1"/>
        <v>0</v>
      </c>
      <c r="Q22" s="805">
        <f t="shared" si="1"/>
        <v>0</v>
      </c>
      <c r="R22" s="805">
        <f t="shared" si="1"/>
        <v>13491.518172297379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327.27777606892397</v>
      </c>
      <c r="D24" s="681">
        <f>+landbouw!C8</f>
        <v>62.357142857142847</v>
      </c>
      <c r="E24" s="681">
        <f>+landbouw!D8</f>
        <v>32.857673976085607</v>
      </c>
      <c r="F24" s="681">
        <f>+landbouw!E8</f>
        <v>9.3737893620106369</v>
      </c>
      <c r="G24" s="681">
        <f>+landbouw!F8</f>
        <v>1035.9923795047443</v>
      </c>
      <c r="H24" s="681">
        <f>+landbouw!G8</f>
        <v>0</v>
      </c>
      <c r="I24" s="681">
        <f>+landbouw!H8</f>
        <v>0</v>
      </c>
      <c r="J24" s="681">
        <f>+landbouw!I8</f>
        <v>0</v>
      </c>
      <c r="K24" s="681">
        <f>+landbouw!J8</f>
        <v>83.216461149311385</v>
      </c>
      <c r="L24" s="681">
        <f>+landbouw!K8</f>
        <v>0</v>
      </c>
      <c r="M24" s="681">
        <f>+landbouw!L8</f>
        <v>0</v>
      </c>
      <c r="N24" s="681">
        <f>+landbouw!M8</f>
        <v>0</v>
      </c>
      <c r="O24" s="681">
        <f>+landbouw!N8</f>
        <v>0</v>
      </c>
      <c r="P24" s="681">
        <f>+landbouw!O8</f>
        <v>0</v>
      </c>
      <c r="Q24" s="682">
        <f>+landbouw!P8</f>
        <v>0</v>
      </c>
      <c r="R24" s="684">
        <f>SUM(C24:Q24)</f>
        <v>1551.075222918219</v>
      </c>
      <c r="S24" s="67"/>
    </row>
    <row r="25" spans="1:19" s="443" customFormat="1" ht="15" thickBot="1">
      <c r="A25" s="824" t="s">
        <v>690</v>
      </c>
      <c r="B25" s="937"/>
      <c r="C25" s="938">
        <f>IF(Onbekend_ele_kWh="---",0,Onbekend_ele_kWh)/1000+IF(REST_rest_ele_kWh="---",0,REST_rest_ele_kWh)/1000</f>
        <v>328.17005888499801</v>
      </c>
      <c r="D25" s="938"/>
      <c r="E25" s="938">
        <f>IF(onbekend_gas_kWh="---",0,onbekend_gas_kWh)/1000+IF(REST_rest_gas_kWh="---",0,REST_rest_gas_kWh)/1000</f>
        <v>1156.3643907451101</v>
      </c>
      <c r="F25" s="938"/>
      <c r="G25" s="938"/>
      <c r="H25" s="938"/>
      <c r="I25" s="938"/>
      <c r="J25" s="938"/>
      <c r="K25" s="938"/>
      <c r="L25" s="938"/>
      <c r="M25" s="938"/>
      <c r="N25" s="938"/>
      <c r="O25" s="938"/>
      <c r="P25" s="938"/>
      <c r="Q25" s="939"/>
      <c r="R25" s="684">
        <f>SUM(C25:Q25)</f>
        <v>1484.5344496301082</v>
      </c>
      <c r="S25" s="67"/>
    </row>
    <row r="26" spans="1:19" s="443" customFormat="1" ht="15.75" thickBot="1">
      <c r="A26" s="689" t="s">
        <v>691</v>
      </c>
      <c r="B26" s="810"/>
      <c r="C26" s="805">
        <f>SUM(C24:C25)</f>
        <v>655.44783495392198</v>
      </c>
      <c r="D26" s="805">
        <f t="shared" ref="D26:R26" si="2">SUM(D24:D25)</f>
        <v>62.357142857142847</v>
      </c>
      <c r="E26" s="805">
        <f t="shared" si="2"/>
        <v>1189.2220647211957</v>
      </c>
      <c r="F26" s="805">
        <f t="shared" si="2"/>
        <v>9.3737893620106369</v>
      </c>
      <c r="G26" s="805">
        <f t="shared" si="2"/>
        <v>1035.9923795047443</v>
      </c>
      <c r="H26" s="805">
        <f t="shared" si="2"/>
        <v>0</v>
      </c>
      <c r="I26" s="805">
        <f t="shared" si="2"/>
        <v>0</v>
      </c>
      <c r="J26" s="805">
        <f t="shared" si="2"/>
        <v>0</v>
      </c>
      <c r="K26" s="805">
        <f t="shared" si="2"/>
        <v>83.216461149311385</v>
      </c>
      <c r="L26" s="805">
        <f t="shared" si="2"/>
        <v>0</v>
      </c>
      <c r="M26" s="805">
        <f t="shared" si="2"/>
        <v>0</v>
      </c>
      <c r="N26" s="805">
        <f t="shared" si="2"/>
        <v>0</v>
      </c>
      <c r="O26" s="805">
        <f t="shared" si="2"/>
        <v>0</v>
      </c>
      <c r="P26" s="805">
        <f t="shared" si="2"/>
        <v>0</v>
      </c>
      <c r="Q26" s="805">
        <f t="shared" si="2"/>
        <v>0</v>
      </c>
      <c r="R26" s="805">
        <f t="shared" si="2"/>
        <v>3035.6096725483271</v>
      </c>
      <c r="S26" s="67"/>
    </row>
    <row r="27" spans="1:19" s="443" customFormat="1" ht="17.25" thickTop="1" thickBot="1">
      <c r="A27" s="690" t="s">
        <v>109</v>
      </c>
      <c r="B27" s="797"/>
      <c r="C27" s="691">
        <f ca="1">C22+C16+C26</f>
        <v>22371.162166823626</v>
      </c>
      <c r="D27" s="691">
        <f t="shared" ref="D27:R27" ca="1" si="3">D22+D16+D26</f>
        <v>124.71428571428569</v>
      </c>
      <c r="E27" s="691">
        <f t="shared" ca="1" si="3"/>
        <v>57194.963599108523</v>
      </c>
      <c r="F27" s="691">
        <f t="shared" si="3"/>
        <v>430.73240418906647</v>
      </c>
      <c r="G27" s="691">
        <f t="shared" ca="1" si="3"/>
        <v>10881.979416420072</v>
      </c>
      <c r="H27" s="691">
        <f t="shared" si="3"/>
        <v>9414.3261480306664</v>
      </c>
      <c r="I27" s="691">
        <f t="shared" si="3"/>
        <v>3172.9157718584711</v>
      </c>
      <c r="J27" s="691">
        <f t="shared" si="3"/>
        <v>0</v>
      </c>
      <c r="K27" s="691">
        <f t="shared" si="3"/>
        <v>129.08662055158095</v>
      </c>
      <c r="L27" s="691">
        <f t="shared" si="3"/>
        <v>0</v>
      </c>
      <c r="M27" s="691">
        <f t="shared" ca="1" si="3"/>
        <v>0</v>
      </c>
      <c r="N27" s="691">
        <f t="shared" si="3"/>
        <v>765.48767591386786</v>
      </c>
      <c r="O27" s="691">
        <f t="shared" ca="1" si="3"/>
        <v>4427.1158655107001</v>
      </c>
      <c r="P27" s="691">
        <f t="shared" si="3"/>
        <v>165.59787653619074</v>
      </c>
      <c r="Q27" s="691">
        <f t="shared" si="3"/>
        <v>1063.9298900761873</v>
      </c>
      <c r="R27" s="691">
        <f t="shared" ca="1" si="3"/>
        <v>110142.01172073324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1470.126903546176</v>
      </c>
      <c r="D40" s="681">
        <f ca="1">tertiair!C20</f>
        <v>0</v>
      </c>
      <c r="E40" s="681">
        <f ca="1">tertiair!D20</f>
        <v>2243.2740064237614</v>
      </c>
      <c r="F40" s="681">
        <f>tertiair!E20</f>
        <v>6.0571466653660284</v>
      </c>
      <c r="G40" s="681">
        <f ca="1">tertiair!F20</f>
        <v>442.47758139683322</v>
      </c>
      <c r="H40" s="681">
        <f>tertiair!G20</f>
        <v>0</v>
      </c>
      <c r="I40" s="681">
        <f>tertiair!H20</f>
        <v>0</v>
      </c>
      <c r="J40" s="681">
        <f>tertiair!I20</f>
        <v>0</v>
      </c>
      <c r="K40" s="681">
        <f>tertiair!J20</f>
        <v>4.6287930564230884E-3</v>
      </c>
      <c r="L40" s="681">
        <f>tertiair!K20</f>
        <v>0</v>
      </c>
      <c r="M40" s="681">
        <f ca="1">tertiair!L20</f>
        <v>0</v>
      </c>
      <c r="N40" s="681">
        <f>tertiair!M20</f>
        <v>0</v>
      </c>
      <c r="O40" s="681">
        <f ca="1">tertiair!N20</f>
        <v>0</v>
      </c>
      <c r="P40" s="681">
        <f>tertiair!O20</f>
        <v>0</v>
      </c>
      <c r="Q40" s="764">
        <f>tertiair!P20</f>
        <v>0</v>
      </c>
      <c r="R40" s="843">
        <f t="shared" ca="1" si="4"/>
        <v>4161.9402668251932</v>
      </c>
    </row>
    <row r="41" spans="1:18">
      <c r="A41" s="815" t="s">
        <v>214</v>
      </c>
      <c r="B41" s="822"/>
      <c r="C41" s="681">
        <f ca="1">huishoudens!B12</f>
        <v>2726.6101581153757</v>
      </c>
      <c r="D41" s="681">
        <f ca="1">huishoudens!C12</f>
        <v>0</v>
      </c>
      <c r="E41" s="681">
        <f>huishoudens!D12</f>
        <v>8796.8241762565358</v>
      </c>
      <c r="F41" s="681">
        <f>huishoudens!E12</f>
        <v>83.292871566401757</v>
      </c>
      <c r="G41" s="681">
        <f>huishoudens!F12</f>
        <v>2146.1907662182998</v>
      </c>
      <c r="H41" s="681">
        <f>huishoudens!G12</f>
        <v>0</v>
      </c>
      <c r="I41" s="681">
        <f>huishoudens!H12</f>
        <v>0</v>
      </c>
      <c r="J41" s="681">
        <f>huishoudens!I12</f>
        <v>0</v>
      </c>
      <c r="K41" s="681">
        <f>huishoudens!J12</f>
        <v>16.216880424810299</v>
      </c>
      <c r="L41" s="681">
        <f>huishoudens!K12</f>
        <v>0</v>
      </c>
      <c r="M41" s="681">
        <f>huishoudens!L12</f>
        <v>0</v>
      </c>
      <c r="N41" s="681">
        <f>huishoudens!M12</f>
        <v>0</v>
      </c>
      <c r="O41" s="681">
        <f>huishoudens!N12</f>
        <v>0</v>
      </c>
      <c r="P41" s="681">
        <f>huishoudens!O12</f>
        <v>0</v>
      </c>
      <c r="Q41" s="764">
        <f>huishoudens!P12</f>
        <v>0</v>
      </c>
      <c r="R41" s="843">
        <f t="shared" ca="1" si="4"/>
        <v>13769.134852581425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155.45765575047051</v>
      </c>
      <c r="D43" s="681">
        <f ca="1">industrie!C22</f>
        <v>0</v>
      </c>
      <c r="E43" s="681">
        <f>industrie!D22</f>
        <v>259.95572966871288</v>
      </c>
      <c r="F43" s="681">
        <f>industrie!E22</f>
        <v>0.53415648954732131</v>
      </c>
      <c r="G43" s="681">
        <f>industrie!F22</f>
        <v>40.210191241260212</v>
      </c>
      <c r="H43" s="681">
        <f>industrie!G22</f>
        <v>0</v>
      </c>
      <c r="I43" s="681">
        <f>industrie!H22</f>
        <v>0</v>
      </c>
      <c r="J43" s="681">
        <f>industrie!I22</f>
        <v>0</v>
      </c>
      <c r="K43" s="681">
        <f>industrie!J22</f>
        <v>1.6527210536700625E-2</v>
      </c>
      <c r="L43" s="681">
        <f>industrie!K22</f>
        <v>0</v>
      </c>
      <c r="M43" s="681">
        <f>industrie!L22</f>
        <v>0</v>
      </c>
      <c r="N43" s="681">
        <f>industrie!M22</f>
        <v>0</v>
      </c>
      <c r="O43" s="681">
        <f>industrie!N22</f>
        <v>0</v>
      </c>
      <c r="P43" s="681">
        <f>industrie!O22</f>
        <v>0</v>
      </c>
      <c r="Q43" s="764">
        <f>industrie!P22</f>
        <v>0</v>
      </c>
      <c r="R43" s="842">
        <f t="shared" ca="1" si="4"/>
        <v>456.17426036052763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4352.1947174120223</v>
      </c>
      <c r="D46" s="717">
        <f t="shared" ref="D46:Q46" ca="1" si="5">SUM(D39:D45)</f>
        <v>0</v>
      </c>
      <c r="E46" s="717">
        <f t="shared" ca="1" si="5"/>
        <v>11300.053912349009</v>
      </c>
      <c r="F46" s="717">
        <f t="shared" si="5"/>
        <v>89.884174721315119</v>
      </c>
      <c r="G46" s="717">
        <f t="shared" ca="1" si="5"/>
        <v>2628.8785388563933</v>
      </c>
      <c r="H46" s="717">
        <f t="shared" si="5"/>
        <v>0</v>
      </c>
      <c r="I46" s="717">
        <f t="shared" si="5"/>
        <v>0</v>
      </c>
      <c r="J46" s="717">
        <f t="shared" si="5"/>
        <v>0</v>
      </c>
      <c r="K46" s="717">
        <f t="shared" si="5"/>
        <v>16.238036428403422</v>
      </c>
      <c r="L46" s="717">
        <f t="shared" si="5"/>
        <v>0</v>
      </c>
      <c r="M46" s="717">
        <f t="shared" ca="1" si="5"/>
        <v>0</v>
      </c>
      <c r="N46" s="717">
        <f t="shared" si="5"/>
        <v>0</v>
      </c>
      <c r="O46" s="717">
        <f t="shared" ca="1" si="5"/>
        <v>0</v>
      </c>
      <c r="P46" s="717">
        <f t="shared" si="5"/>
        <v>0</v>
      </c>
      <c r="Q46" s="717">
        <f t="shared" si="5"/>
        <v>0</v>
      </c>
      <c r="R46" s="717">
        <f ca="1">SUM(R39:R45)</f>
        <v>18387.249379767145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2.5579962314301246</v>
      </c>
      <c r="D49" s="681">
        <f ca="1">transport!C58</f>
        <v>0</v>
      </c>
      <c r="E49" s="681">
        <f>transport!D58</f>
        <v>0</v>
      </c>
      <c r="F49" s="681">
        <f>transport!E58</f>
        <v>0</v>
      </c>
      <c r="G49" s="681">
        <f>transport!F58</f>
        <v>0</v>
      </c>
      <c r="H49" s="681">
        <f>transport!G58</f>
        <v>212.86336894776679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215.42136517919693</v>
      </c>
    </row>
    <row r="50" spans="1:18">
      <c r="A50" s="818" t="s">
        <v>296</v>
      </c>
      <c r="B50" s="828"/>
      <c r="C50" s="687">
        <f ca="1">transport!B18</f>
        <v>7.1869789924542617</v>
      </c>
      <c r="D50" s="687">
        <f>transport!C18</f>
        <v>0</v>
      </c>
      <c r="E50" s="687">
        <f>transport!D18</f>
        <v>13.105877597230396</v>
      </c>
      <c r="F50" s="687">
        <f>transport!E18</f>
        <v>5.7642308444265575</v>
      </c>
      <c r="G50" s="687">
        <f>transport!F18</f>
        <v>0</v>
      </c>
      <c r="H50" s="687">
        <f>transport!G18</f>
        <v>2300.7617125764214</v>
      </c>
      <c r="I50" s="687">
        <f>transport!H18</f>
        <v>790.0560271927593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3116.8748272032917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9.7449752238843868</v>
      </c>
      <c r="D52" s="717">
        <f t="shared" ref="D52:Q52" ca="1" si="6">SUM(D48:D51)</f>
        <v>0</v>
      </c>
      <c r="E52" s="717">
        <f t="shared" si="6"/>
        <v>13.105877597230396</v>
      </c>
      <c r="F52" s="717">
        <f t="shared" si="6"/>
        <v>5.7642308444265575</v>
      </c>
      <c r="G52" s="717">
        <f t="shared" si="6"/>
        <v>0</v>
      </c>
      <c r="H52" s="717">
        <f t="shared" si="6"/>
        <v>2513.6250815241883</v>
      </c>
      <c r="I52" s="717">
        <f t="shared" si="6"/>
        <v>790.0560271927593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3332.2961923824887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65.738842394770671</v>
      </c>
      <c r="D54" s="687">
        <f ca="1">+landbouw!C12</f>
        <v>0</v>
      </c>
      <c r="E54" s="687">
        <f>+landbouw!D12</f>
        <v>6.6372501431692932</v>
      </c>
      <c r="F54" s="687">
        <f>+landbouw!E12</f>
        <v>2.1278501851764147</v>
      </c>
      <c r="G54" s="687">
        <f>+landbouw!F12</f>
        <v>276.60996532776676</v>
      </c>
      <c r="H54" s="687">
        <f>+landbouw!G12</f>
        <v>0</v>
      </c>
      <c r="I54" s="687">
        <f>+landbouw!H12</f>
        <v>0</v>
      </c>
      <c r="J54" s="687">
        <f>+landbouw!I12</f>
        <v>0</v>
      </c>
      <c r="K54" s="687">
        <f>+landbouw!J12</f>
        <v>29.458627246856228</v>
      </c>
      <c r="L54" s="687">
        <f>+landbouw!K12</f>
        <v>0</v>
      </c>
      <c r="M54" s="687">
        <f>+landbouw!L12</f>
        <v>0</v>
      </c>
      <c r="N54" s="687">
        <f>+landbouw!M12</f>
        <v>0</v>
      </c>
      <c r="O54" s="687">
        <f>+landbouw!N12</f>
        <v>0</v>
      </c>
      <c r="P54" s="687">
        <f>+landbouw!O12</f>
        <v>0</v>
      </c>
      <c r="Q54" s="688">
        <f>+landbouw!P12</f>
        <v>0</v>
      </c>
      <c r="R54" s="716">
        <f ca="1">SUM(C54:Q54)</f>
        <v>380.57253529773936</v>
      </c>
    </row>
    <row r="55" spans="1:18" ht="15" thickBot="1">
      <c r="A55" s="818" t="s">
        <v>690</v>
      </c>
      <c r="B55" s="828"/>
      <c r="C55" s="687">
        <f ca="1">C25*'EF ele_warmte'!B12</f>
        <v>65.918071305826032</v>
      </c>
      <c r="D55" s="687"/>
      <c r="E55" s="687">
        <f>E25*EF_CO2_aardgas</f>
        <v>233.58560693051226</v>
      </c>
      <c r="F55" s="687"/>
      <c r="G55" s="687"/>
      <c r="H55" s="687"/>
      <c r="I55" s="687"/>
      <c r="J55" s="687"/>
      <c r="K55" s="687"/>
      <c r="L55" s="687"/>
      <c r="M55" s="687"/>
      <c r="N55" s="687"/>
      <c r="O55" s="687"/>
      <c r="P55" s="687"/>
      <c r="Q55" s="688"/>
      <c r="R55" s="716">
        <f ca="1">SUM(C55:Q55)</f>
        <v>299.50367823633826</v>
      </c>
    </row>
    <row r="56" spans="1:18" ht="15.75" thickBot="1">
      <c r="A56" s="816" t="s">
        <v>691</v>
      </c>
      <c r="B56" s="829"/>
      <c r="C56" s="717">
        <f ca="1">SUM(C54:C55)</f>
        <v>131.6569137005967</v>
      </c>
      <c r="D56" s="717">
        <f t="shared" ref="D56:Q56" ca="1" si="7">SUM(D54:D55)</f>
        <v>0</v>
      </c>
      <c r="E56" s="717">
        <f t="shared" si="7"/>
        <v>240.22285707368155</v>
      </c>
      <c r="F56" s="717">
        <f t="shared" si="7"/>
        <v>2.1278501851764147</v>
      </c>
      <c r="G56" s="717">
        <f t="shared" si="7"/>
        <v>276.60996532776676</v>
      </c>
      <c r="H56" s="717">
        <f t="shared" si="7"/>
        <v>0</v>
      </c>
      <c r="I56" s="717">
        <f t="shared" si="7"/>
        <v>0</v>
      </c>
      <c r="J56" s="717">
        <f t="shared" si="7"/>
        <v>0</v>
      </c>
      <c r="K56" s="717">
        <f t="shared" si="7"/>
        <v>29.458627246856228</v>
      </c>
      <c r="L56" s="717">
        <f t="shared" si="7"/>
        <v>0</v>
      </c>
      <c r="M56" s="717">
        <f t="shared" si="7"/>
        <v>0</v>
      </c>
      <c r="N56" s="717">
        <f t="shared" si="7"/>
        <v>0</v>
      </c>
      <c r="O56" s="717">
        <f t="shared" si="7"/>
        <v>0</v>
      </c>
      <c r="P56" s="717">
        <f t="shared" si="7"/>
        <v>0</v>
      </c>
      <c r="Q56" s="718">
        <f t="shared" si="7"/>
        <v>0</v>
      </c>
      <c r="R56" s="719">
        <f ca="1">SUM(R54:R55)</f>
        <v>680.07621353407762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4493.5966063365031</v>
      </c>
      <c r="D61" s="725">
        <f t="shared" ref="D61:Q61" ca="1" si="8">D46+D52+D56</f>
        <v>0</v>
      </c>
      <c r="E61" s="725">
        <f t="shared" ca="1" si="8"/>
        <v>11553.38264701992</v>
      </c>
      <c r="F61" s="725">
        <f t="shared" si="8"/>
        <v>97.776255750918097</v>
      </c>
      <c r="G61" s="725">
        <f t="shared" ca="1" si="8"/>
        <v>2905.4885041841599</v>
      </c>
      <c r="H61" s="725">
        <f t="shared" si="8"/>
        <v>2513.6250815241883</v>
      </c>
      <c r="I61" s="725">
        <f t="shared" si="8"/>
        <v>790.0560271927593</v>
      </c>
      <c r="J61" s="725">
        <f t="shared" si="8"/>
        <v>0</v>
      </c>
      <c r="K61" s="725">
        <f t="shared" si="8"/>
        <v>45.69666367525965</v>
      </c>
      <c r="L61" s="725">
        <f t="shared" si="8"/>
        <v>0</v>
      </c>
      <c r="M61" s="725">
        <f t="shared" ca="1" si="8"/>
        <v>0</v>
      </c>
      <c r="N61" s="725">
        <f t="shared" si="8"/>
        <v>0</v>
      </c>
      <c r="O61" s="725">
        <f t="shared" ca="1" si="8"/>
        <v>0</v>
      </c>
      <c r="P61" s="725">
        <f t="shared" si="8"/>
        <v>0</v>
      </c>
      <c r="Q61" s="725">
        <f t="shared" si="8"/>
        <v>0</v>
      </c>
      <c r="R61" s="725">
        <f ca="1">R46+R52+R56</f>
        <v>22399.62178568371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0.20086558636638444</v>
      </c>
      <c r="D63" s="771">
        <f t="shared" ca="1" si="9"/>
        <v>0</v>
      </c>
      <c r="E63" s="963">
        <f t="shared" ca="1" si="9"/>
        <v>0.20199999999999999</v>
      </c>
      <c r="F63" s="771">
        <f t="shared" si="9"/>
        <v>0.22700000000000001</v>
      </c>
      <c r="G63" s="771">
        <f t="shared" ca="1" si="9"/>
        <v>0.26700000000000007</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1950.8458485589078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87.299999999999983</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102.70588235294116</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2038.1458485589078</v>
      </c>
      <c r="C78" s="743">
        <f>SUM(C72:C77)</f>
        <v>0</v>
      </c>
      <c r="D78" s="744">
        <f t="shared" ref="D78:H78" si="10">SUM(D76:D77)</f>
        <v>0</v>
      </c>
      <c r="E78" s="744">
        <f t="shared" si="10"/>
        <v>0</v>
      </c>
      <c r="F78" s="744">
        <f t="shared" si="10"/>
        <v>0</v>
      </c>
      <c r="G78" s="744">
        <f t="shared" si="10"/>
        <v>0</v>
      </c>
      <c r="H78" s="744">
        <f t="shared" si="10"/>
        <v>0</v>
      </c>
      <c r="I78" s="744">
        <f>SUM(I76:I77)</f>
        <v>0</v>
      </c>
      <c r="J78" s="744">
        <f>SUM(J76:J77)</f>
        <v>102.70588235294116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124.71428571428569</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146.72268907563023</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124.71428571428569</v>
      </c>
      <c r="C90" s="743">
        <f>SUM(C87:C89)</f>
        <v>0</v>
      </c>
      <c r="D90" s="743">
        <f t="shared" ref="D90:H90" si="12">SUM(D87:D89)</f>
        <v>0</v>
      </c>
      <c r="E90" s="743">
        <f t="shared" si="12"/>
        <v>0</v>
      </c>
      <c r="F90" s="743">
        <f t="shared" si="12"/>
        <v>0</v>
      </c>
      <c r="G90" s="743">
        <f t="shared" si="12"/>
        <v>0</v>
      </c>
      <c r="H90" s="743">
        <f t="shared" si="12"/>
        <v>0</v>
      </c>
      <c r="I90" s="743">
        <f>SUM(I87:I89)</f>
        <v>0</v>
      </c>
      <c r="J90" s="743">
        <f>SUM(J87:J89)</f>
        <v>146.72268907563023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13574.302136265207</v>
      </c>
      <c r="C4" s="447">
        <f>huishoudens!C8</f>
        <v>0</v>
      </c>
      <c r="D4" s="447">
        <f>huishoudens!D8</f>
        <v>43548.63453592344</v>
      </c>
      <c r="E4" s="447">
        <f>huishoudens!E8</f>
        <v>366.9289496317258</v>
      </c>
      <c r="F4" s="447">
        <f>huishoudens!F8</f>
        <v>8038.1676637389501</v>
      </c>
      <c r="G4" s="447">
        <f>huishoudens!G8</f>
        <v>0</v>
      </c>
      <c r="H4" s="447">
        <f>huishoudens!H8</f>
        <v>0</v>
      </c>
      <c r="I4" s="447">
        <f>huishoudens!I8</f>
        <v>0</v>
      </c>
      <c r="J4" s="447">
        <f>huishoudens!J8</f>
        <v>45.810396680255081</v>
      </c>
      <c r="K4" s="447">
        <f>huishoudens!K8</f>
        <v>0</v>
      </c>
      <c r="L4" s="447">
        <f>huishoudens!L8</f>
        <v>0</v>
      </c>
      <c r="M4" s="447">
        <f>huishoudens!M8</f>
        <v>0</v>
      </c>
      <c r="N4" s="447">
        <f>huishoudens!N8</f>
        <v>4015.6440390169173</v>
      </c>
      <c r="O4" s="447">
        <f>huishoudens!O8</f>
        <v>160.70061577034957</v>
      </c>
      <c r="P4" s="448">
        <f>huishoudens!P8</f>
        <v>1063.9298900761873</v>
      </c>
      <c r="Q4" s="449">
        <f>SUM(B4:P4)</f>
        <v>70814.118227103041</v>
      </c>
    </row>
    <row r="5" spans="1:17">
      <c r="A5" s="446" t="s">
        <v>149</v>
      </c>
      <c r="B5" s="447">
        <f ca="1">tertiair!B16</f>
        <v>6732.2235639852888</v>
      </c>
      <c r="C5" s="447">
        <f ca="1">tertiair!C16</f>
        <v>62.357142857142847</v>
      </c>
      <c r="D5" s="447">
        <f ca="1">tertiair!D16</f>
        <v>11105.316863483966</v>
      </c>
      <c r="E5" s="447">
        <f>tertiair!E16</f>
        <v>26.683465486193956</v>
      </c>
      <c r="F5" s="447">
        <f ca="1">tertiair!F16</f>
        <v>1657.2194059806486</v>
      </c>
      <c r="G5" s="447">
        <f>tertiair!G16</f>
        <v>0</v>
      </c>
      <c r="H5" s="447">
        <f>tertiair!H16</f>
        <v>0</v>
      </c>
      <c r="I5" s="447">
        <f>tertiair!I16</f>
        <v>0</v>
      </c>
      <c r="J5" s="447">
        <f>tertiair!J16</f>
        <v>1.3075686600065221E-2</v>
      </c>
      <c r="K5" s="447">
        <f>tertiair!K16</f>
        <v>0</v>
      </c>
      <c r="L5" s="447">
        <f ca="1">tertiair!L16</f>
        <v>0</v>
      </c>
      <c r="M5" s="447">
        <f>tertiair!M16</f>
        <v>0</v>
      </c>
      <c r="N5" s="447">
        <f ca="1">tertiair!N16</f>
        <v>380.62171759121702</v>
      </c>
      <c r="O5" s="447">
        <f>tertiair!O16</f>
        <v>4.8972607658411542</v>
      </c>
      <c r="P5" s="448">
        <f>tertiair!P16</f>
        <v>0</v>
      </c>
      <c r="Q5" s="446">
        <f t="shared" ref="Q5:Q14" ca="1" si="0">SUM(B5:P5)</f>
        <v>19969.332495836894</v>
      </c>
    </row>
    <row r="6" spans="1:17">
      <c r="A6" s="446" t="s">
        <v>187</v>
      </c>
      <c r="B6" s="447">
        <f>'openbare verlichting'!B8</f>
        <v>586.73500000000001</v>
      </c>
      <c r="C6" s="447"/>
      <c r="D6" s="447"/>
      <c r="E6" s="447"/>
      <c r="F6" s="447"/>
      <c r="G6" s="447"/>
      <c r="H6" s="447"/>
      <c r="I6" s="447"/>
      <c r="J6" s="447"/>
      <c r="K6" s="447"/>
      <c r="L6" s="447"/>
      <c r="M6" s="447"/>
      <c r="N6" s="447"/>
      <c r="O6" s="447"/>
      <c r="P6" s="448"/>
      <c r="Q6" s="446">
        <f t="shared" si="0"/>
        <v>586.73500000000001</v>
      </c>
    </row>
    <row r="7" spans="1:17">
      <c r="A7" s="446" t="s">
        <v>105</v>
      </c>
      <c r="B7" s="447">
        <f>landbouw!B8</f>
        <v>327.27777606892397</v>
      </c>
      <c r="C7" s="447">
        <f>landbouw!C8</f>
        <v>62.357142857142847</v>
      </c>
      <c r="D7" s="447">
        <f>landbouw!D8</f>
        <v>32.857673976085607</v>
      </c>
      <c r="E7" s="447">
        <f>landbouw!E8</f>
        <v>9.3737893620106369</v>
      </c>
      <c r="F7" s="447">
        <f>landbouw!F8</f>
        <v>1035.9923795047443</v>
      </c>
      <c r="G7" s="447">
        <f>landbouw!G8</f>
        <v>0</v>
      </c>
      <c r="H7" s="447">
        <f>landbouw!H8</f>
        <v>0</v>
      </c>
      <c r="I7" s="447">
        <f>landbouw!I8</f>
        <v>0</v>
      </c>
      <c r="J7" s="447">
        <f>landbouw!J8</f>
        <v>83.216461149311385</v>
      </c>
      <c r="K7" s="447">
        <f>landbouw!K8</f>
        <v>0</v>
      </c>
      <c r="L7" s="447">
        <f>landbouw!L8</f>
        <v>0</v>
      </c>
      <c r="M7" s="447">
        <f>landbouw!M8</f>
        <v>0</v>
      </c>
      <c r="N7" s="447">
        <f>landbouw!N8</f>
        <v>0</v>
      </c>
      <c r="O7" s="447">
        <f>landbouw!O8</f>
        <v>0</v>
      </c>
      <c r="P7" s="448">
        <f>landbouw!P8</f>
        <v>0</v>
      </c>
      <c r="Q7" s="446">
        <f t="shared" si="0"/>
        <v>1551.075222918219</v>
      </c>
    </row>
    <row r="8" spans="1:17">
      <c r="A8" s="446" t="s">
        <v>611</v>
      </c>
      <c r="B8" s="447">
        <f>industrie!B18</f>
        <v>773.93872470972406</v>
      </c>
      <c r="C8" s="447">
        <f>industrie!C18</f>
        <v>0</v>
      </c>
      <c r="D8" s="447">
        <f>industrie!D18</f>
        <v>1286.9095528154103</v>
      </c>
      <c r="E8" s="447">
        <f>industrie!E18</f>
        <v>2.3531122887547191</v>
      </c>
      <c r="F8" s="447">
        <f>industrie!F18</f>
        <v>150.59996719573113</v>
      </c>
      <c r="G8" s="447">
        <f>industrie!G18</f>
        <v>0</v>
      </c>
      <c r="H8" s="447">
        <f>industrie!H18</f>
        <v>0</v>
      </c>
      <c r="I8" s="447">
        <f>industrie!I18</f>
        <v>0</v>
      </c>
      <c r="J8" s="447">
        <f>industrie!J18</f>
        <v>4.6687035414408551E-2</v>
      </c>
      <c r="K8" s="447">
        <f>industrie!K18</f>
        <v>0</v>
      </c>
      <c r="L8" s="447">
        <f>industrie!L18</f>
        <v>0</v>
      </c>
      <c r="M8" s="447">
        <f>industrie!M18</f>
        <v>0</v>
      </c>
      <c r="N8" s="447">
        <f>industrie!N18</f>
        <v>30.850108902565406</v>
      </c>
      <c r="O8" s="447">
        <f>industrie!O18</f>
        <v>0</v>
      </c>
      <c r="P8" s="448">
        <f>industrie!P18</f>
        <v>0</v>
      </c>
      <c r="Q8" s="446">
        <f t="shared" si="0"/>
        <v>2244.6981529475997</v>
      </c>
    </row>
    <row r="9" spans="1:17" s="452" customFormat="1">
      <c r="A9" s="450" t="s">
        <v>537</v>
      </c>
      <c r="B9" s="451">
        <f>transport!B14</f>
        <v>35.780041382225683</v>
      </c>
      <c r="C9" s="451">
        <f>transport!C14</f>
        <v>0</v>
      </c>
      <c r="D9" s="451">
        <f>transport!D14</f>
        <v>64.880582164506905</v>
      </c>
      <c r="E9" s="451">
        <f>transport!E14</f>
        <v>25.39308742038131</v>
      </c>
      <c r="F9" s="451">
        <f>transport!F14</f>
        <v>0</v>
      </c>
      <c r="G9" s="451">
        <f>transport!G14</f>
        <v>8617.0850658292929</v>
      </c>
      <c r="H9" s="451">
        <f>transport!H14</f>
        <v>3172.9157718584711</v>
      </c>
      <c r="I9" s="451">
        <f>transport!I14</f>
        <v>0</v>
      </c>
      <c r="J9" s="451">
        <f>transport!J14</f>
        <v>0</v>
      </c>
      <c r="K9" s="451">
        <f>transport!K14</f>
        <v>0</v>
      </c>
      <c r="L9" s="451">
        <f>transport!L14</f>
        <v>0</v>
      </c>
      <c r="M9" s="451">
        <f>transport!M14</f>
        <v>719.71185825125326</v>
      </c>
      <c r="N9" s="451">
        <f>transport!N14</f>
        <v>0</v>
      </c>
      <c r="O9" s="451">
        <f>transport!O14</f>
        <v>0</v>
      </c>
      <c r="P9" s="451">
        <f>transport!P14</f>
        <v>0</v>
      </c>
      <c r="Q9" s="450">
        <f>SUM(B9:P9)</f>
        <v>12635.76640690613</v>
      </c>
    </row>
    <row r="10" spans="1:17">
      <c r="A10" s="446" t="s">
        <v>527</v>
      </c>
      <c r="B10" s="447">
        <f>transport!B54</f>
        <v>12.734865527259945</v>
      </c>
      <c r="C10" s="447">
        <f>transport!C54</f>
        <v>0</v>
      </c>
      <c r="D10" s="447">
        <f>transport!D54</f>
        <v>0</v>
      </c>
      <c r="E10" s="447">
        <f>transport!E54</f>
        <v>0</v>
      </c>
      <c r="F10" s="447">
        <f>transport!F54</f>
        <v>0</v>
      </c>
      <c r="G10" s="447">
        <f>transport!G54</f>
        <v>797.24108220137373</v>
      </c>
      <c r="H10" s="447">
        <f>transport!H54</f>
        <v>0</v>
      </c>
      <c r="I10" s="447">
        <f>transport!I54</f>
        <v>0</v>
      </c>
      <c r="J10" s="447">
        <f>transport!J54</f>
        <v>0</v>
      </c>
      <c r="K10" s="447">
        <f>transport!K54</f>
        <v>0</v>
      </c>
      <c r="L10" s="447">
        <f>transport!L54</f>
        <v>0</v>
      </c>
      <c r="M10" s="447">
        <f>transport!M54</f>
        <v>45.775817662614564</v>
      </c>
      <c r="N10" s="447">
        <f>transport!N54</f>
        <v>0</v>
      </c>
      <c r="O10" s="447">
        <f>transport!O54</f>
        <v>0</v>
      </c>
      <c r="P10" s="448">
        <f>transport!P54</f>
        <v>0</v>
      </c>
      <c r="Q10" s="446">
        <f t="shared" si="0"/>
        <v>855.75176539124823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328.17005888499801</v>
      </c>
      <c r="C14" s="454"/>
      <c r="D14" s="454">
        <f>'SEAP template'!E25</f>
        <v>1156.3643907451101</v>
      </c>
      <c r="E14" s="454"/>
      <c r="F14" s="454"/>
      <c r="G14" s="454"/>
      <c r="H14" s="454"/>
      <c r="I14" s="454"/>
      <c r="J14" s="454"/>
      <c r="K14" s="454"/>
      <c r="L14" s="454"/>
      <c r="M14" s="454"/>
      <c r="N14" s="454"/>
      <c r="O14" s="454"/>
      <c r="P14" s="455"/>
      <c r="Q14" s="446">
        <f t="shared" si="0"/>
        <v>1484.5344496301082</v>
      </c>
    </row>
    <row r="15" spans="1:17" s="458" customFormat="1">
      <c r="A15" s="456" t="s">
        <v>531</v>
      </c>
      <c r="B15" s="457">
        <f ca="1">SUM(B4:B14)</f>
        <v>22371.162166823629</v>
      </c>
      <c r="C15" s="457">
        <f t="shared" ref="C15:Q15" ca="1" si="1">SUM(C4:C14)</f>
        <v>124.71428571428569</v>
      </c>
      <c r="D15" s="457">
        <f t="shared" ca="1" si="1"/>
        <v>57194.963599108516</v>
      </c>
      <c r="E15" s="457">
        <f t="shared" si="1"/>
        <v>430.73240418906647</v>
      </c>
      <c r="F15" s="457">
        <f t="shared" ca="1" si="1"/>
        <v>10881.979416420074</v>
      </c>
      <c r="G15" s="457">
        <f t="shared" si="1"/>
        <v>9414.3261480306664</v>
      </c>
      <c r="H15" s="457">
        <f t="shared" si="1"/>
        <v>3172.9157718584711</v>
      </c>
      <c r="I15" s="457">
        <f t="shared" si="1"/>
        <v>0</v>
      </c>
      <c r="J15" s="457">
        <f t="shared" si="1"/>
        <v>129.08662055158095</v>
      </c>
      <c r="K15" s="457">
        <f t="shared" si="1"/>
        <v>0</v>
      </c>
      <c r="L15" s="457">
        <f t="shared" ca="1" si="1"/>
        <v>0</v>
      </c>
      <c r="M15" s="457">
        <f t="shared" si="1"/>
        <v>765.48767591386786</v>
      </c>
      <c r="N15" s="457">
        <f t="shared" ca="1" si="1"/>
        <v>4427.1158655107001</v>
      </c>
      <c r="O15" s="457">
        <f t="shared" si="1"/>
        <v>165.59787653619074</v>
      </c>
      <c r="P15" s="457">
        <f t="shared" si="1"/>
        <v>1063.9298900761873</v>
      </c>
      <c r="Q15" s="457">
        <f t="shared" ca="1" si="1"/>
        <v>110142.01172073325</v>
      </c>
    </row>
    <row r="17" spans="1:17">
      <c r="A17" s="459" t="s">
        <v>532</v>
      </c>
      <c r="B17" s="776">
        <f ca="1">huishoudens!B10</f>
        <v>0.20086558636638444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2726.6101581153757</v>
      </c>
      <c r="C22" s="447">
        <f t="shared" ref="C22:C32" ca="1" si="3">C4*$C$17</f>
        <v>0</v>
      </c>
      <c r="D22" s="447">
        <f t="shared" ref="D22:D32" si="4">D4*$D$17</f>
        <v>8796.8241762565358</v>
      </c>
      <c r="E22" s="447">
        <f t="shared" ref="E22:E32" si="5">E4*$E$17</f>
        <v>83.292871566401757</v>
      </c>
      <c r="F22" s="447">
        <f t="shared" ref="F22:F32" si="6">F4*$F$17</f>
        <v>2146.1907662182998</v>
      </c>
      <c r="G22" s="447">
        <f t="shared" ref="G22:G32" si="7">G4*$G$17</f>
        <v>0</v>
      </c>
      <c r="H22" s="447">
        <f t="shared" ref="H22:H32" si="8">H4*$H$17</f>
        <v>0</v>
      </c>
      <c r="I22" s="447">
        <f t="shared" ref="I22:I32" si="9">I4*$I$17</f>
        <v>0</v>
      </c>
      <c r="J22" s="447">
        <f t="shared" ref="J22:J32" si="10">J4*$J$17</f>
        <v>16.216880424810299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13769.134852581425</v>
      </c>
    </row>
    <row r="23" spans="1:17">
      <c r="A23" s="446" t="s">
        <v>149</v>
      </c>
      <c r="B23" s="447">
        <f t="shared" ca="1" si="2"/>
        <v>1352.2720337294954</v>
      </c>
      <c r="C23" s="447">
        <f t="shared" ca="1" si="3"/>
        <v>0</v>
      </c>
      <c r="D23" s="447">
        <f t="shared" ca="1" si="4"/>
        <v>2243.2740064237614</v>
      </c>
      <c r="E23" s="447">
        <f t="shared" si="5"/>
        <v>6.0571466653660284</v>
      </c>
      <c r="F23" s="447">
        <f t="shared" ca="1" si="6"/>
        <v>442.47758139683322</v>
      </c>
      <c r="G23" s="447">
        <f t="shared" si="7"/>
        <v>0</v>
      </c>
      <c r="H23" s="447">
        <f t="shared" si="8"/>
        <v>0</v>
      </c>
      <c r="I23" s="447">
        <f t="shared" si="9"/>
        <v>0</v>
      </c>
      <c r="J23" s="447">
        <f t="shared" si="10"/>
        <v>4.6287930564230884E-3</v>
      </c>
      <c r="K23" s="447">
        <f t="shared" si="11"/>
        <v>0</v>
      </c>
      <c r="L23" s="447">
        <f t="shared" ca="1" si="12"/>
        <v>0</v>
      </c>
      <c r="M23" s="447">
        <f t="shared" si="13"/>
        <v>0</v>
      </c>
      <c r="N23" s="447">
        <f t="shared" ca="1" si="14"/>
        <v>0</v>
      </c>
      <c r="O23" s="447">
        <f t="shared" si="15"/>
        <v>0</v>
      </c>
      <c r="P23" s="448">
        <f t="shared" si="16"/>
        <v>0</v>
      </c>
      <c r="Q23" s="446">
        <f t="shared" ref="Q23:Q31" ca="1" si="17">SUM(B23:P23)</f>
        <v>4044.0853970085122</v>
      </c>
    </row>
    <row r="24" spans="1:17">
      <c r="A24" s="446" t="s">
        <v>187</v>
      </c>
      <c r="B24" s="447">
        <f t="shared" ca="1" si="2"/>
        <v>117.85486981668058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117.85486981668058</v>
      </c>
    </row>
    <row r="25" spans="1:17">
      <c r="A25" s="446" t="s">
        <v>105</v>
      </c>
      <c r="B25" s="447">
        <f t="shared" ca="1" si="2"/>
        <v>65.738842394770671</v>
      </c>
      <c r="C25" s="447">
        <f t="shared" ca="1" si="3"/>
        <v>0</v>
      </c>
      <c r="D25" s="447">
        <f t="shared" si="4"/>
        <v>6.6372501431692932</v>
      </c>
      <c r="E25" s="447">
        <f t="shared" si="5"/>
        <v>2.1278501851764147</v>
      </c>
      <c r="F25" s="447">
        <f t="shared" si="6"/>
        <v>276.60996532776676</v>
      </c>
      <c r="G25" s="447">
        <f t="shared" si="7"/>
        <v>0</v>
      </c>
      <c r="H25" s="447">
        <f t="shared" si="8"/>
        <v>0</v>
      </c>
      <c r="I25" s="447">
        <f t="shared" si="9"/>
        <v>0</v>
      </c>
      <c r="J25" s="447">
        <f t="shared" si="10"/>
        <v>29.458627246856228</v>
      </c>
      <c r="K25" s="447">
        <f t="shared" si="11"/>
        <v>0</v>
      </c>
      <c r="L25" s="447">
        <f t="shared" si="12"/>
        <v>0</v>
      </c>
      <c r="M25" s="447">
        <f t="shared" si="13"/>
        <v>0</v>
      </c>
      <c r="N25" s="447">
        <f t="shared" si="14"/>
        <v>0</v>
      </c>
      <c r="O25" s="447">
        <f t="shared" si="15"/>
        <v>0</v>
      </c>
      <c r="P25" s="448">
        <f t="shared" si="16"/>
        <v>0</v>
      </c>
      <c r="Q25" s="446">
        <f t="shared" ca="1" si="17"/>
        <v>380.57253529773936</v>
      </c>
    </row>
    <row r="26" spans="1:17">
      <c r="A26" s="446" t="s">
        <v>611</v>
      </c>
      <c r="B26" s="447">
        <f t="shared" ca="1" si="2"/>
        <v>155.45765575047051</v>
      </c>
      <c r="C26" s="447">
        <f t="shared" ca="1" si="3"/>
        <v>0</v>
      </c>
      <c r="D26" s="447">
        <f t="shared" si="4"/>
        <v>259.95572966871288</v>
      </c>
      <c r="E26" s="447">
        <f t="shared" si="5"/>
        <v>0.53415648954732131</v>
      </c>
      <c r="F26" s="447">
        <f t="shared" si="6"/>
        <v>40.210191241260212</v>
      </c>
      <c r="G26" s="447">
        <f t="shared" si="7"/>
        <v>0</v>
      </c>
      <c r="H26" s="447">
        <f t="shared" si="8"/>
        <v>0</v>
      </c>
      <c r="I26" s="447">
        <f t="shared" si="9"/>
        <v>0</v>
      </c>
      <c r="J26" s="447">
        <f t="shared" si="10"/>
        <v>1.6527210536700625E-2</v>
      </c>
      <c r="K26" s="447">
        <f t="shared" si="11"/>
        <v>0</v>
      </c>
      <c r="L26" s="447">
        <f t="shared" si="12"/>
        <v>0</v>
      </c>
      <c r="M26" s="447">
        <f t="shared" si="13"/>
        <v>0</v>
      </c>
      <c r="N26" s="447">
        <f t="shared" si="14"/>
        <v>0</v>
      </c>
      <c r="O26" s="447">
        <f t="shared" si="15"/>
        <v>0</v>
      </c>
      <c r="P26" s="448">
        <f t="shared" si="16"/>
        <v>0</v>
      </c>
      <c r="Q26" s="446">
        <f t="shared" ca="1" si="17"/>
        <v>456.17426036052763</v>
      </c>
    </row>
    <row r="27" spans="1:17" s="452" customFormat="1">
      <c r="A27" s="450" t="s">
        <v>537</v>
      </c>
      <c r="B27" s="770">
        <f t="shared" ca="1" si="2"/>
        <v>7.1869789924542617</v>
      </c>
      <c r="C27" s="451">
        <f t="shared" ca="1" si="3"/>
        <v>0</v>
      </c>
      <c r="D27" s="451">
        <f t="shared" si="4"/>
        <v>13.105877597230396</v>
      </c>
      <c r="E27" s="451">
        <f t="shared" si="5"/>
        <v>5.7642308444265575</v>
      </c>
      <c r="F27" s="451">
        <f t="shared" si="6"/>
        <v>0</v>
      </c>
      <c r="G27" s="451">
        <f t="shared" si="7"/>
        <v>2300.7617125764214</v>
      </c>
      <c r="H27" s="451">
        <f t="shared" si="8"/>
        <v>790.0560271927593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3116.8748272032917</v>
      </c>
    </row>
    <row r="28" spans="1:17" ht="16.5" customHeight="1">
      <c r="A28" s="446" t="s">
        <v>527</v>
      </c>
      <c r="B28" s="447">
        <f t="shared" ca="1" si="2"/>
        <v>2.5579962314301246</v>
      </c>
      <c r="C28" s="447">
        <f t="shared" ca="1" si="3"/>
        <v>0</v>
      </c>
      <c r="D28" s="447">
        <f t="shared" si="4"/>
        <v>0</v>
      </c>
      <c r="E28" s="447">
        <f t="shared" si="5"/>
        <v>0</v>
      </c>
      <c r="F28" s="447">
        <f t="shared" si="6"/>
        <v>0</v>
      </c>
      <c r="G28" s="447">
        <f t="shared" si="7"/>
        <v>212.86336894776679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215.42136517919693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65.918071305826032</v>
      </c>
      <c r="C32" s="447">
        <f t="shared" ca="1" si="3"/>
        <v>0</v>
      </c>
      <c r="D32" s="447">
        <f t="shared" si="4"/>
        <v>233.58560693051226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299.50367823633826</v>
      </c>
    </row>
    <row r="33" spans="1:17" s="458" customFormat="1">
      <c r="A33" s="456" t="s">
        <v>531</v>
      </c>
      <c r="B33" s="457">
        <f ca="1">SUM(B22:B32)</f>
        <v>4493.5966063365031</v>
      </c>
      <c r="C33" s="457">
        <f t="shared" ref="C33:Q33" ca="1" si="19">SUM(C22:C32)</f>
        <v>0</v>
      </c>
      <c r="D33" s="457">
        <f t="shared" ca="1" si="19"/>
        <v>11553.38264701992</v>
      </c>
      <c r="E33" s="457">
        <f t="shared" si="19"/>
        <v>97.776255750918097</v>
      </c>
      <c r="F33" s="457">
        <f t="shared" ca="1" si="19"/>
        <v>2905.4885041841603</v>
      </c>
      <c r="G33" s="457">
        <f t="shared" si="19"/>
        <v>2513.6250815241883</v>
      </c>
      <c r="H33" s="457">
        <f t="shared" si="19"/>
        <v>790.0560271927593</v>
      </c>
      <c r="I33" s="457">
        <f t="shared" si="19"/>
        <v>0</v>
      </c>
      <c r="J33" s="457">
        <f t="shared" si="19"/>
        <v>45.69666367525965</v>
      </c>
      <c r="K33" s="457">
        <f t="shared" si="19"/>
        <v>0</v>
      </c>
      <c r="L33" s="457">
        <f t="shared" ca="1" si="19"/>
        <v>0</v>
      </c>
      <c r="M33" s="457">
        <f t="shared" si="19"/>
        <v>0</v>
      </c>
      <c r="N33" s="457">
        <f t="shared" ca="1" si="19"/>
        <v>0</v>
      </c>
      <c r="O33" s="457">
        <f t="shared" si="19"/>
        <v>0</v>
      </c>
      <c r="P33" s="457">
        <f t="shared" si="19"/>
        <v>0</v>
      </c>
      <c r="Q33" s="457">
        <f t="shared" ca="1" si="19"/>
        <v>22399.621785683714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1950.8458485589078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87.299999999999983</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102.70588235294116</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2038.1458485589078</v>
      </c>
      <c r="C10" s="1016">
        <f>SUM(C4:C9)</f>
        <v>0</v>
      </c>
      <c r="D10" s="1016">
        <f t="shared" ref="D10:H10" si="0">SUM(D8:D9)</f>
        <v>0</v>
      </c>
      <c r="E10" s="1016">
        <f t="shared" si="0"/>
        <v>0</v>
      </c>
      <c r="F10" s="1016">
        <f t="shared" si="0"/>
        <v>0</v>
      </c>
      <c r="G10" s="1016">
        <f t="shared" si="0"/>
        <v>0</v>
      </c>
      <c r="H10" s="1016">
        <f t="shared" si="0"/>
        <v>0</v>
      </c>
      <c r="I10" s="1016">
        <f>SUM(I8:I9)</f>
        <v>0</v>
      </c>
      <c r="J10" s="1016">
        <f>SUM(J8:J9)</f>
        <v>102.70588235294116</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0.20086558636638444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124.71428571428569</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146.72268907563023</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124.71428571428569</v>
      </c>
      <c r="C20" s="1016">
        <f>SUM(C17:C19)</f>
        <v>0</v>
      </c>
      <c r="D20" s="1016">
        <f t="shared" ref="D20:H20" si="2">SUM(D17:D19)</f>
        <v>0</v>
      </c>
      <c r="E20" s="1016">
        <f t="shared" si="2"/>
        <v>0</v>
      </c>
      <c r="F20" s="1016">
        <f t="shared" si="2"/>
        <v>0</v>
      </c>
      <c r="G20" s="1016">
        <f t="shared" si="2"/>
        <v>0</v>
      </c>
      <c r="H20" s="1016">
        <f t="shared" si="2"/>
        <v>0</v>
      </c>
      <c r="I20" s="1016">
        <f>SUM(I17:I19)</f>
        <v>0</v>
      </c>
      <c r="J20" s="1016">
        <f>SUM(J17:J19)</f>
        <v>146.72268907563023</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0.20086558636638444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0.20086558636638444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0.20086558636638444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3264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134.11000000000001</v>
      </c>
      <c r="C14" s="326"/>
      <c r="D14" s="326"/>
      <c r="E14" s="326"/>
      <c r="F14" s="326"/>
    </row>
    <row r="15" spans="1:6">
      <c r="A15" s="1310" t="s">
        <v>177</v>
      </c>
      <c r="B15" s="1311">
        <v>18</v>
      </c>
      <c r="C15" s="326"/>
      <c r="D15" s="326"/>
      <c r="E15" s="326"/>
      <c r="F15" s="326"/>
    </row>
    <row r="16" spans="1:6">
      <c r="A16" s="1310" t="s">
        <v>6</v>
      </c>
      <c r="B16" s="1311">
        <v>631</v>
      </c>
      <c r="C16" s="326"/>
      <c r="D16" s="326"/>
      <c r="E16" s="326"/>
      <c r="F16" s="326"/>
    </row>
    <row r="17" spans="1:6">
      <c r="A17" s="1310" t="s">
        <v>7</v>
      </c>
      <c r="B17" s="1311">
        <v>4</v>
      </c>
      <c r="C17" s="326"/>
      <c r="D17" s="326"/>
      <c r="E17" s="326"/>
      <c r="F17" s="326"/>
    </row>
    <row r="18" spans="1:6">
      <c r="A18" s="1310" t="s">
        <v>8</v>
      </c>
      <c r="B18" s="1311">
        <v>199</v>
      </c>
      <c r="C18" s="326"/>
      <c r="D18" s="326"/>
      <c r="E18" s="326"/>
      <c r="F18" s="326"/>
    </row>
    <row r="19" spans="1:6">
      <c r="A19" s="1310" t="s">
        <v>9</v>
      </c>
      <c r="B19" s="1311">
        <v>221</v>
      </c>
      <c r="C19" s="326"/>
      <c r="D19" s="326"/>
      <c r="E19" s="326"/>
      <c r="F19" s="326"/>
    </row>
    <row r="20" spans="1:6">
      <c r="A20" s="1310" t="s">
        <v>10</v>
      </c>
      <c r="B20" s="1311">
        <v>112</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3</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627.01226864750004</v>
      </c>
      <c r="E38" s="1311">
        <v>2</v>
      </c>
      <c r="F38" s="1311">
        <v>3441.0149635881999</v>
      </c>
    </row>
    <row r="39" spans="1:6">
      <c r="A39" s="1310" t="s">
        <v>29</v>
      </c>
      <c r="B39" s="1310" t="s">
        <v>30</v>
      </c>
      <c r="C39" s="1311">
        <v>2721</v>
      </c>
      <c r="D39" s="1311">
        <v>48226616.318852097</v>
      </c>
      <c r="E39" s="1311">
        <v>3242</v>
      </c>
      <c r="F39" s="1311">
        <v>11623456.287706301</v>
      </c>
    </row>
    <row r="40" spans="1:6">
      <c r="A40" s="1310" t="s">
        <v>29</v>
      </c>
      <c r="B40" s="1310" t="s">
        <v>28</v>
      </c>
      <c r="C40" s="1311">
        <v>0</v>
      </c>
      <c r="D40" s="1311">
        <v>0</v>
      </c>
      <c r="E40" s="1311">
        <v>0</v>
      </c>
      <c r="F40" s="1311">
        <v>0</v>
      </c>
    </row>
    <row r="41" spans="1:6">
      <c r="A41" s="1310" t="s">
        <v>31</v>
      </c>
      <c r="B41" s="1310" t="s">
        <v>32</v>
      </c>
      <c r="C41" s="1311">
        <v>21</v>
      </c>
      <c r="D41" s="1311">
        <v>454941.66640092398</v>
      </c>
      <c r="E41" s="1311">
        <v>37</v>
      </c>
      <c r="F41" s="1311">
        <v>214274.443638408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0</v>
      </c>
      <c r="F44" s="1311">
        <v>0</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1</v>
      </c>
      <c r="F48" s="1311">
        <v>8598.7443210879992</v>
      </c>
    </row>
    <row r="49" spans="1:6">
      <c r="A49" s="1310" t="s">
        <v>31</v>
      </c>
      <c r="B49" s="1310" t="s">
        <v>39</v>
      </c>
      <c r="C49" s="1311">
        <v>0</v>
      </c>
      <c r="D49" s="1311">
        <v>0</v>
      </c>
      <c r="E49" s="1311">
        <v>0</v>
      </c>
      <c r="F49" s="1311">
        <v>0</v>
      </c>
    </row>
    <row r="50" spans="1:6">
      <c r="A50" s="1310" t="s">
        <v>31</v>
      </c>
      <c r="B50" s="1310" t="s">
        <v>40</v>
      </c>
      <c r="C50" s="1311">
        <v>6</v>
      </c>
      <c r="D50" s="1311">
        <v>970207.34003917605</v>
      </c>
      <c r="E50" s="1311">
        <v>7</v>
      </c>
      <c r="F50" s="1311">
        <v>551065.53675022803</v>
      </c>
    </row>
    <row r="51" spans="1:6">
      <c r="A51" s="1310" t="s">
        <v>41</v>
      </c>
      <c r="B51" s="1310" t="s">
        <v>42</v>
      </c>
      <c r="C51" s="1311">
        <v>0</v>
      </c>
      <c r="D51" s="1311">
        <v>0</v>
      </c>
      <c r="E51" s="1311">
        <v>5</v>
      </c>
      <c r="F51" s="1311">
        <v>327277.77606892399</v>
      </c>
    </row>
    <row r="52" spans="1:6">
      <c r="A52" s="1310" t="s">
        <v>41</v>
      </c>
      <c r="B52" s="1310" t="s">
        <v>28</v>
      </c>
      <c r="C52" s="1311">
        <v>1</v>
      </c>
      <c r="D52" s="1311">
        <v>36387.235853915401</v>
      </c>
      <c r="E52" s="1311">
        <v>0</v>
      </c>
      <c r="F52" s="1311">
        <v>0</v>
      </c>
    </row>
    <row r="53" spans="1:6">
      <c r="A53" s="1310" t="s">
        <v>43</v>
      </c>
      <c r="B53" s="1310" t="s">
        <v>44</v>
      </c>
      <c r="C53" s="1311">
        <v>59</v>
      </c>
      <c r="D53" s="1311">
        <v>1156364.3907451101</v>
      </c>
      <c r="E53" s="1311">
        <v>97</v>
      </c>
      <c r="F53" s="1311">
        <v>328170.05888499803</v>
      </c>
    </row>
    <row r="54" spans="1:6">
      <c r="A54" s="1310" t="s">
        <v>45</v>
      </c>
      <c r="B54" s="1310" t="s">
        <v>46</v>
      </c>
      <c r="C54" s="1311">
        <v>0</v>
      </c>
      <c r="D54" s="1311">
        <v>0</v>
      </c>
      <c r="E54" s="1311">
        <v>1</v>
      </c>
      <c r="F54" s="1311">
        <v>586735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23</v>
      </c>
      <c r="D57" s="1311">
        <v>697942.02065877395</v>
      </c>
      <c r="E57" s="1311">
        <v>28</v>
      </c>
      <c r="F57" s="1311">
        <v>1292808.3928159</v>
      </c>
    </row>
    <row r="58" spans="1:6">
      <c r="A58" s="1310" t="s">
        <v>48</v>
      </c>
      <c r="B58" s="1310" t="s">
        <v>50</v>
      </c>
      <c r="C58" s="1311">
        <v>41</v>
      </c>
      <c r="D58" s="1311">
        <v>2927710.3524094098</v>
      </c>
      <c r="E58" s="1311">
        <v>50</v>
      </c>
      <c r="F58" s="1311">
        <v>845712.16196419403</v>
      </c>
    </row>
    <row r="59" spans="1:6">
      <c r="A59" s="1310" t="s">
        <v>48</v>
      </c>
      <c r="B59" s="1310" t="s">
        <v>51</v>
      </c>
      <c r="C59" s="1311">
        <v>54</v>
      </c>
      <c r="D59" s="1311">
        <v>1428780.35434173</v>
      </c>
      <c r="E59" s="1311">
        <v>71</v>
      </c>
      <c r="F59" s="1311">
        <v>1167147.5702403099</v>
      </c>
    </row>
    <row r="60" spans="1:6">
      <c r="A60" s="1310" t="s">
        <v>48</v>
      </c>
      <c r="B60" s="1310" t="s">
        <v>52</v>
      </c>
      <c r="C60" s="1311">
        <v>18</v>
      </c>
      <c r="D60" s="1311">
        <v>1090175.9709640699</v>
      </c>
      <c r="E60" s="1311">
        <v>18</v>
      </c>
      <c r="F60" s="1311">
        <v>644252.81672702602</v>
      </c>
    </row>
    <row r="61" spans="1:6">
      <c r="A61" s="1310" t="s">
        <v>48</v>
      </c>
      <c r="B61" s="1310" t="s">
        <v>53</v>
      </c>
      <c r="C61" s="1311">
        <v>168</v>
      </c>
      <c r="D61" s="1311">
        <v>5609293.8820084399</v>
      </c>
      <c r="E61" s="1311">
        <v>263</v>
      </c>
      <c r="F61" s="1311">
        <v>2489257.1797156702</v>
      </c>
    </row>
    <row r="62" spans="1:6">
      <c r="A62" s="1310" t="s">
        <v>48</v>
      </c>
      <c r="B62" s="1310" t="s">
        <v>54</v>
      </c>
      <c r="C62" s="1311">
        <v>5</v>
      </c>
      <c r="D62" s="1311">
        <v>544344.22303282097</v>
      </c>
      <c r="E62" s="1311">
        <v>7</v>
      </c>
      <c r="F62" s="1311">
        <v>249395.44252218801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80388.867919386597</v>
      </c>
      <c r="E65" s="1311">
        <v>4</v>
      </c>
      <c r="F65" s="1311">
        <v>21382.3963219658</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13959550</v>
      </c>
      <c r="E73" s="445"/>
      <c r="F73" s="326"/>
    </row>
    <row r="74" spans="1:6">
      <c r="A74" s="1310" t="s">
        <v>63</v>
      </c>
      <c r="B74" s="1310" t="s">
        <v>632</v>
      </c>
      <c r="C74" s="1323" t="s">
        <v>634</v>
      </c>
      <c r="D74" s="1311">
        <v>430905.51023612201</v>
      </c>
      <c r="E74" s="445"/>
      <c r="F74" s="326"/>
    </row>
    <row r="75" spans="1:6">
      <c r="A75" s="1310" t="s">
        <v>64</v>
      </c>
      <c r="B75" s="1310" t="s">
        <v>631</v>
      </c>
      <c r="C75" s="1323" t="s">
        <v>635</v>
      </c>
      <c r="D75" s="1311">
        <v>3521713</v>
      </c>
      <c r="E75" s="445"/>
      <c r="F75" s="326"/>
    </row>
    <row r="76" spans="1:6">
      <c r="A76" s="1310" t="s">
        <v>64</v>
      </c>
      <c r="B76" s="1310" t="s">
        <v>632</v>
      </c>
      <c r="C76" s="1323" t="s">
        <v>636</v>
      </c>
      <c r="D76" s="1311">
        <v>5427.6</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237532.97952775599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1950.8458485589078</v>
      </c>
      <c r="C91" s="326"/>
      <c r="D91" s="326"/>
      <c r="E91" s="326"/>
      <c r="F91" s="326"/>
    </row>
    <row r="92" spans="1:6">
      <c r="A92" s="1305" t="s">
        <v>68</v>
      </c>
      <c r="B92" s="130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2061</v>
      </c>
      <c r="C97" s="326"/>
      <c r="D97" s="326"/>
      <c r="E97" s="326"/>
      <c r="F97" s="326"/>
    </row>
    <row r="98" spans="1:6">
      <c r="A98" s="1310" t="s">
        <v>71</v>
      </c>
      <c r="B98" s="1311">
        <v>1</v>
      </c>
      <c r="C98" s="326"/>
      <c r="D98" s="326"/>
      <c r="E98" s="326"/>
      <c r="F98" s="326"/>
    </row>
    <row r="99" spans="1:6">
      <c r="A99" s="1310" t="s">
        <v>72</v>
      </c>
      <c r="B99" s="1311">
        <v>4</v>
      </c>
      <c r="C99" s="326"/>
      <c r="D99" s="326"/>
      <c r="E99" s="326"/>
      <c r="F99" s="326"/>
    </row>
    <row r="100" spans="1:6">
      <c r="A100" s="1310" t="s">
        <v>73</v>
      </c>
      <c r="B100" s="1311">
        <v>226</v>
      </c>
      <c r="C100" s="326"/>
      <c r="D100" s="326"/>
      <c r="E100" s="326"/>
      <c r="F100" s="326"/>
    </row>
    <row r="101" spans="1:6">
      <c r="A101" s="1310" t="s">
        <v>74</v>
      </c>
      <c r="B101" s="1311">
        <v>12</v>
      </c>
      <c r="C101" s="326"/>
      <c r="D101" s="326"/>
      <c r="E101" s="326"/>
      <c r="F101" s="326"/>
    </row>
    <row r="102" spans="1:6">
      <c r="A102" s="1310" t="s">
        <v>75</v>
      </c>
      <c r="B102" s="1311">
        <v>31</v>
      </c>
      <c r="C102" s="326"/>
      <c r="D102" s="326"/>
      <c r="E102" s="326"/>
      <c r="F102" s="326"/>
    </row>
    <row r="103" spans="1:6">
      <c r="A103" s="1310" t="s">
        <v>76</v>
      </c>
      <c r="B103" s="1311">
        <v>25</v>
      </c>
      <c r="C103" s="326"/>
      <c r="D103" s="326"/>
      <c r="E103" s="326"/>
      <c r="F103" s="326"/>
    </row>
    <row r="104" spans="1:6">
      <c r="A104" s="1310" t="s">
        <v>77</v>
      </c>
      <c r="B104" s="1311">
        <v>568</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87</v>
      </c>
      <c r="C123" s="1311">
        <v>12</v>
      </c>
      <c r="D123" s="326"/>
      <c r="E123" s="326"/>
      <c r="F123" s="326"/>
    </row>
    <row r="124" spans="1:6">
      <c r="A124" s="1310" t="s">
        <v>88</v>
      </c>
      <c r="B124" s="1311">
        <v>2</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69</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22371.162166823626</v>
      </c>
      <c r="C3" s="43" t="s">
        <v>163</v>
      </c>
      <c r="D3" s="43"/>
      <c r="E3" s="154"/>
      <c r="F3" s="43"/>
      <c r="G3" s="43"/>
      <c r="H3" s="43"/>
      <c r="I3" s="43"/>
      <c r="J3" s="43"/>
      <c r="K3" s="96"/>
    </row>
    <row r="4" spans="1:11">
      <c r="A4" s="352" t="s">
        <v>164</v>
      </c>
      <c r="B4" s="49">
        <f>IF(ISERROR('SEAP template'!B78+'SEAP template'!C78),0,'SEAP template'!B78+'SEAP template'!C78)</f>
        <v>2038.1458485589078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0.20086558636638444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124.71428571428569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586.73500000000001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586.73500000000001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0.20086558636638444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117.85486981668058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11623.4562877063</v>
      </c>
      <c r="C5" s="17">
        <f>IF(ISERROR('Eigen informatie GS &amp; warmtenet'!B59),0,'Eigen informatie GS &amp; warmtenet'!B59)</f>
        <v>0</v>
      </c>
      <c r="D5" s="30">
        <f>(SUM(HH_hh_gas_kWh,HH_rest_gas_kWh)/1000)*0.903</f>
        <v>43548.63453592344</v>
      </c>
      <c r="E5" s="17">
        <f>B32*B41</f>
        <v>366.9289496317258</v>
      </c>
      <c r="F5" s="17">
        <f>B36*B45</f>
        <v>8038.1676637389501</v>
      </c>
      <c r="G5" s="18"/>
      <c r="H5" s="17"/>
      <c r="I5" s="17"/>
      <c r="J5" s="17">
        <f>B35*B44+C35*C44</f>
        <v>45.810396680255081</v>
      </c>
      <c r="K5" s="17"/>
      <c r="L5" s="17"/>
      <c r="M5" s="17"/>
      <c r="N5" s="17">
        <f>B34*B43+C34*C43</f>
        <v>4015.6440390169173</v>
      </c>
      <c r="O5" s="17">
        <f>B52*B53*B54</f>
        <v>160.70061577034957</v>
      </c>
      <c r="P5" s="17">
        <f>B60*B61*B62/1000-B60*B61*B62/1000/B63</f>
        <v>1063.9298900761873</v>
      </c>
    </row>
    <row r="6" spans="1:16">
      <c r="A6" s="16" t="s">
        <v>597</v>
      </c>
      <c r="B6" s="778">
        <f>kWh_PV_kleiner_dan_10kW</f>
        <v>1950.8458485589078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13574.302136265207</v>
      </c>
      <c r="C8" s="21">
        <f>C5</f>
        <v>0</v>
      </c>
      <c r="D8" s="21">
        <f>D5</f>
        <v>43548.63453592344</v>
      </c>
      <c r="E8" s="21">
        <f>E5</f>
        <v>366.9289496317258</v>
      </c>
      <c r="F8" s="21">
        <f>F5</f>
        <v>8038.1676637389501</v>
      </c>
      <c r="G8" s="21"/>
      <c r="H8" s="21"/>
      <c r="I8" s="21"/>
      <c r="J8" s="21">
        <f>J5</f>
        <v>45.810396680255081</v>
      </c>
      <c r="K8" s="21"/>
      <c r="L8" s="21">
        <f>L5</f>
        <v>0</v>
      </c>
      <c r="M8" s="21">
        <f>M5</f>
        <v>0</v>
      </c>
      <c r="N8" s="21">
        <f>N5</f>
        <v>4015.6440390169173</v>
      </c>
      <c r="O8" s="21">
        <f>O5</f>
        <v>160.70061577034957</v>
      </c>
      <c r="P8" s="21">
        <f>P5</f>
        <v>1063.9298900761873</v>
      </c>
    </row>
    <row r="9" spans="1:16">
      <c r="B9" s="19"/>
      <c r="C9" s="19"/>
      <c r="D9" s="254"/>
      <c r="E9" s="19"/>
      <c r="F9" s="19"/>
      <c r="G9" s="19"/>
      <c r="H9" s="19"/>
      <c r="I9" s="19"/>
      <c r="J9" s="19"/>
      <c r="K9" s="19"/>
      <c r="L9" s="19"/>
      <c r="M9" s="19"/>
      <c r="N9" s="19"/>
      <c r="O9" s="19"/>
      <c r="P9" s="19"/>
    </row>
    <row r="10" spans="1:16">
      <c r="A10" s="24" t="s">
        <v>207</v>
      </c>
      <c r="B10" s="25">
        <f ca="1">'EF ele_warmte'!B12</f>
        <v>0.20086558636638444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2726.6101581153757</v>
      </c>
      <c r="C12" s="23">
        <f ca="1">C10*C8</f>
        <v>0</v>
      </c>
      <c r="D12" s="23">
        <f>D8*D10</f>
        <v>8796.8241762565358</v>
      </c>
      <c r="E12" s="23">
        <f>E10*E8</f>
        <v>83.292871566401757</v>
      </c>
      <c r="F12" s="23">
        <f>F10*F8</f>
        <v>2146.1907662182998</v>
      </c>
      <c r="G12" s="23"/>
      <c r="H12" s="23"/>
      <c r="I12" s="23"/>
      <c r="J12" s="23">
        <f>J10*J8</f>
        <v>16.216880424810299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3264</v>
      </c>
      <c r="C26" s="36"/>
      <c r="D26" s="225"/>
    </row>
    <row r="27" spans="1:5" s="15" customFormat="1">
      <c r="A27" s="227" t="s">
        <v>860</v>
      </c>
      <c r="B27" s="37">
        <f>SUM(HH_hh_gas_aantal,HH_rest_gas_aantal)</f>
        <v>2721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2584.9499999999998</v>
      </c>
      <c r="C31" s="34" t="s">
        <v>104</v>
      </c>
      <c r="D31" s="171"/>
    </row>
    <row r="32" spans="1:5">
      <c r="A32" s="168" t="s">
        <v>72</v>
      </c>
      <c r="B32" s="33">
        <f>IF((B21*($B$26-($B$27-0.05*$B$27)-$B$60))&lt;0,0,(B21*($B$26-($B$27-0.05*$B$27)-$B$60)))</f>
        <v>9.1766586050289547</v>
      </c>
      <c r="C32" s="34" t="s">
        <v>104</v>
      </c>
      <c r="D32" s="171"/>
    </row>
    <row r="33" spans="1:6">
      <c r="A33" s="168" t="s">
        <v>73</v>
      </c>
      <c r="B33" s="33">
        <f>IF((B22*($B$26-($B$27-0.05*$B$27)-$B$60))&lt;0,0,B22*($B$26-($B$27-0.05*$B$27)-$B$60))</f>
        <v>149.0107611738209</v>
      </c>
      <c r="C33" s="34" t="s">
        <v>104</v>
      </c>
      <c r="D33" s="171"/>
    </row>
    <row r="34" spans="1:6">
      <c r="A34" s="168" t="s">
        <v>74</v>
      </c>
      <c r="B34" s="33">
        <f>IF((B24*($B$26-($B$27-0.05*$B$27)-$B$60))&lt;0,0,B24*($B$26-($B$27-0.05*$B$27)-$B$60))</f>
        <v>28.567357048182778</v>
      </c>
      <c r="C34" s="33">
        <f>B26*C24</f>
        <v>668.81298752856014</v>
      </c>
      <c r="D34" s="230"/>
    </row>
    <row r="35" spans="1:6">
      <c r="A35" s="168" t="s">
        <v>76</v>
      </c>
      <c r="B35" s="33">
        <f>IF((B19*($B$26-($B$27-0.05*$B$27)-$B$60))&lt;0,0,B19*($B$26-($B$27-0.05*$B$27)-$B$60))</f>
        <v>3.9890716178531478</v>
      </c>
      <c r="C35" s="33">
        <f>B35/2</f>
        <v>1.9945358089265739</v>
      </c>
      <c r="D35" s="230"/>
    </row>
    <row r="36" spans="1:6">
      <c r="A36" s="168" t="s">
        <v>77</v>
      </c>
      <c r="B36" s="33">
        <f>IF((B18*($B$26-($B$27-0.05*$B$27)-$B$60))&lt;0,0,B18*($B$26-($B$27-0.05*$B$27)-$B$60))</f>
        <v>387.3061515551143</v>
      </c>
      <c r="C36" s="34" t="s">
        <v>104</v>
      </c>
      <c r="D36" s="171"/>
    </row>
    <row r="37" spans="1:6">
      <c r="A37" s="168" t="s">
        <v>78</v>
      </c>
      <c r="B37" s="33">
        <f>B60</f>
        <v>101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81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6688.5735639852892</v>
      </c>
      <c r="C5" s="17">
        <f>IF(ISERROR('Eigen informatie GS &amp; warmtenet'!B60),0,'Eigen informatie GS &amp; warmtenet'!B60)</f>
        <v>0</v>
      </c>
      <c r="D5" s="30">
        <f>SUM(D6:D12)</f>
        <v>11105.316863483966</v>
      </c>
      <c r="E5" s="17">
        <f>SUM(E6:E12)</f>
        <v>26.683465486193956</v>
      </c>
      <c r="F5" s="17">
        <f>SUM(F6:F12)</f>
        <v>1657.2194059806486</v>
      </c>
      <c r="G5" s="18"/>
      <c r="H5" s="17"/>
      <c r="I5" s="17"/>
      <c r="J5" s="17">
        <f>SUM(J6:J12)</f>
        <v>1.3075686600065221E-2</v>
      </c>
      <c r="K5" s="17"/>
      <c r="L5" s="17"/>
      <c r="M5" s="17"/>
      <c r="N5" s="17">
        <f>SUM(N6:N12)</f>
        <v>505.33600330550274</v>
      </c>
      <c r="O5" s="17">
        <f>B38*B39*B40</f>
        <v>4.8972607658411542</v>
      </c>
      <c r="P5" s="17">
        <f>B46*B47*B48/1000-B46*B47*B48/1000/B49</f>
        <v>0</v>
      </c>
      <c r="R5" s="32"/>
    </row>
    <row r="6" spans="1:18">
      <c r="A6" s="32" t="s">
        <v>53</v>
      </c>
      <c r="B6" s="37">
        <f>B26</f>
        <v>2489.2571797156702</v>
      </c>
      <c r="C6" s="33"/>
      <c r="D6" s="37">
        <f>IF(ISERROR(TER_kantoor_gas_kWh/1000),0,TER_kantoor_gas_kWh/1000)*0.903</f>
        <v>5065.1923754536219</v>
      </c>
      <c r="E6" s="33">
        <f>$C$26*'E Balans VL '!I12/100/3.6*1000000</f>
        <v>0.59311661587312003</v>
      </c>
      <c r="F6" s="33">
        <f>$C$26*('E Balans VL '!L12+'E Balans VL '!N12)/100/3.6*1000000</f>
        <v>216.21637119241223</v>
      </c>
      <c r="G6" s="34"/>
      <c r="H6" s="33"/>
      <c r="I6" s="33"/>
      <c r="J6" s="33">
        <f>$C$26*('E Balans VL '!D12+'E Balans VL '!E12)/100/3.6*1000000</f>
        <v>0</v>
      </c>
      <c r="K6" s="33"/>
      <c r="L6" s="33"/>
      <c r="M6" s="33"/>
      <c r="N6" s="33">
        <f>$C$26*'E Balans VL '!Y12/100/3.6*1000000</f>
        <v>3.3272404682649257</v>
      </c>
      <c r="O6" s="33"/>
      <c r="P6" s="33"/>
      <c r="R6" s="32"/>
    </row>
    <row r="7" spans="1:18">
      <c r="A7" s="32" t="s">
        <v>52</v>
      </c>
      <c r="B7" s="37">
        <f t="shared" ref="B7:B12" si="0">B27</f>
        <v>644.25281672702602</v>
      </c>
      <c r="C7" s="33"/>
      <c r="D7" s="37">
        <f>IF(ISERROR(TER_horeca_gas_kWh/1000),0,TER_horeca_gas_kWh/1000)*0.903</f>
        <v>984.42890178055507</v>
      </c>
      <c r="E7" s="33">
        <f>$C$27*'E Balans VL '!I9/100/3.6*1000000</f>
        <v>0</v>
      </c>
      <c r="F7" s="33">
        <f>$C$27*('E Balans VL '!L9+'E Balans VL '!N9)/100/3.6*1000000</f>
        <v>52.494945252764538</v>
      </c>
      <c r="G7" s="34"/>
      <c r="H7" s="33"/>
      <c r="I7" s="33"/>
      <c r="J7" s="33">
        <f>$C$27*('E Balans VL '!D9+'E Balans VL '!E9)/100/3.6*1000000</f>
        <v>0</v>
      </c>
      <c r="K7" s="33"/>
      <c r="L7" s="33"/>
      <c r="M7" s="33"/>
      <c r="N7" s="33">
        <f>$C$27*'E Balans VL '!Y9/100/3.6*1000000</f>
        <v>0.17844603595271089</v>
      </c>
      <c r="O7" s="33"/>
      <c r="P7" s="33"/>
      <c r="R7" s="32"/>
    </row>
    <row r="8" spans="1:18">
      <c r="A8" s="6" t="s">
        <v>51</v>
      </c>
      <c r="B8" s="37">
        <f t="shared" si="0"/>
        <v>1167.14757024031</v>
      </c>
      <c r="C8" s="33"/>
      <c r="D8" s="37">
        <f>IF(ISERROR(TER_handel_gas_kWh/1000),0,TER_handel_gas_kWh/1000)*0.903</f>
        <v>1290.1886599705824</v>
      </c>
      <c r="E8" s="33">
        <f>$C$28*'E Balans VL '!I13/100/3.6*1000000</f>
        <v>9.3297278562162393</v>
      </c>
      <c r="F8" s="33">
        <f>$C$28*('E Balans VL '!L13+'E Balans VL '!N13)/100/3.6*1000000</f>
        <v>115.94885569076249</v>
      </c>
      <c r="G8" s="34"/>
      <c r="H8" s="33"/>
      <c r="I8" s="33"/>
      <c r="J8" s="33">
        <f>$C$28*('E Balans VL '!D13+'E Balans VL '!E13)/100/3.6*1000000</f>
        <v>0</v>
      </c>
      <c r="K8" s="33"/>
      <c r="L8" s="33"/>
      <c r="M8" s="33"/>
      <c r="N8" s="33">
        <f>$C$28*'E Balans VL '!Y13/100/3.6*1000000</f>
        <v>0.43599909073251886</v>
      </c>
      <c r="O8" s="33"/>
      <c r="P8" s="33"/>
      <c r="R8" s="32"/>
    </row>
    <row r="9" spans="1:18">
      <c r="A9" s="32" t="s">
        <v>50</v>
      </c>
      <c r="B9" s="37">
        <f t="shared" si="0"/>
        <v>845.71216196419402</v>
      </c>
      <c r="C9" s="33"/>
      <c r="D9" s="37">
        <f>IF(ISERROR(TER_gezond_gas_kWh/1000),0,TER_gezond_gas_kWh/1000)*0.903</f>
        <v>2643.7224482256975</v>
      </c>
      <c r="E9" s="33">
        <f>$C$29*'E Balans VL '!I10/100/3.6*1000000</f>
        <v>0</v>
      </c>
      <c r="F9" s="33">
        <f>$C$29*('E Balans VL '!L10+'E Balans VL '!N10)/100/3.6*1000000</f>
        <v>77.100445031883979</v>
      </c>
      <c r="G9" s="34"/>
      <c r="H9" s="33"/>
      <c r="I9" s="33"/>
      <c r="J9" s="33">
        <f>$C$29*('E Balans VL '!D10+'E Balans VL '!E10)/100/3.6*1000000</f>
        <v>0</v>
      </c>
      <c r="K9" s="33"/>
      <c r="L9" s="33"/>
      <c r="M9" s="33"/>
      <c r="N9" s="33">
        <f>$C$29*'E Balans VL '!Y10/100/3.6*1000000</f>
        <v>6.1813980105102013</v>
      </c>
      <c r="O9" s="33"/>
      <c r="P9" s="33"/>
      <c r="R9" s="32"/>
    </row>
    <row r="10" spans="1:18">
      <c r="A10" s="32" t="s">
        <v>49</v>
      </c>
      <c r="B10" s="37">
        <f t="shared" si="0"/>
        <v>1292.8083928159001</v>
      </c>
      <c r="C10" s="33"/>
      <c r="D10" s="37">
        <f>IF(ISERROR(TER_ander_gas_kWh/1000),0,TER_ander_gas_kWh/1000)*0.903</f>
        <v>630.24164465487286</v>
      </c>
      <c r="E10" s="33">
        <f>$C$30*'E Balans VL '!I14/100/3.6*1000000</f>
        <v>16.760621014104597</v>
      </c>
      <c r="F10" s="33">
        <f>$C$30*('E Balans VL '!L14+'E Balans VL '!N14)/100/3.6*1000000</f>
        <v>1185.6868099569708</v>
      </c>
      <c r="G10" s="34"/>
      <c r="H10" s="33"/>
      <c r="I10" s="33"/>
      <c r="J10" s="33">
        <f>$C$30*('E Balans VL '!D14+'E Balans VL '!E14)/100/3.6*1000000</f>
        <v>1.3075686600065221E-2</v>
      </c>
      <c r="K10" s="33"/>
      <c r="L10" s="33"/>
      <c r="M10" s="33"/>
      <c r="N10" s="33">
        <f>$C$30*'E Balans VL '!Y14/100/3.6*1000000</f>
        <v>494.42751183270315</v>
      </c>
      <c r="O10" s="33"/>
      <c r="P10" s="33"/>
      <c r="R10" s="32"/>
    </row>
    <row r="11" spans="1:18">
      <c r="A11" s="32" t="s">
        <v>54</v>
      </c>
      <c r="B11" s="37">
        <f t="shared" si="0"/>
        <v>249.39544252218801</v>
      </c>
      <c r="C11" s="33"/>
      <c r="D11" s="37">
        <f>IF(ISERROR(TER_onderwijs_gas_kWh/1000),0,TER_onderwijs_gas_kWh/1000)*0.903</f>
        <v>491.54283339863736</v>
      </c>
      <c r="E11" s="33">
        <f>$C$31*'E Balans VL '!I11/100/3.6*1000000</f>
        <v>0</v>
      </c>
      <c r="F11" s="33">
        <f>$C$31*('E Balans VL '!L11+'E Balans VL '!N11)/100/3.6*1000000</f>
        <v>9.7719788558544618</v>
      </c>
      <c r="G11" s="34"/>
      <c r="H11" s="33"/>
      <c r="I11" s="33"/>
      <c r="J11" s="33">
        <f>$C$31*('E Balans VL '!D11+'E Balans VL '!E11)/100/3.6*1000000</f>
        <v>0</v>
      </c>
      <c r="K11" s="33"/>
      <c r="L11" s="33"/>
      <c r="M11" s="33"/>
      <c r="N11" s="33">
        <f>$C$31*'E Balans VL '!Y11/100/3.6*1000000</f>
        <v>0.78540786733924417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43.649999999999991</v>
      </c>
      <c r="C13" s="243">
        <f ca="1">'lokale energieproductie'!O39+'lokale energieproductie'!O32</f>
        <v>62.357142857142847</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-124.71428571428569</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6732.2235639852888</v>
      </c>
      <c r="C16" s="21">
        <f t="shared" ca="1" si="1"/>
        <v>62.357142857142847</v>
      </c>
      <c r="D16" s="21">
        <f t="shared" ca="1" si="1"/>
        <v>11105.316863483966</v>
      </c>
      <c r="E16" s="21">
        <f t="shared" si="1"/>
        <v>26.683465486193956</v>
      </c>
      <c r="F16" s="21">
        <f t="shared" ca="1" si="1"/>
        <v>1657.2194059806486</v>
      </c>
      <c r="G16" s="21">
        <f t="shared" si="1"/>
        <v>0</v>
      </c>
      <c r="H16" s="21">
        <f t="shared" si="1"/>
        <v>0</v>
      </c>
      <c r="I16" s="21">
        <f t="shared" si="1"/>
        <v>0</v>
      </c>
      <c r="J16" s="21">
        <f t="shared" si="1"/>
        <v>1.3075686600065221E-2</v>
      </c>
      <c r="K16" s="21">
        <f t="shared" si="1"/>
        <v>0</v>
      </c>
      <c r="L16" s="21">
        <f t="shared" ca="1" si="1"/>
        <v>0</v>
      </c>
      <c r="M16" s="21">
        <f t="shared" si="1"/>
        <v>0</v>
      </c>
      <c r="N16" s="21">
        <f t="shared" ca="1" si="1"/>
        <v>380.62171759121702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0.20086558636638444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1352.2720337294954</v>
      </c>
      <c r="C20" s="23">
        <f t="shared" ref="C20:P20" ca="1" si="2">C16*C18</f>
        <v>0</v>
      </c>
      <c r="D20" s="23">
        <f t="shared" ca="1" si="2"/>
        <v>2243.2740064237614</v>
      </c>
      <c r="E20" s="23">
        <f t="shared" si="2"/>
        <v>6.0571466653660284</v>
      </c>
      <c r="F20" s="23">
        <f t="shared" ca="1" si="2"/>
        <v>442.47758139683322</v>
      </c>
      <c r="G20" s="23">
        <f t="shared" si="2"/>
        <v>0</v>
      </c>
      <c r="H20" s="23">
        <f t="shared" si="2"/>
        <v>0</v>
      </c>
      <c r="I20" s="23">
        <f t="shared" si="2"/>
        <v>0</v>
      </c>
      <c r="J20" s="23">
        <f t="shared" si="2"/>
        <v>4.6287930564230884E-3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2489.2571797156702</v>
      </c>
      <c r="C26" s="39">
        <f>IF(ISERROR(B26*3.6/1000000/'E Balans VL '!Z12*100),0,B26*3.6/1000000/'E Balans VL '!Z12*100)</f>
        <v>7.1416554234230975E-2</v>
      </c>
      <c r="D26" s="233" t="s">
        <v>835</v>
      </c>
      <c r="F26" s="6"/>
    </row>
    <row r="27" spans="1:18" ht="30">
      <c r="A27" s="228" t="s">
        <v>52</v>
      </c>
      <c r="B27" s="33">
        <f>IF(ISERROR(TER_horeca_ele_kWh/1000),0,TER_horeca_ele_kWh/1000)</f>
        <v>644.25281672702602</v>
      </c>
      <c r="C27" s="39">
        <f>IF(ISERROR(B27*3.6/1000000/'E Balans VL '!Z9*100),0,B27*3.6/1000000/'E Balans VL '!Z9*100)</f>
        <v>4.71981894418287E-2</v>
      </c>
      <c r="D27" s="233" t="s">
        <v>835</v>
      </c>
      <c r="F27" s="6"/>
    </row>
    <row r="28" spans="1:18" ht="30">
      <c r="A28" s="168" t="s">
        <v>51</v>
      </c>
      <c r="B28" s="33">
        <f>IF(ISERROR(TER_handel_ele_kWh/1000),0,TER_handel_ele_kWh/1000)</f>
        <v>1167.14757024031</v>
      </c>
      <c r="C28" s="39">
        <f>IF(ISERROR(B28*3.6/1000000/'E Balans VL '!Z13*100),0,B28*3.6/1000000/'E Balans VL '!Z13*100)</f>
        <v>3.6065844352603828E-2</v>
      </c>
      <c r="D28" s="233" t="s">
        <v>835</v>
      </c>
      <c r="F28" s="6"/>
    </row>
    <row r="29" spans="1:18" ht="30">
      <c r="A29" s="228" t="s">
        <v>50</v>
      </c>
      <c r="B29" s="33">
        <f>IF(ISERROR(TER_gezond_ele_kWh/1000),0,TER_gezond_ele_kWh/1000)</f>
        <v>845.71216196419402</v>
      </c>
      <c r="C29" s="39">
        <f>IF(ISERROR(B29*3.6/1000000/'E Balans VL '!Z10*100),0,B29*3.6/1000000/'E Balans VL '!Z10*100)</f>
        <v>8.2884992118516826E-2</v>
      </c>
      <c r="D29" s="233" t="s">
        <v>835</v>
      </c>
      <c r="F29" s="6"/>
    </row>
    <row r="30" spans="1:18" ht="30">
      <c r="A30" s="228" t="s">
        <v>49</v>
      </c>
      <c r="B30" s="33">
        <f>IF(ISERROR(TER_ander_ele_kWh/1000),0,TER_ander_ele_kWh/1000)</f>
        <v>1292.8083928159001</v>
      </c>
      <c r="C30" s="39">
        <f>IF(ISERROR(B30*3.6/1000000/'E Balans VL '!Z14*100),0,B30*3.6/1000000/'E Balans VL '!Z14*100)</f>
        <v>5.3552300068526508E-2</v>
      </c>
      <c r="D30" s="233" t="s">
        <v>835</v>
      </c>
      <c r="F30" s="6"/>
    </row>
    <row r="31" spans="1:18" ht="30">
      <c r="A31" s="228" t="s">
        <v>54</v>
      </c>
      <c r="B31" s="33">
        <f>IF(ISERROR(TER_onderwijs_ele_kWh/1000),0,TER_onderwijs_ele_kWh/1000)</f>
        <v>249.39544252218801</v>
      </c>
      <c r="C31" s="39">
        <f>IF(ISERROR(B31*3.6/1000000/'E Balans VL '!Z11*100),0,B31*3.6/1000000/'E Balans VL '!Z11*100)</f>
        <v>7.6631637212178347E-2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773.93872470972406</v>
      </c>
      <c r="C5" s="17">
        <f>IF(ISERROR('Eigen informatie GS &amp; warmtenet'!B61),0,'Eigen informatie GS &amp; warmtenet'!B61)</f>
        <v>0</v>
      </c>
      <c r="D5" s="30">
        <f>SUM(D6:D15)</f>
        <v>1286.9095528154103</v>
      </c>
      <c r="E5" s="17">
        <f>SUM(E6:E15)</f>
        <v>2.3531122887547191</v>
      </c>
      <c r="F5" s="17">
        <f>SUM(F6:F15)</f>
        <v>150.59996719573113</v>
      </c>
      <c r="G5" s="18"/>
      <c r="H5" s="17"/>
      <c r="I5" s="17"/>
      <c r="J5" s="17">
        <f>SUM(J6:J15)</f>
        <v>4.6687035414408551E-2</v>
      </c>
      <c r="K5" s="17"/>
      <c r="L5" s="17"/>
      <c r="M5" s="17"/>
      <c r="N5" s="17">
        <f>SUM(N6:N15)</f>
        <v>30.850108902565406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214.274443638408</v>
      </c>
      <c r="C9" s="33"/>
      <c r="D9" s="37">
        <f>IF( ISERROR(IND_andere_gas_kWh/1000),0,IND_andere_gas_kWh/1000)*0.903</f>
        <v>410.81232476003436</v>
      </c>
      <c r="E9" s="33">
        <f>C31*'E Balans VL '!I19/100/3.6*1000000</f>
        <v>0.69171439512159161</v>
      </c>
      <c r="F9" s="33">
        <f>C31*'E Balans VL '!L19/100/3.6*1000000+C31*'E Balans VL '!N19/100/3.6*1000000</f>
        <v>138.55153732413763</v>
      </c>
      <c r="G9" s="34"/>
      <c r="H9" s="33"/>
      <c r="I9" s="33"/>
      <c r="J9" s="40">
        <f>C31*'E Balans VL '!D19/100/3.6*1000000+C31*'E Balans VL '!E19/100/3.6*1000000</f>
        <v>0</v>
      </c>
      <c r="K9" s="33"/>
      <c r="L9" s="33"/>
      <c r="M9" s="33"/>
      <c r="N9" s="33">
        <f>C31*'E Balans VL '!Y19/100/3.6*1000000</f>
        <v>8.6585827587391737</v>
      </c>
      <c r="O9" s="33"/>
      <c r="P9" s="33"/>
      <c r="R9" s="32"/>
    </row>
    <row r="10" spans="1:18">
      <c r="A10" s="6" t="s">
        <v>40</v>
      </c>
      <c r="B10" s="37">
        <f t="shared" si="0"/>
        <v>551.06553675022803</v>
      </c>
      <c r="C10" s="33"/>
      <c r="D10" s="37">
        <f>IF( ISERROR(IND_voed_gas_kWh/1000),0,IND_voed_gas_kWh/1000)*0.903</f>
        <v>876.09722805537604</v>
      </c>
      <c r="E10" s="33">
        <f>C32*'E Balans VL '!I20/100/3.6*1000000</f>
        <v>1.1551684166210023</v>
      </c>
      <c r="F10" s="33">
        <f>C32*'E Balans VL '!L20/100/3.6*1000000+C32*'E Balans VL '!N20/100/3.6*1000000</f>
        <v>10.736661070694518</v>
      </c>
      <c r="G10" s="34"/>
      <c r="H10" s="33"/>
      <c r="I10" s="33"/>
      <c r="J10" s="40">
        <f>C32*'E Balans VL '!D20/100/3.6*1000000+C32*'E Balans VL '!E20/100/3.6*1000000</f>
        <v>0</v>
      </c>
      <c r="K10" s="33"/>
      <c r="L10" s="33"/>
      <c r="M10" s="33"/>
      <c r="N10" s="33">
        <f>C32*'E Balans VL '!Y20/100/3.6*1000000</f>
        <v>21.919859274348259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8.5987443210879988</v>
      </c>
      <c r="C15" s="33"/>
      <c r="D15" s="37">
        <f>IF( ISERROR(IND_rest_gas_kWh/1000),0,IND_rest_gas_kWh/1000)*0.903</f>
        <v>0</v>
      </c>
      <c r="E15" s="33">
        <f>C37*'E Balans VL '!I15/100/3.6*1000000</f>
        <v>0.5062294770121254</v>
      </c>
      <c r="F15" s="33">
        <f>C37*'E Balans VL '!L15/100/3.6*1000000+C37*'E Balans VL '!N15/100/3.6*1000000</f>
        <v>1.3117688008989954</v>
      </c>
      <c r="G15" s="34"/>
      <c r="H15" s="33"/>
      <c r="I15" s="33"/>
      <c r="J15" s="40">
        <f>C37*'E Balans VL '!D15/100/3.6*1000000+C37*'E Balans VL '!E15/100/3.6*1000000</f>
        <v>4.6687035414408551E-2</v>
      </c>
      <c r="K15" s="33"/>
      <c r="L15" s="33"/>
      <c r="M15" s="33"/>
      <c r="N15" s="33">
        <f>C37*'E Balans VL '!Y15/100/3.6*1000000</f>
        <v>0.27166686947797036</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773.93872470972406</v>
      </c>
      <c r="C18" s="21">
        <f>C5+C16</f>
        <v>0</v>
      </c>
      <c r="D18" s="21">
        <f>MAX((D5+D16),0)</f>
        <v>1286.9095528154103</v>
      </c>
      <c r="E18" s="21">
        <f>MAX((E5+E16),0)</f>
        <v>2.3531122887547191</v>
      </c>
      <c r="F18" s="21">
        <f>MAX((F5+F16),0)</f>
        <v>150.59996719573113</v>
      </c>
      <c r="G18" s="21"/>
      <c r="H18" s="21"/>
      <c r="I18" s="21"/>
      <c r="J18" s="21">
        <f>MAX((J5+J16),0)</f>
        <v>4.6687035414408551E-2</v>
      </c>
      <c r="K18" s="21"/>
      <c r="L18" s="21">
        <f>MAX((L5+L16),0)</f>
        <v>0</v>
      </c>
      <c r="M18" s="21"/>
      <c r="N18" s="21">
        <f>MAX((N5+N16),0)</f>
        <v>30.850108902565406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0.20086558636638444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155.45765575047051</v>
      </c>
      <c r="C22" s="23">
        <f ca="1">C18*C20</f>
        <v>0</v>
      </c>
      <c r="D22" s="23">
        <f>D18*D20</f>
        <v>259.95572966871288</v>
      </c>
      <c r="E22" s="23">
        <f>E18*E20</f>
        <v>0.53415648954732131</v>
      </c>
      <c r="F22" s="23">
        <f>F18*F20</f>
        <v>40.210191241260212</v>
      </c>
      <c r="G22" s="23"/>
      <c r="H22" s="23"/>
      <c r="I22" s="23"/>
      <c r="J22" s="23">
        <f>J18*J20</f>
        <v>1.6527210536700625E-2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0</v>
      </c>
      <c r="C30" s="39">
        <f>IF(ISERROR(B30*3.6/1000000/'E Balans VL '!Z18*100),0,B30*3.6/1000000/'E Balans VL '!Z18*100)</f>
        <v>0</v>
      </c>
      <c r="D30" s="233" t="s">
        <v>835</v>
      </c>
    </row>
    <row r="31" spans="1:18" ht="30">
      <c r="A31" s="6" t="s">
        <v>32</v>
      </c>
      <c r="B31" s="37">
        <f>IF( ISERROR(IND_ander_ele_kWh/1000),0,IND_ander_ele_kWh/1000)</f>
        <v>214.274443638408</v>
      </c>
      <c r="C31" s="39">
        <f>IF(ISERROR(B31*3.6/1000000/'E Balans VL '!Z19*100),0,B31*3.6/1000000/'E Balans VL '!Z19*100)</f>
        <v>8.7299844329770289E-3</v>
      </c>
      <c r="D31" s="233" t="s">
        <v>835</v>
      </c>
    </row>
    <row r="32" spans="1:18" ht="30">
      <c r="A32" s="168" t="s">
        <v>40</v>
      </c>
      <c r="B32" s="37">
        <f>IF( ISERROR(IND_voed_ele_kWh/1000),0,IND_voed_ele_kWh/1000)</f>
        <v>551.06553675022803</v>
      </c>
      <c r="C32" s="39">
        <f>IF(ISERROR(B32*3.6/1000000/'E Balans VL '!Z20*100),0,B32*3.6/1000000/'E Balans VL '!Z20*100)</f>
        <v>1.5933522320878191E-2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8.5987443210879988</v>
      </c>
      <c r="C37" s="39">
        <f>IF(ISERROR(B37*3.6/1000000/'E Balans VL '!Z15*100),0,B37*3.6/1000000/'E Balans VL '!Z15*100)</f>
        <v>7.0602203750566643E-5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327.27777606892397</v>
      </c>
      <c r="C5" s="17">
        <f>'Eigen informatie GS &amp; warmtenet'!B62</f>
        <v>0</v>
      </c>
      <c r="D5" s="30">
        <f>IF(ISERROR(SUM(LB_lb_gas_kWh,LB_rest_gas_kWh)/1000),0,SUM(LB_lb_gas_kWh,LB_rest_gas_kWh)/1000)*0.903</f>
        <v>32.857673976085607</v>
      </c>
      <c r="E5" s="17">
        <f>B17*'E Balans VL '!I25/3.6*1000000/100</f>
        <v>9.3737893620106369</v>
      </c>
      <c r="F5" s="17">
        <f>B17*('E Balans VL '!L25/3.6*1000000+'E Balans VL '!N25/3.6*1000000)/100</f>
        <v>1035.9923795047443</v>
      </c>
      <c r="G5" s="18"/>
      <c r="H5" s="17"/>
      <c r="I5" s="17"/>
      <c r="J5" s="17">
        <f>('E Balans VL '!D25+'E Balans VL '!E25)/3.6*1000000*landbouw!B17/100</f>
        <v>83.216461149311385</v>
      </c>
      <c r="K5" s="17"/>
      <c r="L5" s="17">
        <f>L6*(-1)</f>
        <v>0</v>
      </c>
      <c r="M5" s="17"/>
      <c r="N5" s="17">
        <f>N6*(-1)</f>
        <v>124.71428571428569</v>
      </c>
      <c r="O5" s="17"/>
      <c r="P5" s="17"/>
      <c r="R5" s="32"/>
    </row>
    <row r="6" spans="1:18">
      <c r="A6" s="16" t="s">
        <v>467</v>
      </c>
      <c r="B6" s="17" t="s">
        <v>204</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327.27777606892397</v>
      </c>
      <c r="C8" s="21">
        <f>C5+C6</f>
        <v>62.357142857142847</v>
      </c>
      <c r="D8" s="21">
        <f>MAX((D5+D6),0)</f>
        <v>32.857673976085607</v>
      </c>
      <c r="E8" s="21">
        <f>MAX((E5+E6),0)</f>
        <v>9.3737893620106369</v>
      </c>
      <c r="F8" s="21">
        <f>MAX((F5+F6),0)</f>
        <v>1035.9923795047443</v>
      </c>
      <c r="G8" s="21"/>
      <c r="H8" s="21"/>
      <c r="I8" s="21"/>
      <c r="J8" s="21">
        <f>MAX((J5+J6),0)</f>
        <v>83.216461149311385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0.20086558636638444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65.738842394770671</v>
      </c>
      <c r="C12" s="23">
        <f ca="1">C8*C10</f>
        <v>0</v>
      </c>
      <c r="D12" s="23">
        <f>D8*D10</f>
        <v>6.6372501431692932</v>
      </c>
      <c r="E12" s="23">
        <f>E8*E10</f>
        <v>2.1278501851764147</v>
      </c>
      <c r="F12" s="23">
        <f>F8*F10</f>
        <v>276.60996532776676</v>
      </c>
      <c r="G12" s="23"/>
      <c r="H12" s="23"/>
      <c r="I12" s="23"/>
      <c r="J12" s="23">
        <f>J8*J10</f>
        <v>29.458627246856228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4.5320547525637141E-2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106.92483361980153</v>
      </c>
      <c r="C26" s="243">
        <f>B26*'GWP N2O_CH4'!B5</f>
        <v>2245.4215060158322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22.94317016133277</v>
      </c>
      <c r="C27" s="243">
        <f>B27*'GWP N2O_CH4'!B5</f>
        <v>481.80657338798818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1.092335588660595</v>
      </c>
      <c r="C28" s="243">
        <f>B28*'GWP N2O_CH4'!B4</f>
        <v>338.62403248478444</v>
      </c>
      <c r="D28" s="50"/>
    </row>
    <row r="29" spans="1:4">
      <c r="A29" s="41" t="s">
        <v>266</v>
      </c>
      <c r="B29" s="243">
        <f>B34*'ha_N2O bodem landbouw'!B4</f>
        <v>0.87462551824600576</v>
      </c>
      <c r="C29" s="243">
        <f>B29*'GWP N2O_CH4'!B4</f>
        <v>271.13391065626178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1.9869926432971579E-4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1.2880814897601247E-4</v>
      </c>
      <c r="C5" s="432" t="s">
        <v>204</v>
      </c>
      <c r="D5" s="417">
        <f>SUM(D6:D11)</f>
        <v>2.3357009579222485E-4</v>
      </c>
      <c r="E5" s="417">
        <f>SUM(E6:E11)</f>
        <v>9.1415114713372717E-5</v>
      </c>
      <c r="F5" s="430" t="s">
        <v>204</v>
      </c>
      <c r="G5" s="417">
        <f>SUM(G6:G11)</f>
        <v>3.1021506236985456E-2</v>
      </c>
      <c r="H5" s="417">
        <f>SUM(H6:H11)</f>
        <v>1.1422496778690496E-2</v>
      </c>
      <c r="I5" s="432" t="s">
        <v>204</v>
      </c>
      <c r="J5" s="432" t="s">
        <v>204</v>
      </c>
      <c r="K5" s="432" t="s">
        <v>204</v>
      </c>
      <c r="L5" s="432" t="s">
        <v>204</v>
      </c>
      <c r="M5" s="417">
        <f>SUM(M6:M11)</f>
        <v>2.5909626897045119E-3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9.788723205448715E-5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1.6320603780016279E-4</v>
      </c>
      <c r="E6" s="884">
        <f>vkm_GW_PW*SUMIFS(TableVerdeelsleutelVkm[LPG],TableVerdeelsleutelVkm[Voertuigtype],"Lichte voertuigen")*SUMIFS(TableECFTransport[EnergieConsumptieFactor (PJ per km)],TableECFTransport[Index],CONCATENATE($A6,"_LPG_LPG"))</f>
        <v>6.4704556042364167E-5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1.9445344497663743E-2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8.0039097444577333E-3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1.6839307974665578E-3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1.048385704677173E-7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4.1558670142164359E-3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3.0664283150643734E-8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2.3862285578592641E-4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3.0814757825300654E-5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7.0364057992062073E-5</v>
      </c>
      <c r="E8" s="420">
        <f>vkm_NGW_PW*SUMIFS(TableVerdeelsleutelVkm[LPG],TableVerdeelsleutelVkm[Voertuigtype],"Lichte voertuigen")*SUMIFS(TableECFTransport[EnergieConsumptieFactor (PJ per km)],TableECFTransport[Index],CONCATENATE($A8,"_LPG_LPG"))</f>
        <v>2.6710558671008557E-5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7.3528847684202342E-3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3.418555903746629E-3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6.6453847294992608E-4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1.3205257569316702E-9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6.7409956685039461E-5</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4.6620298385661633E-10</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3.8705635021012499E-6</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35.780041382225683</v>
      </c>
      <c r="C14" s="21"/>
      <c r="D14" s="21">
        <f t="shared" ref="D14:M14" si="0">((D5)*10^9/3600)+D12</f>
        <v>64.880582164506905</v>
      </c>
      <c r="E14" s="21">
        <f t="shared" si="0"/>
        <v>25.39308742038131</v>
      </c>
      <c r="F14" s="21"/>
      <c r="G14" s="21">
        <f t="shared" si="0"/>
        <v>8617.0850658292929</v>
      </c>
      <c r="H14" s="21">
        <f t="shared" si="0"/>
        <v>3172.9157718584711</v>
      </c>
      <c r="I14" s="21"/>
      <c r="J14" s="21"/>
      <c r="K14" s="21"/>
      <c r="L14" s="21"/>
      <c r="M14" s="21">
        <f t="shared" si="0"/>
        <v>719.71185825125326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0.20086558636638444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7.1869789924542617</v>
      </c>
      <c r="C18" s="23"/>
      <c r="D18" s="23">
        <f t="shared" ref="D18:M18" si="1">D14*D16</f>
        <v>13.105877597230396</v>
      </c>
      <c r="E18" s="23">
        <f t="shared" si="1"/>
        <v>5.7642308444265575</v>
      </c>
      <c r="F18" s="23"/>
      <c r="G18" s="23">
        <f t="shared" si="1"/>
        <v>2300.7617125764214</v>
      </c>
      <c r="H18" s="23">
        <f t="shared" si="1"/>
        <v>790.0560271927593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4.5845515898135801E-5</v>
      </c>
      <c r="C50" s="315">
        <f t="shared" ref="C50:P50" si="2">SUM(C51:C52)</f>
        <v>0</v>
      </c>
      <c r="D50" s="315">
        <f t="shared" si="2"/>
        <v>0</v>
      </c>
      <c r="E50" s="315">
        <f t="shared" si="2"/>
        <v>0</v>
      </c>
      <c r="F50" s="315">
        <f t="shared" si="2"/>
        <v>0</v>
      </c>
      <c r="G50" s="315">
        <f t="shared" si="2"/>
        <v>2.8700678959249454E-3</v>
      </c>
      <c r="H50" s="315">
        <f t="shared" si="2"/>
        <v>0</v>
      </c>
      <c r="I50" s="315">
        <f t="shared" si="2"/>
        <v>0</v>
      </c>
      <c r="J50" s="315">
        <f t="shared" si="2"/>
        <v>0</v>
      </c>
      <c r="K50" s="315">
        <f t="shared" si="2"/>
        <v>0</v>
      </c>
      <c r="L50" s="315">
        <f t="shared" si="2"/>
        <v>0</v>
      </c>
      <c r="M50" s="315">
        <f t="shared" si="2"/>
        <v>1.6479294358541245E-4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4.5845515898135801E-5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2.8700678959249454E-3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1.6479294358541245E-4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12.734865527259945</v>
      </c>
      <c r="C54" s="21">
        <f t="shared" ref="C54:P54" si="3">(C50)*10^9/3600</f>
        <v>0</v>
      </c>
      <c r="D54" s="21">
        <f t="shared" si="3"/>
        <v>0</v>
      </c>
      <c r="E54" s="21">
        <f t="shared" si="3"/>
        <v>0</v>
      </c>
      <c r="F54" s="21">
        <f t="shared" si="3"/>
        <v>0</v>
      </c>
      <c r="G54" s="21">
        <f t="shared" si="3"/>
        <v>797.24108220137373</v>
      </c>
      <c r="H54" s="21">
        <f t="shared" si="3"/>
        <v>0</v>
      </c>
      <c r="I54" s="21">
        <f t="shared" si="3"/>
        <v>0</v>
      </c>
      <c r="J54" s="21">
        <f t="shared" si="3"/>
        <v>0</v>
      </c>
      <c r="K54" s="21">
        <f t="shared" si="3"/>
        <v>0</v>
      </c>
      <c r="L54" s="21">
        <f t="shared" si="3"/>
        <v>0</v>
      </c>
      <c r="M54" s="21">
        <f t="shared" si="3"/>
        <v>45.775817662614564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0.20086558636638444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2.5579962314301246</v>
      </c>
      <c r="C58" s="23">
        <f t="shared" ref="C58:P58" ca="1" si="4">C54*C56</f>
        <v>0</v>
      </c>
      <c r="D58" s="23">
        <f t="shared" si="4"/>
        <v>0</v>
      </c>
      <c r="E58" s="23">
        <f t="shared" si="4"/>
        <v>0</v>
      </c>
      <c r="F58" s="23">
        <f t="shared" si="4"/>
        <v>0</v>
      </c>
      <c r="G58" s="23">
        <f t="shared" si="4"/>
        <v>212.86336894776679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1950.8458485589078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87.299999999999983</v>
      </c>
      <c r="C8" s="543">
        <f>B49</f>
        <v>0</v>
      </c>
      <c r="D8" s="544"/>
      <c r="E8" s="544">
        <f>E49</f>
        <v>0</v>
      </c>
      <c r="F8" s="545"/>
      <c r="G8" s="546"/>
      <c r="H8" s="544">
        <f>I49</f>
        <v>0</v>
      </c>
      <c r="I8" s="544">
        <f>G49+F49</f>
        <v>0</v>
      </c>
      <c r="J8" s="544">
        <f>H49+D49+C49</f>
        <v>102.70588235294116</v>
      </c>
      <c r="K8" s="544"/>
      <c r="L8" s="544"/>
      <c r="M8" s="544"/>
      <c r="N8" s="547"/>
      <c r="O8" s="548">
        <f>C8*$C$12+D8*$D$12+E8*$E$12+F8*$F$12+G8*$G$12+H8*$H$12+I8*$I$12+J8*$J$12</f>
        <v>0</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2038.1458485589078</v>
      </c>
      <c r="C10" s="558">
        <f t="shared" ref="C10:L10" si="0">SUM(C8:C9)</f>
        <v>0</v>
      </c>
      <c r="D10" s="558">
        <f t="shared" si="0"/>
        <v>0</v>
      </c>
      <c r="E10" s="558">
        <f t="shared" si="0"/>
        <v>0</v>
      </c>
      <c r="F10" s="558">
        <f t="shared" si="0"/>
        <v>0</v>
      </c>
      <c r="G10" s="558">
        <f t="shared" si="0"/>
        <v>0</v>
      </c>
      <c r="H10" s="558">
        <f t="shared" si="0"/>
        <v>0</v>
      </c>
      <c r="I10" s="558">
        <f t="shared" si="0"/>
        <v>0</v>
      </c>
      <c r="J10" s="558">
        <f t="shared" si="0"/>
        <v>102.70588235294116</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124.71428571428569</v>
      </c>
      <c r="C17" s="574">
        <f>B50</f>
        <v>0</v>
      </c>
      <c r="D17" s="575"/>
      <c r="E17" s="575">
        <f>E50</f>
        <v>0</v>
      </c>
      <c r="F17" s="576"/>
      <c r="G17" s="577"/>
      <c r="H17" s="574">
        <f>I50</f>
        <v>0</v>
      </c>
      <c r="I17" s="575">
        <f>G50+F50</f>
        <v>0</v>
      </c>
      <c r="J17" s="575">
        <f>H50+D50+C50</f>
        <v>146.72268907563023</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124.71428571428569</v>
      </c>
      <c r="C20" s="557">
        <f>SUM(C17:C19)</f>
        <v>0</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11021</v>
      </c>
      <c r="C28" s="785">
        <v>2540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1600</v>
      </c>
      <c r="Y28" s="634" t="s">
        <v>49</v>
      </c>
      <c r="Z28" s="636" t="s">
        <v>149</v>
      </c>
    </row>
    <row r="29" spans="1:26" s="588" customFormat="1" ht="25.5" hidden="1">
      <c r="A29" s="587"/>
      <c r="B29" s="785">
        <v>11021</v>
      </c>
      <c r="C29" s="785">
        <v>2540</v>
      </c>
      <c r="D29" s="635"/>
      <c r="E29" s="634"/>
      <c r="F29" s="634"/>
      <c r="G29" s="634" t="s">
        <v>868</v>
      </c>
      <c r="H29" s="634" t="s">
        <v>869</v>
      </c>
      <c r="I29" s="634"/>
      <c r="J29" s="784"/>
      <c r="K29" s="784"/>
      <c r="L29" s="634" t="s">
        <v>870</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105</v>
      </c>
      <c r="Z29" s="636" t="s">
        <v>105</v>
      </c>
    </row>
    <row r="30" spans="1:26" s="568" customFormat="1" hidden="1">
      <c r="A30" s="590" t="s">
        <v>269</v>
      </c>
      <c r="B30" s="591"/>
      <c r="C30" s="591"/>
      <c r="D30" s="591"/>
      <c r="E30" s="591"/>
      <c r="F30" s="591"/>
      <c r="G30" s="591"/>
      <c r="H30" s="591"/>
      <c r="I30" s="591"/>
      <c r="J30" s="591"/>
      <c r="K30" s="591"/>
      <c r="L30" s="592"/>
      <c r="M30" s="592">
        <f>SUM(M28:M29)</f>
        <v>19.399999999999999</v>
      </c>
      <c r="N30" s="592">
        <f>SUM(N28:N29)</f>
        <v>87.299999999999983</v>
      </c>
      <c r="O30" s="592">
        <f>SUM(O28:O29)</f>
        <v>124.71428571428569</v>
      </c>
      <c r="P30" s="592">
        <f>SUM(P28:P29)</f>
        <v>0</v>
      </c>
      <c r="Q30" s="592">
        <f>SUM(Q28:Q29)</f>
        <v>249.42857142857139</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9.6999999999999993</v>
      </c>
      <c r="N32" s="592">
        <f ca="1">SUMIF($Z$28:AD29,"tertiair",N28:N29)</f>
        <v>43.649999999999991</v>
      </c>
      <c r="O32" s="592">
        <f ca="1">SUMIF($Z$28:AE29,"tertiair",O28:O29)</f>
        <v>62.357142857142847</v>
      </c>
      <c r="P32" s="592">
        <f ca="1">SUMIF($Z$28:AF29,"tertiair",P28:P29)</f>
        <v>0</v>
      </c>
      <c r="Q32" s="592">
        <f ca="1">SUMIF($Z$28:AG29,"tertiair",Q28:Q29)</f>
        <v>124.71428571428569</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9.6999999999999993</v>
      </c>
      <c r="N33" s="597">
        <f>SUMIF($Z$28:$Z$29,"landbouw",N28:N29)</f>
        <v>43.649999999999991</v>
      </c>
      <c r="O33" s="597">
        <f>SUMIF($Z$28:$Z$29,"landbouw",O28:O29)</f>
        <v>62.357142857142847</v>
      </c>
      <c r="P33" s="597">
        <f>SUMIF($Z$28:$Z$29,"landbouw",P28:P29)</f>
        <v>0</v>
      </c>
      <c r="Q33" s="597">
        <f>SUMIF($Z$28:$Z$29,"landbouw",Q28:Q29)</f>
        <v>124.71428571428569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0</v>
      </c>
      <c r="C49" s="626">
        <f t="shared" si="2"/>
        <v>102.70588235294116</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0</v>
      </c>
      <c r="C50" s="629">
        <f t="shared" si="3"/>
        <v>146.72268907563023</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2021-11-11T12:12:14Z</dcterms:modified>
</cp:coreProperties>
</file>