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06397EA0-A93C-40C6-B7B6-4CE0738AD43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3" i="13"/>
  <c r="B32" i="13"/>
  <c r="B35" i="13"/>
  <c r="B34"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<sst xmlns="http://schemas.openxmlformats.org/spreadsheetml/2006/main" count="2436" uniqueCount="877">
  <si>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</si>
  <si>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</si>
  <si>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</si>
  <si>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</si>
  <si>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</si>
  <si>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</si>
  <si>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</si>
  <si>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</si>
  <si>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</si>
  <si>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</si>
  <si>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</si>
  <si>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</si>
  <si>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</si>
  <si>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</si>
  <si>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</si>
  <si>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</si>
  <si>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</si>
  <si>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</si>
  <si>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</si>
  <si>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</si>
  <si>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</si>
  <si>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</si>
  <si>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</si>
  <si>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</si>
  <si>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</si>
  <si>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</si>
  <si>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</si>
  <si>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</si>
  <si>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</si>
  <si>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</si>
  <si>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</si>
  <si>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</si>
  <si>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</si>
  <si>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</si>
  <si>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</si>
  <si>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</si>
  <si>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</si>
  <si>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</si>
  <si>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</si>
  <si>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</si>
  <si>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</si>
  <si>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</si>
  <si>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</si>
  <si>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</si>
  <si>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</si>
  <si>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</si>
  <si>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</si>
  <si>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</si>
  <si>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</si>
  <si>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</si>
  <si>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</si>
  <si>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</si>
  <si>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</si>
  <si>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</si>
  <si>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</si>
  <si>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</si>
  <si>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</si>
  <si>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</si>
  <si>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</si>
  <si>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</si>
  <si>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</si>
  <si>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</si>
  <si>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</si>
  <si>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</si>
  <si>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</si>
  <si>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</si>
  <si>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</si>
  <si>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</si>
  <si>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</si>
  <si>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</si>
  <si>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</si>
  <si>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</si>
  <si>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</si>
  <si>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</si>
  <si>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</si>
  <si>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</si>
  <si>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</si>
  <si>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</si>
  <si>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</si>
  <si>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</si>
  <si>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</si>
  <si>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</si>
  <si>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</si>
  <si>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</si>
  <si>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</si>
  <si>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</si>
  <si>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</si>
  <si>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</si>
  <si>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</si>
  <si>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</si>
  <si>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</si>
  <si>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</si>
  <si>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</si>
  <si>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</si>
  <si>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</si>
  <si>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</si>
  <si>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</si>
  <si>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</si>
  <si>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</si>
  <si>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</si>
  <si>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</si>
  <si>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</si>
  <si>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</si>
  <si>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</si>
  <si>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</si>
  <si>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</si>
  <si>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</si>
  <si>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</si>
  <si>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</si>
  <si>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</si>
  <si>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</si>
  <si>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</si>
  <si>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</si>
  <si>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</si>
  <si>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</si>
  <si>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</si>
  <si>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</si>
  <si>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</si>
  <si>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</si>
  <si>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</si>
  <si>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</si>
  <si>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</si>
  <si>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</si>
  <si>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</si>
  <si>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</si>
  <si>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</si>
  <si>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</si>
  <si>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</si>
  <si>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</si>
  <si>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</si>
  <si>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</si>
  <si>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</si>
  <si>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</si>
  <si>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</si>
  <si>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</si>
  <si>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</si>
  <si>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</si>
  <si>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</si>
  <si>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</si>
  <si>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</si>
  <si>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</si>
  <si>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</si>
  <si>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</si>
  <si>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</si>
  <si>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</si>
  <si>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</si>
  <si>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</si>
  <si>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</si>
  <si>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</si>
  <si>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</si>
  <si>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</si>
  <si>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</si>
  <si>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</si>
  <si>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</si>
  <si>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</si>
  <si>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</si>
  <si>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</si>
  <si>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</si>
  <si>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</si>
  <si>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</si>
  <si>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</si>
  <si>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</si>
  <si>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</si>
  <si>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</si>
  <si>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</si>
  <si>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</si>
  <si>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</si>
  <si>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</si>
  <si>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</si>
  <si>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</si>
  <si>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</si>
  <si>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</si>
  <si>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</si>
  <si>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</si>
  <si>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</si>
  <si>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</si>
  <si>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</si>
  <si>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</si>
  <si>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</si>
  <si>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</si>
  <si>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</si>
  <si>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</si>
  <si>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</si>
  <si>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</si>
  <si>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</si>
  <si>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</si>
  <si>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</si>
  <si>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</si>
  <si>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</si>
  <si>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</si>
  <si>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</si>
  <si>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</si>
  <si>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</si>
  <si>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</si>
  <si>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</si>
  <si>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</si>
  <si>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</si>
  <si>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</si>
  <si>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</si>
  <si>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</si>
  <si>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</si>
  <si>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</si>
  <si>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</si>
  <si>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</si>
  <si>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</si>
  <si>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</si>
  <si>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</si>
  <si>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</si>
  <si>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</si>
  <si>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</si>
  <si>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</si>
  <si>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</si>
  <si>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</si>
  <si>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</si>
  <si>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</si>
  <si>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</si>
  <si>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</si>
  <si>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</si>
  <si>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</si>
  <si>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</si>
  <si>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</si>
  <si>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</si>
  <si>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</si>
  <si>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</si>
  <si>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</si>
  <si>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</si>
  <si>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</si>
  <si>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</si>
  <si>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</si>
  <si>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</si>
  <si>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</si>
  <si>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</si>
  <si>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</si>
  <si>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</si>
  <si>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</si>
  <si>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</si>
  <si>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</si>
  <si>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</si>
  <si>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</si>
  <si>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</si>
  <si>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</si>
  <si>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</si>
  <si>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</si>
  <si>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</si>
  <si>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</si>
  <si>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</si>
  <si>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</si>
  <si>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</si>
  <si>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</si>
  <si>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</si>
  <si>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</si>
  <si>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</si>
  <si>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</si>
  <si>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</si>
  <si>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</si>
  <si>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</si>
  <si>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</si>
  <si>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</si>
  <si>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</si>
  <si>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</si>
  <si>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</si>
  <si>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</si>
  <si>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</si>
  <si>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</si>
  <si>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</si>
  <si>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</si>
  <si>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</si>
  <si>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</si>
  <si>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</si>
  <si>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</si>
  <si>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</si>
  <si>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</si>
  <si>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</si>
  <si>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</si>
  <si>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</si>
  <si>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</si>
  <si>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</si>
  <si>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</si>
  <si>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</si>
  <si>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</si>
  <si>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</si>
  <si>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</si>
  <si>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</si>
  <si>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</si>
  <si>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</si>
  <si>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</si>
  <si>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</si>
  <si>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</si>
  <si>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</si>
  <si>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</si>
  <si>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</si>
  <si>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</si>
  <si>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</si>
  <si>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</si>
  <si>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</si>
  <si>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</si>
  <si>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</si>
  <si>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</si>
  <si>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</si>
  <si>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</si>
  <si>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</si>
  <si>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</si>
  <si>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</si>
  <si>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</si>
  <si>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</si>
  <si>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</si>
  <si>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</si>
  <si>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</si>
  <si>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</si>
  <si>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</si>
  <si>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</si>
  <si>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</si>
  <si>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</si>
  <si>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</si>
  <si>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</si>
  <si>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</si>
  <si>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</si>
  <si>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</si>
  <si>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</si>
  <si>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</si>
  <si>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</si>
  <si>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</si>
  <si>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</si>
  <si>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</si>
  <si>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</si>
  <si>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</si>
  <si>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</si>
  <si>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</si>
  <si>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</si>
  <si>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</si>
  <si>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</si>
  <si>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</si>
  <si>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</si>
  <si>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</si>
  <si>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</si>
  <si>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</si>
  <si>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</si>
  <si>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</si>
  <si>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</si>
  <si>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</si>
  <si>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</si>
  <si>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</si>
  <si>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</si>
  <si>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</si>
  <si>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</si>
  <si>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</si>
  <si>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</si>
  <si>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</si>
  <si>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</si>
  <si>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</si>
  <si>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</si>
  <si>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</si>
  <si>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</si>
  <si>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</si>
  <si>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</si>
  <si>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</si>
  <si>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</si>
  <si>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</si>
  <si>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</si>
  <si>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</si>
  <si>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</si>
  <si>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</si>
  <si>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</si>
  <si>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</si>
  <si>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</si>
  <si>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</si>
  <si>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</si>
  <si>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</si>
  <si>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</si>
  <si>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</si>
  <si>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</si>
  <si>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</si>
  <si>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</si>
  <si>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</si>
  <si>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</si>
  <si>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</si>
  <si>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</si>
  <si>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</si>
  <si>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</si>
  <si>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</si>
  <si>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</si>
  <si>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</si>
  <si>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</si>
  <si>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</si>
  <si>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</si>
  <si>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</si>
  <si>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</si>
  <si>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</si>
  <si>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</si>
  <si>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</si>
  <si>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</si>
  <si>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</si>
  <si>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</si>
  <si>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</si>
  <si>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</si>
  <si>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</si>
  <si>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</si>
  <si>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</si>
  <si>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</si>
  <si>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</si>
  <si>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</si>
  <si>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</si>
  <si>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</si>
  <si>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</si>
  <si>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</si>
  <si>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</si>
  <si>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</si>
  <si>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</si>
  <si>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</si>
  <si>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</si>
  <si>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</si>
  <si>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</si>
  <si>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</si>
  <si>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</si>
  <si>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</si>
  <si>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</si>
  <si>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</si>
  <si>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</si>
  <si>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</si>
  <si>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</si>
  <si>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</si>
  <si>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</si>
  <si>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</si>
  <si>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</si>
  <si>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</si>
  <si>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</si>
  <si>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</si>
  <si>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</si>
  <si>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</si>
  <si>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</si>
  <si>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</si>
  <si>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</si>
  <si>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</si>
  <si>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</si>
  <si>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</si>
  <si>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</si>
  <si>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</si>
  <si>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</si>
  <si>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</si>
  <si>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</si>
  <si>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</si>
  <si>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</si>
  <si>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</si>
  <si>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</si>
  <si>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</si>
  <si>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</si>
  <si>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</si>
  <si>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</si>
  <si>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</si>
  <si>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</si>
  <si>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</si>
  <si>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</si>
  <si>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</si>
  <si>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</si>
  <si>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</si>
  <si>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</si>
  <si>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</si>
  <si>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</si>
  <si>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</si>
  <si>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</si>
  <si>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</si>
  <si>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</si>
  <si>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</si>
  <si>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</si>
  <si>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</si>
  <si>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</si>
  <si>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</si>
  <si>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</si>
  <si>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</si>
  <si>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</si>
  <si>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</si>
  <si>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</si>
  <si>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</si>
  <si>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</si>
  <si>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</si>
  <si>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</si>
  <si>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</si>
  <si>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</si>
  <si>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</si>
  <si>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</si>
  <si>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</si>
  <si>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</si>
  <si>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</si>
  <si>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</si>
  <si>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</si>
  <si>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</si>
  <si>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</si>
  <si>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</si>
  <si>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</si>
  <si>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</si>
  <si>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</si>
  <si>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</si>
  <si>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</si>
  <si>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</si>
  <si>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</si>
  <si>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</si>
  <si>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</si>
  <si>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</si>
  <si>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</si>
  <si>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</si>
  <si>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</si>
  <si>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</si>
  <si>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</si>
  <si>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</si>
  <si>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</si>
  <si>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</si>
  <si>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</si>
  <si>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</si>
  <si>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</si>
  <si>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</si>
  <si>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</si>
  <si>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</si>
  <si>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</si>
  <si>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</si>
  <si>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</si>
  <si>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</si>
  <si>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</si>
  <si>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</si>
  <si>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</si>
  <si>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</si>
  <si>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</si>
  <si>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</si>
  <si>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</si>
  <si>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</si>
  <si>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</si>
  <si>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</si>
  <si>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</si>
  <si>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</si>
  <si>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</si>
  <si>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</si>
  <si>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</si>
  <si>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</si>
  <si>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</si>
  <si>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</si>
  <si>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</si>
  <si>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</si>
  <si>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</si>
  <si>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</si>
  <si>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</si>
  <si>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</si>
  <si>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</si>
  <si>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</si>
  <si>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</si>
  <si>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</si>
  <si>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</si>
  <si>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</si>
  <si>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</si>
  <si>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</si>
  <si>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</si>
  <si>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</si>
  <si>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</si>
  <si>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</si>
  <si>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</si>
  <si>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</si>
  <si>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</si>
  <si>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</si>
  <si>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</si>
  <si>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</si>
  <si>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</si>
  <si>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</si>
  <si>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</si>
  <si>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</si>
  <si>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</si>
  <si>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</si>
  <si>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</si>
  <si>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</si>
  <si>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</si>
  <si>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</si>
  <si>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</si>
  <si>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</si>
  <si>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</si>
  <si>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</si>
  <si>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</si>
  <si>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</si>
  <si>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</si>
  <si>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</si>
  <si>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</si>
  <si>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</si>
  <si>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</si>
  <si>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</si>
  <si>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</si>
  <si>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</si>
  <si>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</si>
  <si>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</si>
  <si>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</si>
  <si>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</si>
  <si>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</si>
  <si>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</si>
  <si>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</si>
  <si>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</si>
  <si>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</si>
  <si>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</si>
  <si>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</si>
  <si>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</si>
  <si>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</si>
  <si>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</si>
  <si>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</si>
  <si>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</si>
  <si>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</si>
  <si>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</si>
  <si>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</si>
  <si>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</si>
  <si>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</si>
  <si>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</si>
  <si>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</si>
  <si>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</si>
  <si>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</si>
  <si>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</si>
  <si>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</si>
  <si>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</si>
  <si>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</si>
  <si>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</si>
  <si>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</si>
  <si>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</si>
  <si>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</si>
  <si>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</si>
  <si>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</si>
  <si>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</si>
  <si>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</si>
  <si>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</si>
  <si>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</si>
  <si>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</si>
  <si>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</si>
  <si>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</si>
  <si>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</si>
  <si>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</si>
  <si>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</si>
  <si>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</si>
  <si>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</si>
  <si>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</si>
  <si>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</si>
  <si>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</si>
  <si>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</si>
  <si>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</si>
  <si>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</si>
  <si>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</si>
  <si>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</si>
  <si>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</si>
  <si>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</si>
  <si>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</si>
  <si>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</si>
  <si>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</si>
  <si>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</si>
  <si>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</si>
  <si>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</si>
  <si>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</si>
  <si>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</si>
  <si>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</si>
  <si>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</si>
  <si>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</si>
  <si>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</si>
  <si>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</si>
  <si>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</si>
  <si>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</si>
  <si>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</si>
  <si>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</si>
  <si>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</si>
  <si>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</si>
  <si>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</si>
  <si>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</si>
  <si>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</si>
  <si>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</si>
  <si>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</si>
  <si>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</si>
  <si>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</si>
  <si>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</si>
  <si>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</si>
  <si>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</si>
  <si>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</si>
  <si>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</si>
  <si>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</si>
  <si>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</si>
  <si>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</si>
  <si>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</si>
  <si>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</si>
  <si>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</si>
  <si>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</si>
  <si>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</si>
  <si>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</si>
  <si>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</si>
  <si>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</si>
  <si>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</si>
  <si>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</si>
  <si>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</si>
  <si>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</si>
  <si>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</si>
  <si>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</si>
  <si>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</si>
  <si>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</si>
  <si>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</si>
  <si>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</si>
  <si>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</si>
  <si>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</si>
  <si>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</si>
  <si>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</si>
  <si>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</si>
  <si>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</si>
  <si>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</si>
  <si>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</si>
  <si>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</si>
  <si>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</si>
  <si>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</si>
  <si>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</si>
  <si>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</si>
  <si>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</si>
  <si>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</si>
  <si>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</si>
  <si>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</si>
  <si>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</si>
  <si>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</si>
  <si>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</si>
  <si>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</si>
  <si>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</si>
  <si>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</si>
  <si>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</si>
  <si>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</si>
  <si>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</si>
  <si>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</si>
  <si>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</si>
  <si>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</si>
  <si>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</si>
  <si>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</si>
  <si>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</si>
  <si>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</si>
  <si>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</si>
  <si>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</si>
  <si>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</si>
  <si>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</si>
  <si>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</si>
  <si>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</si>
  <si>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</si>
  <si>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</si>
  <si>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</si>
  <si>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</si>
  <si>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</si>
  <si>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</si>
  <si>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</si>
  <si>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</si>
  <si>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</si>
  <si>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</si>
  <si>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</si>
  <si>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</si>
  <si>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</si>
  <si>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</si>
  <si>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</si>
  <si>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</si>
  <si>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</si>
  <si>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</si>
  <si>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</si>
  <si>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</si>
  <si>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</si>
  <si>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</si>
  <si>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</si>
  <si>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</si>
  <si>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</si>
  <si>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</si>
  <si>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</si>
  <si>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</si>
  <si>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</si>
  <si>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</si>
  <si>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</si>
  <si>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</si>
  <si>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</si>
  <si>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</si>
  <si>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</si>
  <si>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</si>
  <si>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</si>
  <si>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</si>
  <si>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</si>
  <si>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</si>
  <si>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</si>
  <si>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</si>
  <si>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</si>
  <si>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</si>
  <si>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</si>
  <si>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</si>
  <si>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</si>
  <si>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</si>
  <si>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</si>
  <si>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</si>
  <si>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</si>
  <si>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</si>
  <si>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</si>
  <si>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</si>
  <si>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</si>
  <si>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</si>
  <si>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</si>
  <si>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</si>
  <si>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</si>
  <si>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</si>
  <si>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</si>
  <si>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</si>
  <si>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</si>
  <si>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</si>
  <si>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</si>
  <si>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</si>
  <si>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</si>
  <si>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</si>
  <si>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</si>
  <si>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</si>
  <si>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</si>
  <si>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</si>
  <si>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</si>
  <si>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</si>
  <si>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</si>
  <si>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</si>
  <si>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</si>
  <si>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</si>
  <si>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</si>
  <si>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</si>
  <si>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</si>
  <si>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</si>
  <si>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</si>
  <si>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</si>
  <si>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</si>
  <si>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</si>
  <si>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</si>
  <si>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</si>
  <si>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</si>
  <si>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</si>
  <si>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</si>
  <si>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</si>
  <si>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</si>
  <si>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</si>
  <si>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</si>
  <si>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</si>
  <si>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</si>
  <si>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</si>
  <si>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</si>
  <si>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</si>
  <si>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</si>
  <si>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</si>
  <si>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</si>
  <si>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</si>
  <si>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</si>
  <si>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</si>
  <si>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</si>
  <si>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</si>
  <si>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</si>
  <si>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</si>
  <si>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</si>
  <si>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</si>
  <si>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</si>
  <si>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</si>
  <si>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</si>
  <si>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</si>
  <si>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</si>
  <si>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</si>
  <si>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</si>
  <si>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</si>
  <si>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</si>
  <si>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</si>
  <si>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</si>
  <si>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</si>
  <si>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</si>
  <si>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</si>
  <si>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</si>
  <si>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</si>
  <si>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</si>
  <si>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</si>
  <si>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</si>
  <si>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</si>
  <si>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</si>
  <si>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</si>
  <si>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</si>
  <si>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</si>
  <si>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</si>
  <si>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</si>
  <si>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</si>
  <si>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</si>
  <si>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</si>
  <si>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</si>
  <si>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</si>
  <si>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73022</t>
  </si>
  <si>
    <t>HEERS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</si>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</sst>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11D94EDD-96B8-4594-835E-3A46E631147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61850.52236542623</c:v>
                </c:pt>
                <c:pt idx="1">
                  <c:v>10326.85812859559</c:v>
                </c:pt>
                <c:pt idx="2">
                  <c:v>383.69277399999999</c:v>
                </c:pt>
                <c:pt idx="3">
                  <c:v>11359.390550576505</c:v>
                </c:pt>
                <c:pt idx="4">
                  <c:v>1013.5298164811047</c:v>
                </c:pt>
                <c:pt idx="5">
                  <c:v>45586.912803633189</c:v>
                </c:pt>
                <c:pt idx="6">
                  <c:v>379.71592786760903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61850.52236542623</c:v>
                </c:pt>
                <c:pt idx="1">
                  <c:v>10326.85812859559</c:v>
                </c:pt>
                <c:pt idx="2">
                  <c:v>383.69277399999999</c:v>
                </c:pt>
                <c:pt idx="3">
                  <c:v>11359.390550576505</c:v>
                </c:pt>
                <c:pt idx="4">
                  <c:v>1013.5298164811047</c:v>
                </c:pt>
                <c:pt idx="5">
                  <c:v>45586.912803633189</c:v>
                </c:pt>
                <c:pt idx="6">
                  <c:v>379.71592786760903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13172.316836638842</c:v>
                </c:pt>
                <c:pt idx="1">
                  <c:v>2023.0871003349505</c:v>
                </c:pt>
                <c:pt idx="2">
                  <c:v>74.100045101998333</c:v>
                </c:pt>
                <c:pt idx="3">
                  <c:v>2781.210411566994</c:v>
                </c:pt>
                <c:pt idx="4">
                  <c:v>207.15505024835932</c:v>
                </c:pt>
                <c:pt idx="5">
                  <c:v>11318.346299095259</c:v>
                </c:pt>
                <c:pt idx="6">
                  <c:v>95.780769108694741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13172.316836638842</c:v>
                </c:pt>
                <c:pt idx="1">
                  <c:v>2023.0871003349505</c:v>
                </c:pt>
                <c:pt idx="2">
                  <c:v>74.100045101998333</c:v>
                </c:pt>
                <c:pt idx="3">
                  <c:v>2781.210411566994</c:v>
                </c:pt>
                <c:pt idx="4">
                  <c:v>207.15505024835932</c:v>
                </c:pt>
                <c:pt idx="5">
                  <c:v>11318.346299095259</c:v>
                </c:pt>
                <c:pt idx="6">
                  <c:v>95.780769108694741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73022</v>
      </c>
      <c r="B6" s="384"/>
      <c r="C6" s="385"/>
    </row>
    <row r="7" spans="1:7" s="382" customFormat="1" ht="15.75" customHeight="1">
      <c r="A7" s="386" t="str">
        <f>txtMunicipality</f>
        <v>HEERS</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5513.1469110000007</v>
      </c>
      <c r="D10" s="680">
        <f ca="1">tertiair!C16</f>
        <v>0</v>
      </c>
      <c r="E10" s="680">
        <f ca="1">tertiair!D16</f>
        <v>3661.3131008999999</v>
      </c>
      <c r="F10" s="680">
        <f>tertiair!E16</f>
        <v>23.41697577967124</v>
      </c>
      <c r="G10" s="680">
        <f ca="1">tertiair!F16</f>
        <v>1077.020579775382</v>
      </c>
      <c r="H10" s="680">
        <f>tertiair!G16</f>
        <v>0</v>
      </c>
      <c r="I10" s="680">
        <f>tertiair!H16</f>
        <v>0</v>
      </c>
      <c r="J10" s="680">
        <f>tertiair!I16</f>
        <v>0</v>
      </c>
      <c r="K10" s="680">
        <f>tertiair!J16</f>
        <v>1.1833602309861484E-2</v>
      </c>
      <c r="L10" s="680">
        <f>tertiair!K16</f>
        <v>0</v>
      </c>
      <c r="M10" s="680">
        <f ca="1">tertiair!L16</f>
        <v>0</v>
      </c>
      <c r="N10" s="680">
        <f>tertiair!M16</f>
        <v>0</v>
      </c>
      <c r="O10" s="680">
        <f ca="1">tertiair!N16</f>
        <v>430.74424077238484</v>
      </c>
      <c r="P10" s="680">
        <f>tertiair!O16</f>
        <v>4.8972607658411542</v>
      </c>
      <c r="Q10" s="681">
        <f>tertiair!P16</f>
        <v>0</v>
      </c>
      <c r="R10" s="683">
        <f ca="1">SUM(C10:Q10)</f>
        <v>10710.550902595591</v>
      </c>
      <c r="S10" s="67"/>
    </row>
    <row r="11" spans="1:19" s="443" customFormat="1">
      <c r="A11" s="801" t="s">
        <v>214</v>
      </c>
      <c r="B11" s="806"/>
      <c r="C11" s="680">
        <f>huishoudens!B8</f>
        <v>12747.271173677971</v>
      </c>
      <c r="D11" s="680">
        <f>huishoudens!C8</f>
        <v>0</v>
      </c>
      <c r="E11" s="680">
        <f>huishoudens!D8</f>
        <v>16540.580630217002</v>
      </c>
      <c r="F11" s="680">
        <f>huishoudens!E8</f>
        <v>1163.8531997855719</v>
      </c>
      <c r="G11" s="680">
        <f>huishoudens!F8</f>
        <v>26435.622622350813</v>
      </c>
      <c r="H11" s="680">
        <f>huishoudens!G8</f>
        <v>0</v>
      </c>
      <c r="I11" s="680">
        <f>huishoudens!H8</f>
        <v>0</v>
      </c>
      <c r="J11" s="680">
        <f>huishoudens!I8</f>
        <v>0</v>
      </c>
      <c r="K11" s="680">
        <f>huishoudens!J8</f>
        <v>132.25295977799234</v>
      </c>
      <c r="L11" s="680">
        <f>huishoudens!K8</f>
        <v>0</v>
      </c>
      <c r="M11" s="680">
        <f>huishoudens!L8</f>
        <v>0</v>
      </c>
      <c r="N11" s="680">
        <f>huishoudens!M8</f>
        <v>0</v>
      </c>
      <c r="O11" s="680">
        <f>huishoudens!N8</f>
        <v>4420.1657204793664</v>
      </c>
      <c r="P11" s="680">
        <f>huishoudens!O8</f>
        <v>136.89311713770519</v>
      </c>
      <c r="Q11" s="681">
        <f>huishoudens!P8</f>
        <v>273.88294199981061</v>
      </c>
      <c r="R11" s="683">
        <f>SUM(C11:Q11)</f>
        <v>61850.52236542623</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461.62608</v>
      </c>
      <c r="D13" s="680">
        <f>industrie!C18</f>
        <v>0</v>
      </c>
      <c r="E13" s="680">
        <f>industrie!D18</f>
        <v>387.24542495100002</v>
      </c>
      <c r="F13" s="680">
        <f>industrie!E18</f>
        <v>1.4839978575592627</v>
      </c>
      <c r="G13" s="680">
        <f>industrie!F18</f>
        <v>147.64027333829793</v>
      </c>
      <c r="H13" s="680">
        <f>industrie!G18</f>
        <v>0</v>
      </c>
      <c r="I13" s="680">
        <f>industrie!H18</f>
        <v>0</v>
      </c>
      <c r="J13" s="680">
        <f>industrie!I18</f>
        <v>0</v>
      </c>
      <c r="K13" s="680">
        <f>industrie!J18</f>
        <v>6.7416389213601588E-2</v>
      </c>
      <c r="L13" s="680">
        <f>industrie!K18</f>
        <v>0</v>
      </c>
      <c r="M13" s="680">
        <f>industrie!L18</f>
        <v>0</v>
      </c>
      <c r="N13" s="680">
        <f>industrie!M18</f>
        <v>0</v>
      </c>
      <c r="O13" s="680">
        <f>industrie!N18</f>
        <v>15.466623945033966</v>
      </c>
      <c r="P13" s="680">
        <f>industrie!O18</f>
        <v>0</v>
      </c>
      <c r="Q13" s="681">
        <f>industrie!P18</f>
        <v>0</v>
      </c>
      <c r="R13" s="683">
        <f>SUM(C13:Q13)</f>
        <v>1013.5298164811047</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18722.044164677973</v>
      </c>
      <c r="D16" s="716">
        <f t="shared" ref="D16:R16" ca="1" si="0">SUM(D9:D15)</f>
        <v>0</v>
      </c>
      <c r="E16" s="716">
        <f t="shared" ca="1" si="0"/>
        <v>20589.139156068002</v>
      </c>
      <c r="F16" s="716">
        <f t="shared" si="0"/>
        <v>1188.7541734228023</v>
      </c>
      <c r="G16" s="716">
        <f t="shared" ca="1" si="0"/>
        <v>27660.28347546449</v>
      </c>
      <c r="H16" s="716">
        <f t="shared" si="0"/>
        <v>0</v>
      </c>
      <c r="I16" s="716">
        <f t="shared" si="0"/>
        <v>0</v>
      </c>
      <c r="J16" s="716">
        <f t="shared" si="0"/>
        <v>0</v>
      </c>
      <c r="K16" s="716">
        <f t="shared" si="0"/>
        <v>132.3322097695158</v>
      </c>
      <c r="L16" s="716">
        <f t="shared" si="0"/>
        <v>0</v>
      </c>
      <c r="M16" s="716">
        <f t="shared" ca="1" si="0"/>
        <v>0</v>
      </c>
      <c r="N16" s="716">
        <f t="shared" si="0"/>
        <v>0</v>
      </c>
      <c r="O16" s="716">
        <f t="shared" ca="1" si="0"/>
        <v>4866.3765851967855</v>
      </c>
      <c r="P16" s="716">
        <f t="shared" si="0"/>
        <v>141.79037790354636</v>
      </c>
      <c r="Q16" s="716">
        <f t="shared" si="0"/>
        <v>273.88294199981061</v>
      </c>
      <c r="R16" s="716">
        <f t="shared" ca="1" si="0"/>
        <v>73574.603084502931</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4.975339536438776</v>
      </c>
      <c r="D19" s="680">
        <f>transport!C54</f>
        <v>0</v>
      </c>
      <c r="E19" s="680">
        <f>transport!D54</f>
        <v>0</v>
      </c>
      <c r="F19" s="680">
        <f>transport!E54</f>
        <v>0</v>
      </c>
      <c r="G19" s="680">
        <f>transport!F54</f>
        <v>0</v>
      </c>
      <c r="H19" s="680">
        <f>transport!G54</f>
        <v>355.1307667587576</v>
      </c>
      <c r="I19" s="680">
        <f>transport!H54</f>
        <v>0</v>
      </c>
      <c r="J19" s="680">
        <f>transport!I54</f>
        <v>0</v>
      </c>
      <c r="K19" s="680">
        <f>transport!J54</f>
        <v>0</v>
      </c>
      <c r="L19" s="680">
        <f>transport!K54</f>
        <v>0</v>
      </c>
      <c r="M19" s="680">
        <f>transport!L54</f>
        <v>0</v>
      </c>
      <c r="N19" s="680">
        <f>transport!M54</f>
        <v>19.609821572412688</v>
      </c>
      <c r="O19" s="680">
        <f>transport!N54</f>
        <v>0</v>
      </c>
      <c r="P19" s="680">
        <f>transport!O54</f>
        <v>0</v>
      </c>
      <c r="Q19" s="681">
        <f>transport!P54</f>
        <v>0</v>
      </c>
      <c r="R19" s="683">
        <f>SUM(C19:Q19)</f>
        <v>379.71592786760903</v>
      </c>
      <c r="S19" s="67"/>
    </row>
    <row r="20" spans="1:19" s="443" customFormat="1">
      <c r="A20" s="801" t="s">
        <v>296</v>
      </c>
      <c r="B20" s="806"/>
      <c r="C20" s="680">
        <f>transport!B14</f>
        <v>80.176688982972138</v>
      </c>
      <c r="D20" s="680">
        <f>transport!C14</f>
        <v>0</v>
      </c>
      <c r="E20" s="680">
        <f>transport!D14</f>
        <v>146.78626039100672</v>
      </c>
      <c r="F20" s="680">
        <f>transport!E14</f>
        <v>80.787006839058179</v>
      </c>
      <c r="G20" s="680">
        <f>transport!F14</f>
        <v>0</v>
      </c>
      <c r="H20" s="680">
        <f>transport!G14</f>
        <v>33837.532057735902</v>
      </c>
      <c r="I20" s="680">
        <f>transport!H14</f>
        <v>8916.6737807881746</v>
      </c>
      <c r="J20" s="680">
        <f>transport!I14</f>
        <v>0</v>
      </c>
      <c r="K20" s="680">
        <f>transport!J14</f>
        <v>0</v>
      </c>
      <c r="L20" s="680">
        <f>transport!K14</f>
        <v>0</v>
      </c>
      <c r="M20" s="680">
        <f>transport!L14</f>
        <v>0</v>
      </c>
      <c r="N20" s="680">
        <f>transport!M14</f>
        <v>2524.9570088960731</v>
      </c>
      <c r="O20" s="680">
        <f>transport!N14</f>
        <v>0</v>
      </c>
      <c r="P20" s="680">
        <f>transport!O14</f>
        <v>0</v>
      </c>
      <c r="Q20" s="681">
        <f>transport!P14</f>
        <v>0</v>
      </c>
      <c r="R20" s="683">
        <f>SUM(C20:Q20)</f>
        <v>45586.912803633189</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85.152028519410919</v>
      </c>
      <c r="D22" s="804">
        <f t="shared" ref="D22:R22" si="1">SUM(D18:D21)</f>
        <v>0</v>
      </c>
      <c r="E22" s="804">
        <f t="shared" si="1"/>
        <v>146.78626039100672</v>
      </c>
      <c r="F22" s="804">
        <f t="shared" si="1"/>
        <v>80.787006839058179</v>
      </c>
      <c r="G22" s="804">
        <f t="shared" si="1"/>
        <v>0</v>
      </c>
      <c r="H22" s="804">
        <f t="shared" si="1"/>
        <v>34192.662824494662</v>
      </c>
      <c r="I22" s="804">
        <f t="shared" si="1"/>
        <v>8916.6737807881746</v>
      </c>
      <c r="J22" s="804">
        <f t="shared" si="1"/>
        <v>0</v>
      </c>
      <c r="K22" s="804">
        <f t="shared" si="1"/>
        <v>0</v>
      </c>
      <c r="L22" s="804">
        <f t="shared" si="1"/>
        <v>0</v>
      </c>
      <c r="M22" s="804">
        <f t="shared" si="1"/>
        <v>0</v>
      </c>
      <c r="N22" s="804">
        <f t="shared" si="1"/>
        <v>2544.5668304684859</v>
      </c>
      <c r="O22" s="804">
        <f t="shared" si="1"/>
        <v>0</v>
      </c>
      <c r="P22" s="804">
        <f t="shared" si="1"/>
        <v>0</v>
      </c>
      <c r="Q22" s="804">
        <f t="shared" si="1"/>
        <v>0</v>
      </c>
      <c r="R22" s="804">
        <f t="shared" si="1"/>
        <v>45966.628731500801</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2003.8311980000001</v>
      </c>
      <c r="D24" s="680">
        <f>+landbouw!C8</f>
        <v>0</v>
      </c>
      <c r="E24" s="680">
        <f>+landbouw!D8</f>
        <v>2253.6120585509998</v>
      </c>
      <c r="F24" s="680">
        <f>+landbouw!E8</f>
        <v>74.72899465581753</v>
      </c>
      <c r="G24" s="680">
        <f>+landbouw!F8</f>
        <v>6501.202717166153</v>
      </c>
      <c r="H24" s="680">
        <f>+landbouw!G8</f>
        <v>0</v>
      </c>
      <c r="I24" s="680">
        <f>+landbouw!H8</f>
        <v>0</v>
      </c>
      <c r="J24" s="680">
        <f>+landbouw!I8</f>
        <v>0</v>
      </c>
      <c r="K24" s="680">
        <f>+landbouw!J8</f>
        <v>526.01558220353593</v>
      </c>
      <c r="L24" s="680">
        <f>+landbouw!K8</f>
        <v>0</v>
      </c>
      <c r="M24" s="680">
        <f>+landbouw!L8</f>
        <v>0</v>
      </c>
      <c r="N24" s="680">
        <f>+landbouw!M8</f>
        <v>0</v>
      </c>
      <c r="O24" s="680">
        <f>+landbouw!N8</f>
        <v>0</v>
      </c>
      <c r="P24" s="680">
        <f>+landbouw!O8</f>
        <v>0</v>
      </c>
      <c r="Q24" s="681">
        <f>+landbouw!P8</f>
        <v>0</v>
      </c>
      <c r="R24" s="683">
        <f>SUM(C24:Q24)</f>
        <v>11359.390550576505</v>
      </c>
      <c r="S24" s="67"/>
    </row>
    <row r="25" spans="1:19" s="443" customFormat="1" ht="15" thickBot="1">
      <c r="A25" s="823" t="s">
        <v>697</v>
      </c>
      <c r="B25" s="936"/>
      <c r="C25" s="937">
        <f>IF(Onbekend_ele_kWh="---",0,Onbekend_ele_kWh)/1000+IF(REST_rest_ele_kWh="---",0,REST_rest_ele_kWh)/1000</f>
        <v>320.20049800000004</v>
      </c>
      <c r="D25" s="937"/>
      <c r="E25" s="937">
        <f>IF(onbekend_gas_kWh="---",0,onbekend_gas_kWh)/1000+IF(REST_rest_gas_kWh="---",0,REST_rest_gas_kWh)/1000</f>
        <v>466.35246699999999</v>
      </c>
      <c r="F25" s="937"/>
      <c r="G25" s="937"/>
      <c r="H25" s="937"/>
      <c r="I25" s="937"/>
      <c r="J25" s="937"/>
      <c r="K25" s="937"/>
      <c r="L25" s="937"/>
      <c r="M25" s="937"/>
      <c r="N25" s="937"/>
      <c r="O25" s="937"/>
      <c r="P25" s="937"/>
      <c r="Q25" s="938"/>
      <c r="R25" s="683">
        <f>SUM(C25:Q25)</f>
        <v>786.55296500000009</v>
      </c>
      <c r="S25" s="67"/>
    </row>
    <row r="26" spans="1:19" s="443" customFormat="1" ht="15.75" thickBot="1">
      <c r="A26" s="688" t="s">
        <v>698</v>
      </c>
      <c r="B26" s="809"/>
      <c r="C26" s="804">
        <f>SUM(C24:C25)</f>
        <v>2324.031696</v>
      </c>
      <c r="D26" s="804">
        <f t="shared" ref="D26:R26" si="2">SUM(D24:D25)</f>
        <v>0</v>
      </c>
      <c r="E26" s="804">
        <f t="shared" si="2"/>
        <v>2719.964525551</v>
      </c>
      <c r="F26" s="804">
        <f t="shared" si="2"/>
        <v>74.72899465581753</v>
      </c>
      <c r="G26" s="804">
        <f t="shared" si="2"/>
        <v>6501.202717166153</v>
      </c>
      <c r="H26" s="804">
        <f t="shared" si="2"/>
        <v>0</v>
      </c>
      <c r="I26" s="804">
        <f t="shared" si="2"/>
        <v>0</v>
      </c>
      <c r="J26" s="804">
        <f t="shared" si="2"/>
        <v>0</v>
      </c>
      <c r="K26" s="804">
        <f t="shared" si="2"/>
        <v>526.01558220353593</v>
      </c>
      <c r="L26" s="804">
        <f t="shared" si="2"/>
        <v>0</v>
      </c>
      <c r="M26" s="804">
        <f t="shared" si="2"/>
        <v>0</v>
      </c>
      <c r="N26" s="804">
        <f t="shared" si="2"/>
        <v>0</v>
      </c>
      <c r="O26" s="804">
        <f t="shared" si="2"/>
        <v>0</v>
      </c>
      <c r="P26" s="804">
        <f t="shared" si="2"/>
        <v>0</v>
      </c>
      <c r="Q26" s="804">
        <f t="shared" si="2"/>
        <v>0</v>
      </c>
      <c r="R26" s="804">
        <f t="shared" si="2"/>
        <v>12145.943515576506</v>
      </c>
      <c r="S26" s="67"/>
    </row>
    <row r="27" spans="1:19" s="443" customFormat="1" ht="17.25" thickTop="1" thickBot="1">
      <c r="A27" s="689" t="s">
        <v>109</v>
      </c>
      <c r="B27" s="796"/>
      <c r="C27" s="690">
        <f ca="1">C22+C16+C26</f>
        <v>21131.227889197384</v>
      </c>
      <c r="D27" s="690">
        <f t="shared" ref="D27:R27" ca="1" si="3">D22+D16+D26</f>
        <v>0</v>
      </c>
      <c r="E27" s="690">
        <f t="shared" ca="1" si="3"/>
        <v>23455.88994201001</v>
      </c>
      <c r="F27" s="690">
        <f t="shared" si="3"/>
        <v>1344.2701749176781</v>
      </c>
      <c r="G27" s="690">
        <f t="shared" ca="1" si="3"/>
        <v>34161.48619263064</v>
      </c>
      <c r="H27" s="690">
        <f t="shared" si="3"/>
        <v>34192.662824494662</v>
      </c>
      <c r="I27" s="690">
        <f t="shared" si="3"/>
        <v>8916.6737807881746</v>
      </c>
      <c r="J27" s="690">
        <f t="shared" si="3"/>
        <v>0</v>
      </c>
      <c r="K27" s="690">
        <f t="shared" si="3"/>
        <v>658.3477919730517</v>
      </c>
      <c r="L27" s="690">
        <f t="shared" si="3"/>
        <v>0</v>
      </c>
      <c r="M27" s="690">
        <f t="shared" ca="1" si="3"/>
        <v>0</v>
      </c>
      <c r="N27" s="690">
        <f t="shared" si="3"/>
        <v>2544.5668304684859</v>
      </c>
      <c r="O27" s="690">
        <f t="shared" ca="1" si="3"/>
        <v>4866.3765851967855</v>
      </c>
      <c r="P27" s="690">
        <f t="shared" si="3"/>
        <v>141.79037790354636</v>
      </c>
      <c r="Q27" s="690">
        <f t="shared" si="3"/>
        <v>273.88294199981061</v>
      </c>
      <c r="R27" s="690">
        <f t="shared" ca="1" si="3"/>
        <v>131687.17533158025</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1064.7175616579186</v>
      </c>
      <c r="D40" s="680">
        <f ca="1">tertiair!C20</f>
        <v>0</v>
      </c>
      <c r="E40" s="680">
        <f ca="1">tertiair!D20</f>
        <v>739.58524638180006</v>
      </c>
      <c r="F40" s="680">
        <f>tertiair!E20</f>
        <v>5.3156535019853717</v>
      </c>
      <c r="G40" s="680">
        <f ca="1">tertiair!F20</f>
        <v>287.56449480002698</v>
      </c>
      <c r="H40" s="680">
        <f>tertiair!G20</f>
        <v>0</v>
      </c>
      <c r="I40" s="680">
        <f>tertiair!H20</f>
        <v>0</v>
      </c>
      <c r="J40" s="680">
        <f>tertiair!I20</f>
        <v>0</v>
      </c>
      <c r="K40" s="680">
        <f>tertiair!J20</f>
        <v>4.1890952176909654E-3</v>
      </c>
      <c r="L40" s="680">
        <f>tertiair!K20</f>
        <v>0</v>
      </c>
      <c r="M40" s="680">
        <f ca="1">tertiair!L20</f>
        <v>0</v>
      </c>
      <c r="N40" s="680">
        <f>tertiair!M20</f>
        <v>0</v>
      </c>
      <c r="O40" s="680">
        <f ca="1">tertiair!N20</f>
        <v>0</v>
      </c>
      <c r="P40" s="680">
        <f>tertiair!O20</f>
        <v>0</v>
      </c>
      <c r="Q40" s="763">
        <f>tertiair!P20</f>
        <v>0</v>
      </c>
      <c r="R40" s="842">
        <f t="shared" ca="1" si="4"/>
        <v>2097.1871454369489</v>
      </c>
    </row>
    <row r="41" spans="1:18">
      <c r="A41" s="814" t="s">
        <v>214</v>
      </c>
      <c r="B41" s="821"/>
      <c r="C41" s="680">
        <f ca="1">huishoudens!B12</f>
        <v>2461.7960850546042</v>
      </c>
      <c r="D41" s="680">
        <f ca="1">huishoudens!C12</f>
        <v>0</v>
      </c>
      <c r="E41" s="680">
        <f>huishoudens!D12</f>
        <v>3341.1972873038349</v>
      </c>
      <c r="F41" s="680">
        <f>huishoudens!E12</f>
        <v>264.1946763513248</v>
      </c>
      <c r="G41" s="680">
        <f>huishoudens!F12</f>
        <v>7058.3112401676672</v>
      </c>
      <c r="H41" s="680">
        <f>huishoudens!G12</f>
        <v>0</v>
      </c>
      <c r="I41" s="680">
        <f>huishoudens!H12</f>
        <v>0</v>
      </c>
      <c r="J41" s="680">
        <f>huishoudens!I12</f>
        <v>0</v>
      </c>
      <c r="K41" s="680">
        <f>huishoudens!J12</f>
        <v>46.817547761409287</v>
      </c>
      <c r="L41" s="680">
        <f>huishoudens!K12</f>
        <v>0</v>
      </c>
      <c r="M41" s="680">
        <f>huishoudens!L12</f>
        <v>0</v>
      </c>
      <c r="N41" s="680">
        <f>huishoudens!M12</f>
        <v>0</v>
      </c>
      <c r="O41" s="680">
        <f>huishoudens!N12</f>
        <v>0</v>
      </c>
      <c r="P41" s="680">
        <f>huishoudens!O12</f>
        <v>0</v>
      </c>
      <c r="Q41" s="763">
        <f>huishoudens!P12</f>
        <v>0</v>
      </c>
      <c r="R41" s="842">
        <f t="shared" ca="1" si="4"/>
        <v>13172.316836638842</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89.15078851148418</v>
      </c>
      <c r="D43" s="680">
        <f ca="1">industrie!C22</f>
        <v>0</v>
      </c>
      <c r="E43" s="680">
        <f>industrie!D22</f>
        <v>78.223575840102015</v>
      </c>
      <c r="F43" s="680">
        <f>industrie!E22</f>
        <v>0.33686751366595263</v>
      </c>
      <c r="G43" s="680">
        <f>industrie!F22</f>
        <v>39.419952981325551</v>
      </c>
      <c r="H43" s="680">
        <f>industrie!G22</f>
        <v>0</v>
      </c>
      <c r="I43" s="680">
        <f>industrie!H22</f>
        <v>0</v>
      </c>
      <c r="J43" s="680">
        <f>industrie!I22</f>
        <v>0</v>
      </c>
      <c r="K43" s="680">
        <f>industrie!J22</f>
        <v>2.3865401781614962E-2</v>
      </c>
      <c r="L43" s="680">
        <f>industrie!K22</f>
        <v>0</v>
      </c>
      <c r="M43" s="680">
        <f>industrie!L22</f>
        <v>0</v>
      </c>
      <c r="N43" s="680">
        <f>industrie!M22</f>
        <v>0</v>
      </c>
      <c r="O43" s="680">
        <f>industrie!N22</f>
        <v>0</v>
      </c>
      <c r="P43" s="680">
        <f>industrie!O22</f>
        <v>0</v>
      </c>
      <c r="Q43" s="763">
        <f>industrie!P22</f>
        <v>0</v>
      </c>
      <c r="R43" s="841">
        <f t="shared" ca="1" si="4"/>
        <v>207.15505024835932</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3615.6644352240073</v>
      </c>
      <c r="D46" s="716">
        <f t="shared" ref="D46:Q46" ca="1" si="5">SUM(D39:D45)</f>
        <v>0</v>
      </c>
      <c r="E46" s="716">
        <f t="shared" ca="1" si="5"/>
        <v>4159.006109525737</v>
      </c>
      <c r="F46" s="716">
        <f t="shared" si="5"/>
        <v>269.8471973669761</v>
      </c>
      <c r="G46" s="716">
        <f t="shared" ca="1" si="5"/>
        <v>7385.2956879490202</v>
      </c>
      <c r="H46" s="716">
        <f t="shared" si="5"/>
        <v>0</v>
      </c>
      <c r="I46" s="716">
        <f t="shared" si="5"/>
        <v>0</v>
      </c>
      <c r="J46" s="716">
        <f t="shared" si="5"/>
        <v>0</v>
      </c>
      <c r="K46" s="716">
        <f t="shared" si="5"/>
        <v>46.84560225840859</v>
      </c>
      <c r="L46" s="716">
        <f t="shared" si="5"/>
        <v>0</v>
      </c>
      <c r="M46" s="716">
        <f t="shared" ca="1" si="5"/>
        <v>0</v>
      </c>
      <c r="N46" s="716">
        <f t="shared" si="5"/>
        <v>0</v>
      </c>
      <c r="O46" s="716">
        <f t="shared" ca="1" si="5"/>
        <v>0</v>
      </c>
      <c r="P46" s="716">
        <f t="shared" si="5"/>
        <v>0</v>
      </c>
      <c r="Q46" s="716">
        <f t="shared" si="5"/>
        <v>0</v>
      </c>
      <c r="R46" s="716">
        <f ca="1">SUM(R39:R45)</f>
        <v>15476.659032324149</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0.96085438410645907</v>
      </c>
      <c r="D49" s="680">
        <f ca="1">transport!C58</f>
        <v>0</v>
      </c>
      <c r="E49" s="680">
        <f>transport!D58</f>
        <v>0</v>
      </c>
      <c r="F49" s="680">
        <f>transport!E58</f>
        <v>0</v>
      </c>
      <c r="G49" s="680">
        <f>transport!F58</f>
        <v>0</v>
      </c>
      <c r="H49" s="680">
        <f>transport!G58</f>
        <v>94.819914724588287</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95.780769108694741</v>
      </c>
    </row>
    <row r="50" spans="1:18">
      <c r="A50" s="817" t="s">
        <v>296</v>
      </c>
      <c r="B50" s="827"/>
      <c r="C50" s="686">
        <f ca="1">transport!B18</f>
        <v>15.483993112070253</v>
      </c>
      <c r="D50" s="686">
        <f>transport!C18</f>
        <v>0</v>
      </c>
      <c r="E50" s="686">
        <f>transport!D18</f>
        <v>29.650824598983359</v>
      </c>
      <c r="F50" s="686">
        <f>transport!E18</f>
        <v>18.338650552466206</v>
      </c>
      <c r="G50" s="686">
        <f>transport!F18</f>
        <v>0</v>
      </c>
      <c r="H50" s="686">
        <f>transport!G18</f>
        <v>9034.6210594154854</v>
      </c>
      <c r="I50" s="686">
        <f>transport!H18</f>
        <v>2220.2517714162555</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11318.346299095259</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16.444847496176713</v>
      </c>
      <c r="D52" s="716">
        <f t="shared" ref="D52:Q52" ca="1" si="6">SUM(D48:D51)</f>
        <v>0</v>
      </c>
      <c r="E52" s="716">
        <f t="shared" si="6"/>
        <v>29.650824598983359</v>
      </c>
      <c r="F52" s="716">
        <f t="shared" si="6"/>
        <v>18.338650552466206</v>
      </c>
      <c r="G52" s="716">
        <f t="shared" si="6"/>
        <v>0</v>
      </c>
      <c r="H52" s="716">
        <f t="shared" si="6"/>
        <v>9129.4409741400741</v>
      </c>
      <c r="I52" s="716">
        <f t="shared" si="6"/>
        <v>2220.2517714162555</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11414.127068203954</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386.98665236940678</v>
      </c>
      <c r="D54" s="686">
        <f ca="1">+landbouw!C12</f>
        <v>0</v>
      </c>
      <c r="E54" s="686">
        <f>+landbouw!D12</f>
        <v>455.22963582730199</v>
      </c>
      <c r="F54" s="686">
        <f>+landbouw!E12</f>
        <v>16.963481786870581</v>
      </c>
      <c r="G54" s="686">
        <f>+landbouw!F12</f>
        <v>1735.8211254833629</v>
      </c>
      <c r="H54" s="686">
        <f>+landbouw!G12</f>
        <v>0</v>
      </c>
      <c r="I54" s="686">
        <f>+landbouw!H12</f>
        <v>0</v>
      </c>
      <c r="J54" s="686">
        <f>+landbouw!I12</f>
        <v>0</v>
      </c>
      <c r="K54" s="686">
        <f>+landbouw!J12</f>
        <v>186.2095161000517</v>
      </c>
      <c r="L54" s="686">
        <f>+landbouw!K12</f>
        <v>0</v>
      </c>
      <c r="M54" s="686">
        <f>+landbouw!L12</f>
        <v>0</v>
      </c>
      <c r="N54" s="686">
        <f>+landbouw!M12</f>
        <v>0</v>
      </c>
      <c r="O54" s="686">
        <f>+landbouw!N12</f>
        <v>0</v>
      </c>
      <c r="P54" s="686">
        <f>+landbouw!O12</f>
        <v>0</v>
      </c>
      <c r="Q54" s="687">
        <f>+landbouw!P12</f>
        <v>0</v>
      </c>
      <c r="R54" s="715">
        <f ca="1">SUM(C54:Q54)</f>
        <v>2781.210411566994</v>
      </c>
    </row>
    <row r="55" spans="1:18" ht="15" thickBot="1">
      <c r="A55" s="817" t="s">
        <v>697</v>
      </c>
      <c r="B55" s="827"/>
      <c r="C55" s="686">
        <f ca="1">C25*'EF ele_warmte'!B12</f>
        <v>61.838202205711418</v>
      </c>
      <c r="D55" s="686"/>
      <c r="E55" s="686">
        <f>E25*EF_CO2_aardgas</f>
        <v>94.203198334000007</v>
      </c>
      <c r="F55" s="686"/>
      <c r="G55" s="686"/>
      <c r="H55" s="686"/>
      <c r="I55" s="686"/>
      <c r="J55" s="686"/>
      <c r="K55" s="686"/>
      <c r="L55" s="686"/>
      <c r="M55" s="686"/>
      <c r="N55" s="686"/>
      <c r="O55" s="686"/>
      <c r="P55" s="686"/>
      <c r="Q55" s="687"/>
      <c r="R55" s="715">
        <f ca="1">SUM(C55:Q55)</f>
        <v>156.04140053971142</v>
      </c>
    </row>
    <row r="56" spans="1:18" ht="15.75" thickBot="1">
      <c r="A56" s="815" t="s">
        <v>698</v>
      </c>
      <c r="B56" s="828"/>
      <c r="C56" s="716">
        <f ca="1">SUM(C54:C55)</f>
        <v>448.8248545751182</v>
      </c>
      <c r="D56" s="716">
        <f t="shared" ref="D56:Q56" ca="1" si="7">SUM(D54:D55)</f>
        <v>0</v>
      </c>
      <c r="E56" s="716">
        <f t="shared" si="7"/>
        <v>549.43283416130203</v>
      </c>
      <c r="F56" s="716">
        <f t="shared" si="7"/>
        <v>16.963481786870581</v>
      </c>
      <c r="G56" s="716">
        <f t="shared" si="7"/>
        <v>1735.8211254833629</v>
      </c>
      <c r="H56" s="716">
        <f t="shared" si="7"/>
        <v>0</v>
      </c>
      <c r="I56" s="716">
        <f t="shared" si="7"/>
        <v>0</v>
      </c>
      <c r="J56" s="716">
        <f t="shared" si="7"/>
        <v>0</v>
      </c>
      <c r="K56" s="716">
        <f t="shared" si="7"/>
        <v>186.2095161000517</v>
      </c>
      <c r="L56" s="716">
        <f t="shared" si="7"/>
        <v>0</v>
      </c>
      <c r="M56" s="716">
        <f t="shared" si="7"/>
        <v>0</v>
      </c>
      <c r="N56" s="716">
        <f t="shared" si="7"/>
        <v>0</v>
      </c>
      <c r="O56" s="716">
        <f t="shared" si="7"/>
        <v>0</v>
      </c>
      <c r="P56" s="716">
        <f t="shared" si="7"/>
        <v>0</v>
      </c>
      <c r="Q56" s="717">
        <f t="shared" si="7"/>
        <v>0</v>
      </c>
      <c r="R56" s="718">
        <f ca="1">SUM(R54:R55)</f>
        <v>2937.2518121067055</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4080.9341372953022</v>
      </c>
      <c r="D61" s="724">
        <f t="shared" ref="D61:Q61" ca="1" si="8">D46+D52+D56</f>
        <v>0</v>
      </c>
      <c r="E61" s="724">
        <f t="shared" ca="1" si="8"/>
        <v>4738.0897682860223</v>
      </c>
      <c r="F61" s="724">
        <f t="shared" si="8"/>
        <v>305.14932970631293</v>
      </c>
      <c r="G61" s="724">
        <f t="shared" ca="1" si="8"/>
        <v>9121.1168134323834</v>
      </c>
      <c r="H61" s="724">
        <f t="shared" si="8"/>
        <v>9129.4409741400741</v>
      </c>
      <c r="I61" s="724">
        <f t="shared" si="8"/>
        <v>2220.2517714162555</v>
      </c>
      <c r="J61" s="724">
        <f t="shared" si="8"/>
        <v>0</v>
      </c>
      <c r="K61" s="724">
        <f t="shared" si="8"/>
        <v>233.05511835846028</v>
      </c>
      <c r="L61" s="724">
        <f t="shared" si="8"/>
        <v>0</v>
      </c>
      <c r="M61" s="724">
        <f t="shared" ca="1" si="8"/>
        <v>0</v>
      </c>
      <c r="N61" s="724">
        <f t="shared" si="8"/>
        <v>0</v>
      </c>
      <c r="O61" s="724">
        <f t="shared" ca="1" si="8"/>
        <v>0</v>
      </c>
      <c r="P61" s="724">
        <f t="shared" si="8"/>
        <v>0</v>
      </c>
      <c r="Q61" s="724">
        <f t="shared" si="8"/>
        <v>0</v>
      </c>
      <c r="R61" s="724">
        <f ca="1">R46+R52+R56</f>
        <v>29828.037912634805</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0.19312337923256886</v>
      </c>
      <c r="D63" s="770">
        <f t="shared" ca="1" si="9"/>
        <v>0</v>
      </c>
      <c r="E63" s="962">
        <f t="shared" ca="1" si="9"/>
        <v>0.20200000000000001</v>
      </c>
      <c r="F63" s="770">
        <f t="shared" si="9"/>
        <v>0.22700000000000001</v>
      </c>
      <c r="G63" s="770">
        <f t="shared" ca="1" si="9"/>
        <v>0.26700000000000007</v>
      </c>
      <c r="H63" s="770">
        <f t="shared" si="9"/>
        <v>0.26699999999999996</v>
      </c>
      <c r="I63" s="770">
        <f t="shared" si="9"/>
        <v>0.249</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2665.4625620693168</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2665.4625620693168</v>
      </c>
      <c r="C78" s="742">
        <f>SUM(C72:C77)</f>
        <v>0</v>
      </c>
      <c r="D78" s="743">
        <f t="shared" ref="D78:H78" si="10">SUM(D76:D77)</f>
        <v>0</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0</v>
      </c>
      <c r="D90" s="742">
        <f t="shared" ref="D90:H90" si="12">SUM(D87:D89)</f>
        <v>0</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12747.271173677971</v>
      </c>
      <c r="C4" s="447">
        <f>huishoudens!C8</f>
        <v>0</v>
      </c>
      <c r="D4" s="447">
        <f>huishoudens!D8</f>
        <v>16540.580630217002</v>
      </c>
      <c r="E4" s="447">
        <f>huishoudens!E8</f>
        <v>1163.8531997855719</v>
      </c>
      <c r="F4" s="447">
        <f>huishoudens!F8</f>
        <v>26435.622622350813</v>
      </c>
      <c r="G4" s="447">
        <f>huishoudens!G8</f>
        <v>0</v>
      </c>
      <c r="H4" s="447">
        <f>huishoudens!H8</f>
        <v>0</v>
      </c>
      <c r="I4" s="447">
        <f>huishoudens!I8</f>
        <v>0</v>
      </c>
      <c r="J4" s="447">
        <f>huishoudens!J8</f>
        <v>132.25295977799234</v>
      </c>
      <c r="K4" s="447">
        <f>huishoudens!K8</f>
        <v>0</v>
      </c>
      <c r="L4" s="447">
        <f>huishoudens!L8</f>
        <v>0</v>
      </c>
      <c r="M4" s="447">
        <f>huishoudens!M8</f>
        <v>0</v>
      </c>
      <c r="N4" s="447">
        <f>huishoudens!N8</f>
        <v>4420.1657204793664</v>
      </c>
      <c r="O4" s="447">
        <f>huishoudens!O8</f>
        <v>136.89311713770519</v>
      </c>
      <c r="P4" s="448">
        <f>huishoudens!P8</f>
        <v>273.88294199981061</v>
      </c>
      <c r="Q4" s="449">
        <f>SUM(B4:P4)</f>
        <v>61850.52236542623</v>
      </c>
    </row>
    <row r="5" spans="1:17">
      <c r="A5" s="446" t="s">
        <v>149</v>
      </c>
      <c r="B5" s="447">
        <f ca="1">tertiair!B16</f>
        <v>5129.4541370000006</v>
      </c>
      <c r="C5" s="447">
        <f ca="1">tertiair!C16</f>
        <v>0</v>
      </c>
      <c r="D5" s="447">
        <f ca="1">tertiair!D16</f>
        <v>3661.3131008999999</v>
      </c>
      <c r="E5" s="447">
        <f>tertiair!E16</f>
        <v>23.41697577967124</v>
      </c>
      <c r="F5" s="447">
        <f ca="1">tertiair!F16</f>
        <v>1077.020579775382</v>
      </c>
      <c r="G5" s="447">
        <f>tertiair!G16</f>
        <v>0</v>
      </c>
      <c r="H5" s="447">
        <f>tertiair!H16</f>
        <v>0</v>
      </c>
      <c r="I5" s="447">
        <f>tertiair!I16</f>
        <v>0</v>
      </c>
      <c r="J5" s="447">
        <f>tertiair!J16</f>
        <v>1.1833602309861484E-2</v>
      </c>
      <c r="K5" s="447">
        <f>tertiair!K16</f>
        <v>0</v>
      </c>
      <c r="L5" s="447">
        <f ca="1">tertiair!L16</f>
        <v>0</v>
      </c>
      <c r="M5" s="447">
        <f>tertiair!M16</f>
        <v>0</v>
      </c>
      <c r="N5" s="447">
        <f ca="1">tertiair!N16</f>
        <v>430.74424077238484</v>
      </c>
      <c r="O5" s="447">
        <f>tertiair!O16</f>
        <v>4.8972607658411542</v>
      </c>
      <c r="P5" s="448">
        <f>tertiair!P16</f>
        <v>0</v>
      </c>
      <c r="Q5" s="446">
        <f t="shared" ref="Q5:Q14" ca="1" si="0">SUM(B5:P5)</f>
        <v>10326.85812859559</v>
      </c>
    </row>
    <row r="6" spans="1:17">
      <c r="A6" s="446" t="s">
        <v>187</v>
      </c>
      <c r="B6" s="447">
        <f>'openbare verlichting'!B8</f>
        <v>383.69277399999999</v>
      </c>
      <c r="C6" s="447"/>
      <c r="D6" s="447"/>
      <c r="E6" s="447"/>
      <c r="F6" s="447"/>
      <c r="G6" s="447"/>
      <c r="H6" s="447"/>
      <c r="I6" s="447"/>
      <c r="J6" s="447"/>
      <c r="K6" s="447"/>
      <c r="L6" s="447"/>
      <c r="M6" s="447"/>
      <c r="N6" s="447"/>
      <c r="O6" s="447"/>
      <c r="P6" s="448"/>
      <c r="Q6" s="446">
        <f t="shared" si="0"/>
        <v>383.69277399999999</v>
      </c>
    </row>
    <row r="7" spans="1:17">
      <c r="A7" s="446" t="s">
        <v>105</v>
      </c>
      <c r="B7" s="447">
        <f>landbouw!B8</f>
        <v>2003.8311980000001</v>
      </c>
      <c r="C7" s="447">
        <f>landbouw!C8</f>
        <v>0</v>
      </c>
      <c r="D7" s="447">
        <f>landbouw!D8</f>
        <v>2253.6120585509998</v>
      </c>
      <c r="E7" s="447">
        <f>landbouw!E8</f>
        <v>74.72899465581753</v>
      </c>
      <c r="F7" s="447">
        <f>landbouw!F8</f>
        <v>6501.202717166153</v>
      </c>
      <c r="G7" s="447">
        <f>landbouw!G8</f>
        <v>0</v>
      </c>
      <c r="H7" s="447">
        <f>landbouw!H8</f>
        <v>0</v>
      </c>
      <c r="I7" s="447">
        <f>landbouw!I8</f>
        <v>0</v>
      </c>
      <c r="J7" s="447">
        <f>landbouw!J8</f>
        <v>526.01558220353593</v>
      </c>
      <c r="K7" s="447">
        <f>landbouw!K8</f>
        <v>0</v>
      </c>
      <c r="L7" s="447">
        <f>landbouw!L8</f>
        <v>0</v>
      </c>
      <c r="M7" s="447">
        <f>landbouw!M8</f>
        <v>0</v>
      </c>
      <c r="N7" s="447">
        <f>landbouw!N8</f>
        <v>0</v>
      </c>
      <c r="O7" s="447">
        <f>landbouw!O8</f>
        <v>0</v>
      </c>
      <c r="P7" s="448">
        <f>landbouw!P8</f>
        <v>0</v>
      </c>
      <c r="Q7" s="446">
        <f t="shared" si="0"/>
        <v>11359.390550576505</v>
      </c>
    </row>
    <row r="8" spans="1:17">
      <c r="A8" s="446" t="s">
        <v>612</v>
      </c>
      <c r="B8" s="447">
        <f>industrie!B18</f>
        <v>461.62608</v>
      </c>
      <c r="C8" s="447">
        <f>industrie!C18</f>
        <v>0</v>
      </c>
      <c r="D8" s="447">
        <f>industrie!D18</f>
        <v>387.24542495100002</v>
      </c>
      <c r="E8" s="447">
        <f>industrie!E18</f>
        <v>1.4839978575592627</v>
      </c>
      <c r="F8" s="447">
        <f>industrie!F18</f>
        <v>147.64027333829793</v>
      </c>
      <c r="G8" s="447">
        <f>industrie!G18</f>
        <v>0</v>
      </c>
      <c r="H8" s="447">
        <f>industrie!H18</f>
        <v>0</v>
      </c>
      <c r="I8" s="447">
        <f>industrie!I18</f>
        <v>0</v>
      </c>
      <c r="J8" s="447">
        <f>industrie!J18</f>
        <v>6.7416389213601588E-2</v>
      </c>
      <c r="K8" s="447">
        <f>industrie!K18</f>
        <v>0</v>
      </c>
      <c r="L8" s="447">
        <f>industrie!L18</f>
        <v>0</v>
      </c>
      <c r="M8" s="447">
        <f>industrie!M18</f>
        <v>0</v>
      </c>
      <c r="N8" s="447">
        <f>industrie!N18</f>
        <v>15.466623945033966</v>
      </c>
      <c r="O8" s="447">
        <f>industrie!O18</f>
        <v>0</v>
      </c>
      <c r="P8" s="448">
        <f>industrie!P18</f>
        <v>0</v>
      </c>
      <c r="Q8" s="446">
        <f t="shared" si="0"/>
        <v>1013.5298164811047</v>
      </c>
    </row>
    <row r="9" spans="1:17" s="452" customFormat="1">
      <c r="A9" s="450" t="s">
        <v>538</v>
      </c>
      <c r="B9" s="451">
        <f>transport!B14</f>
        <v>80.176688982972138</v>
      </c>
      <c r="C9" s="451">
        <f>transport!C14</f>
        <v>0</v>
      </c>
      <c r="D9" s="451">
        <f>transport!D14</f>
        <v>146.78626039100672</v>
      </c>
      <c r="E9" s="451">
        <f>transport!E14</f>
        <v>80.787006839058179</v>
      </c>
      <c r="F9" s="451">
        <f>transport!F14</f>
        <v>0</v>
      </c>
      <c r="G9" s="451">
        <f>transport!G14</f>
        <v>33837.532057735902</v>
      </c>
      <c r="H9" s="451">
        <f>transport!H14</f>
        <v>8916.6737807881746</v>
      </c>
      <c r="I9" s="451">
        <f>transport!I14</f>
        <v>0</v>
      </c>
      <c r="J9" s="451">
        <f>transport!J14</f>
        <v>0</v>
      </c>
      <c r="K9" s="451">
        <f>transport!K14</f>
        <v>0</v>
      </c>
      <c r="L9" s="451">
        <f>transport!L14</f>
        <v>0</v>
      </c>
      <c r="M9" s="451">
        <f>transport!M14</f>
        <v>2524.9570088960731</v>
      </c>
      <c r="N9" s="451">
        <f>transport!N14</f>
        <v>0</v>
      </c>
      <c r="O9" s="451">
        <f>transport!O14</f>
        <v>0</v>
      </c>
      <c r="P9" s="451">
        <f>transport!P14</f>
        <v>0</v>
      </c>
      <c r="Q9" s="450">
        <f>SUM(B9:P9)</f>
        <v>45586.912803633189</v>
      </c>
    </row>
    <row r="10" spans="1:17">
      <c r="A10" s="446" t="s">
        <v>528</v>
      </c>
      <c r="B10" s="447">
        <f>transport!B54</f>
        <v>4.975339536438776</v>
      </c>
      <c r="C10" s="447">
        <f>transport!C54</f>
        <v>0</v>
      </c>
      <c r="D10" s="447">
        <f>transport!D54</f>
        <v>0</v>
      </c>
      <c r="E10" s="447">
        <f>transport!E54</f>
        <v>0</v>
      </c>
      <c r="F10" s="447">
        <f>transport!F54</f>
        <v>0</v>
      </c>
      <c r="G10" s="447">
        <f>transport!G54</f>
        <v>355.1307667587576</v>
      </c>
      <c r="H10" s="447">
        <f>transport!H54</f>
        <v>0</v>
      </c>
      <c r="I10" s="447">
        <f>transport!I54</f>
        <v>0</v>
      </c>
      <c r="J10" s="447">
        <f>transport!J54</f>
        <v>0</v>
      </c>
      <c r="K10" s="447">
        <f>transport!K54</f>
        <v>0</v>
      </c>
      <c r="L10" s="447">
        <f>transport!L54</f>
        <v>0</v>
      </c>
      <c r="M10" s="447">
        <f>transport!M54</f>
        <v>19.609821572412688</v>
      </c>
      <c r="N10" s="447">
        <f>transport!N54</f>
        <v>0</v>
      </c>
      <c r="O10" s="447">
        <f>transport!O54</f>
        <v>0</v>
      </c>
      <c r="P10" s="448">
        <f>transport!P54</f>
        <v>0</v>
      </c>
      <c r="Q10" s="446">
        <f t="shared" si="0"/>
        <v>379.71592786760903</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320.20049800000004</v>
      </c>
      <c r="C14" s="454"/>
      <c r="D14" s="454">
        <f>'SEAP template'!E25</f>
        <v>466.35246699999999</v>
      </c>
      <c r="E14" s="454"/>
      <c r="F14" s="454"/>
      <c r="G14" s="454"/>
      <c r="H14" s="454"/>
      <c r="I14" s="454"/>
      <c r="J14" s="454"/>
      <c r="K14" s="454"/>
      <c r="L14" s="454"/>
      <c r="M14" s="454"/>
      <c r="N14" s="454"/>
      <c r="O14" s="454"/>
      <c r="P14" s="455"/>
      <c r="Q14" s="446">
        <f t="shared" si="0"/>
        <v>786.55296500000009</v>
      </c>
    </row>
    <row r="15" spans="1:17" s="458" customFormat="1">
      <c r="A15" s="456" t="s">
        <v>532</v>
      </c>
      <c r="B15" s="457">
        <f ca="1">SUM(B4:B14)</f>
        <v>21131.22788919738</v>
      </c>
      <c r="C15" s="457">
        <f t="shared" ref="C15:Q15" ca="1" si="1">SUM(C4:C14)</f>
        <v>0</v>
      </c>
      <c r="D15" s="457">
        <f t="shared" ca="1" si="1"/>
        <v>23455.88994201001</v>
      </c>
      <c r="E15" s="457">
        <f t="shared" si="1"/>
        <v>1344.2701749176781</v>
      </c>
      <c r="F15" s="457">
        <f t="shared" ca="1" si="1"/>
        <v>34161.486192630648</v>
      </c>
      <c r="G15" s="457">
        <f t="shared" si="1"/>
        <v>34192.662824494662</v>
      </c>
      <c r="H15" s="457">
        <f t="shared" si="1"/>
        <v>8916.6737807881746</v>
      </c>
      <c r="I15" s="457">
        <f t="shared" si="1"/>
        <v>0</v>
      </c>
      <c r="J15" s="457">
        <f t="shared" si="1"/>
        <v>658.3477919730517</v>
      </c>
      <c r="K15" s="457">
        <f t="shared" si="1"/>
        <v>0</v>
      </c>
      <c r="L15" s="457">
        <f t="shared" ca="1" si="1"/>
        <v>0</v>
      </c>
      <c r="M15" s="457">
        <f t="shared" si="1"/>
        <v>2544.5668304684859</v>
      </c>
      <c r="N15" s="457">
        <f t="shared" ca="1" si="1"/>
        <v>4866.3765851967855</v>
      </c>
      <c r="O15" s="457">
        <f t="shared" si="1"/>
        <v>141.79037790354636</v>
      </c>
      <c r="P15" s="457">
        <f t="shared" si="1"/>
        <v>273.88294199981061</v>
      </c>
      <c r="Q15" s="457">
        <f t="shared" ca="1" si="1"/>
        <v>131687.17533158022</v>
      </c>
    </row>
    <row r="17" spans="1:17">
      <c r="A17" s="459" t="s">
        <v>533</v>
      </c>
      <c r="B17" s="775">
        <f ca="1">huishoudens!B10</f>
        <v>0.19312337923256886</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2461.7960850546042</v>
      </c>
      <c r="C22" s="447">
        <f t="shared" ref="C22:C32" ca="1" si="3">C4*$C$17</f>
        <v>0</v>
      </c>
      <c r="D22" s="447">
        <f t="shared" ref="D22:D32" si="4">D4*$D$17</f>
        <v>3341.1972873038349</v>
      </c>
      <c r="E22" s="447">
        <f t="shared" ref="E22:E32" si="5">E4*$E$17</f>
        <v>264.1946763513248</v>
      </c>
      <c r="F22" s="447">
        <f t="shared" ref="F22:F32" si="6">F4*$F$17</f>
        <v>7058.3112401676672</v>
      </c>
      <c r="G22" s="447">
        <f t="shared" ref="G22:G32" si="7">G4*$G$17</f>
        <v>0</v>
      </c>
      <c r="H22" s="447">
        <f t="shared" ref="H22:H32" si="8">H4*$H$17</f>
        <v>0</v>
      </c>
      <c r="I22" s="447">
        <f t="shared" ref="I22:I32" si="9">I4*$I$17</f>
        <v>0</v>
      </c>
      <c r="J22" s="447">
        <f t="shared" ref="J22:J32" si="10">J4*$J$17</f>
        <v>46.817547761409287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13172.316836638842</v>
      </c>
    </row>
    <row r="23" spans="1:17">
      <c r="A23" s="446" t="s">
        <v>149</v>
      </c>
      <c r="B23" s="447">
        <f t="shared" ca="1" si="2"/>
        <v>990.61751655592036</v>
      </c>
      <c r="C23" s="447">
        <f t="shared" ca="1" si="3"/>
        <v>0</v>
      </c>
      <c r="D23" s="447">
        <f t="shared" ca="1" si="4"/>
        <v>739.58524638180006</v>
      </c>
      <c r="E23" s="447">
        <f t="shared" si="5"/>
        <v>5.3156535019853717</v>
      </c>
      <c r="F23" s="447">
        <f t="shared" ca="1" si="6"/>
        <v>287.56449480002698</v>
      </c>
      <c r="G23" s="447">
        <f t="shared" si="7"/>
        <v>0</v>
      </c>
      <c r="H23" s="447">
        <f t="shared" si="8"/>
        <v>0</v>
      </c>
      <c r="I23" s="447">
        <f t="shared" si="9"/>
        <v>0</v>
      </c>
      <c r="J23" s="447">
        <f t="shared" si="10"/>
        <v>4.1890952176909654E-3</v>
      </c>
      <c r="K23" s="447">
        <f t="shared" si="11"/>
        <v>0</v>
      </c>
      <c r="L23" s="447">
        <f t="shared" ca="1" si="12"/>
        <v>0</v>
      </c>
      <c r="M23" s="447">
        <f t="shared" si="13"/>
        <v>0</v>
      </c>
      <c r="N23" s="447">
        <f t="shared" ca="1" si="14"/>
        <v>0</v>
      </c>
      <c r="O23" s="447">
        <f t="shared" si="15"/>
        <v>0</v>
      </c>
      <c r="P23" s="448">
        <f t="shared" si="16"/>
        <v>0</v>
      </c>
      <c r="Q23" s="446">
        <f t="shared" ref="Q23:Q31" ca="1" si="17">SUM(B23:P23)</f>
        <v>2023.0871003349505</v>
      </c>
    </row>
    <row r="24" spans="1:17">
      <c r="A24" s="446" t="s">
        <v>187</v>
      </c>
      <c r="B24" s="447">
        <f t="shared" ca="1" si="2"/>
        <v>74.100045101998333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74.100045101998333</v>
      </c>
    </row>
    <row r="25" spans="1:17">
      <c r="A25" s="446" t="s">
        <v>105</v>
      </c>
      <c r="B25" s="447">
        <f t="shared" ca="1" si="2"/>
        <v>386.98665236940678</v>
      </c>
      <c r="C25" s="447">
        <f t="shared" ca="1" si="3"/>
        <v>0</v>
      </c>
      <c r="D25" s="447">
        <f t="shared" si="4"/>
        <v>455.22963582730199</v>
      </c>
      <c r="E25" s="447">
        <f t="shared" si="5"/>
        <v>16.963481786870581</v>
      </c>
      <c r="F25" s="447">
        <f t="shared" si="6"/>
        <v>1735.8211254833629</v>
      </c>
      <c r="G25" s="447">
        <f t="shared" si="7"/>
        <v>0</v>
      </c>
      <c r="H25" s="447">
        <f t="shared" si="8"/>
        <v>0</v>
      </c>
      <c r="I25" s="447">
        <f t="shared" si="9"/>
        <v>0</v>
      </c>
      <c r="J25" s="447">
        <f t="shared" si="10"/>
        <v>186.2095161000517</v>
      </c>
      <c r="K25" s="447">
        <f t="shared" si="11"/>
        <v>0</v>
      </c>
      <c r="L25" s="447">
        <f t="shared" si="12"/>
        <v>0</v>
      </c>
      <c r="M25" s="447">
        <f t="shared" si="13"/>
        <v>0</v>
      </c>
      <c r="N25" s="447">
        <f t="shared" si="14"/>
        <v>0</v>
      </c>
      <c r="O25" s="447">
        <f t="shared" si="15"/>
        <v>0</v>
      </c>
      <c r="P25" s="448">
        <f t="shared" si="16"/>
        <v>0</v>
      </c>
      <c r="Q25" s="446">
        <f t="shared" ca="1" si="17"/>
        <v>2781.210411566994</v>
      </c>
    </row>
    <row r="26" spans="1:17">
      <c r="A26" s="446" t="s">
        <v>612</v>
      </c>
      <c r="B26" s="447">
        <f t="shared" ca="1" si="2"/>
        <v>89.15078851148418</v>
      </c>
      <c r="C26" s="447">
        <f t="shared" ca="1" si="3"/>
        <v>0</v>
      </c>
      <c r="D26" s="447">
        <f t="shared" si="4"/>
        <v>78.223575840102015</v>
      </c>
      <c r="E26" s="447">
        <f t="shared" si="5"/>
        <v>0.33686751366595263</v>
      </c>
      <c r="F26" s="447">
        <f t="shared" si="6"/>
        <v>39.419952981325551</v>
      </c>
      <c r="G26" s="447">
        <f t="shared" si="7"/>
        <v>0</v>
      </c>
      <c r="H26" s="447">
        <f t="shared" si="8"/>
        <v>0</v>
      </c>
      <c r="I26" s="447">
        <f t="shared" si="9"/>
        <v>0</v>
      </c>
      <c r="J26" s="447">
        <f t="shared" si="10"/>
        <v>2.3865401781614962E-2</v>
      </c>
      <c r="K26" s="447">
        <f t="shared" si="11"/>
        <v>0</v>
      </c>
      <c r="L26" s="447">
        <f t="shared" si="12"/>
        <v>0</v>
      </c>
      <c r="M26" s="447">
        <f t="shared" si="13"/>
        <v>0</v>
      </c>
      <c r="N26" s="447">
        <f t="shared" si="14"/>
        <v>0</v>
      </c>
      <c r="O26" s="447">
        <f t="shared" si="15"/>
        <v>0</v>
      </c>
      <c r="P26" s="448">
        <f t="shared" si="16"/>
        <v>0</v>
      </c>
      <c r="Q26" s="446">
        <f t="shared" ca="1" si="17"/>
        <v>207.15505024835932</v>
      </c>
    </row>
    <row r="27" spans="1:17" s="452" customFormat="1">
      <c r="A27" s="450" t="s">
        <v>538</v>
      </c>
      <c r="B27" s="769">
        <f t="shared" ca="1" si="2"/>
        <v>15.483993112070253</v>
      </c>
      <c r="C27" s="451">
        <f t="shared" ca="1" si="3"/>
        <v>0</v>
      </c>
      <c r="D27" s="451">
        <f t="shared" si="4"/>
        <v>29.650824598983359</v>
      </c>
      <c r="E27" s="451">
        <f t="shared" si="5"/>
        <v>18.338650552466206</v>
      </c>
      <c r="F27" s="451">
        <f t="shared" si="6"/>
        <v>0</v>
      </c>
      <c r="G27" s="451">
        <f t="shared" si="7"/>
        <v>9034.6210594154854</v>
      </c>
      <c r="H27" s="451">
        <f t="shared" si="8"/>
        <v>2220.2517714162555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11318.346299095259</v>
      </c>
    </row>
    <row r="28" spans="1:17" ht="16.5" customHeight="1">
      <c r="A28" s="446" t="s">
        <v>528</v>
      </c>
      <c r="B28" s="447">
        <f t="shared" ca="1" si="2"/>
        <v>0.96085438410645907</v>
      </c>
      <c r="C28" s="447">
        <f t="shared" ca="1" si="3"/>
        <v>0</v>
      </c>
      <c r="D28" s="447">
        <f t="shared" si="4"/>
        <v>0</v>
      </c>
      <c r="E28" s="447">
        <f t="shared" si="5"/>
        <v>0</v>
      </c>
      <c r="F28" s="447">
        <f t="shared" si="6"/>
        <v>0</v>
      </c>
      <c r="G28" s="447">
        <f t="shared" si="7"/>
        <v>94.819914724588287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95.780769108694741</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61.838202205711418</v>
      </c>
      <c r="C32" s="447">
        <f t="shared" ca="1" si="3"/>
        <v>0</v>
      </c>
      <c r="D32" s="447">
        <f t="shared" si="4"/>
        <v>94.203198334000007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156.04140053971142</v>
      </c>
    </row>
    <row r="33" spans="1:17" s="458" customFormat="1">
      <c r="A33" s="456" t="s">
        <v>532</v>
      </c>
      <c r="B33" s="457">
        <f ca="1">SUM(B22:B32)</f>
        <v>4080.9341372953013</v>
      </c>
      <c r="C33" s="457">
        <f t="shared" ref="C33:Q33" ca="1" si="19">SUM(C22:C32)</f>
        <v>0</v>
      </c>
      <c r="D33" s="457">
        <f t="shared" ca="1" si="19"/>
        <v>4738.0897682860223</v>
      </c>
      <c r="E33" s="457">
        <f t="shared" si="19"/>
        <v>305.14932970631293</v>
      </c>
      <c r="F33" s="457">
        <f t="shared" ca="1" si="19"/>
        <v>9121.1168134323816</v>
      </c>
      <c r="G33" s="457">
        <f t="shared" si="19"/>
        <v>9129.4409741400741</v>
      </c>
      <c r="H33" s="457">
        <f t="shared" si="19"/>
        <v>2220.2517714162555</v>
      </c>
      <c r="I33" s="457">
        <f t="shared" si="19"/>
        <v>0</v>
      </c>
      <c r="J33" s="457">
        <f t="shared" si="19"/>
        <v>233.05511835846031</v>
      </c>
      <c r="K33" s="457">
        <f t="shared" si="19"/>
        <v>0</v>
      </c>
      <c r="L33" s="457">
        <f t="shared" ca="1" si="19"/>
        <v>0</v>
      </c>
      <c r="M33" s="457">
        <f t="shared" si="19"/>
        <v>0</v>
      </c>
      <c r="N33" s="457">
        <f t="shared" ca="1" si="19"/>
        <v>0</v>
      </c>
      <c r="O33" s="457">
        <f t="shared" si="19"/>
        <v>0</v>
      </c>
      <c r="P33" s="457">
        <f t="shared" si="19"/>
        <v>0</v>
      </c>
      <c r="Q33" s="457">
        <f t="shared" ca="1" si="19"/>
        <v>29828.037912634809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2665.4625620693168</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2665.4625620693168</v>
      </c>
      <c r="C10" s="1015">
        <f>SUM(C4:C9)</f>
        <v>0</v>
      </c>
      <c r="D10" s="1015">
        <f t="shared" ref="D10:H10" si="0">SUM(D8:D9)</f>
        <v>0</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0.19312337923256886</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0</v>
      </c>
      <c r="D20" s="1015">
        <f t="shared" ref="D20:H20" si="2">SUM(D17:D19)</f>
        <v>0</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0.19312337923256886</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0.19312337923256886</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0.19312337923256886</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3004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3995.28</v>
      </c>
      <c r="C14" s="326"/>
      <c r="D14" s="326"/>
      <c r="E14" s="326"/>
      <c r="F14" s="326"/>
    </row>
    <row r="15" spans="1:6">
      <c r="A15" s="1305" t="s">
        <v>177</v>
      </c>
      <c r="B15" s="1306">
        <v>695</v>
      </c>
      <c r="C15" s="326"/>
      <c r="D15" s="326"/>
      <c r="E15" s="326"/>
      <c r="F15" s="326"/>
    </row>
    <row r="16" spans="1:6">
      <c r="A16" s="1305" t="s">
        <v>6</v>
      </c>
      <c r="B16" s="1306">
        <v>524</v>
      </c>
      <c r="C16" s="326"/>
      <c r="D16" s="326"/>
      <c r="E16" s="326"/>
      <c r="F16" s="326"/>
    </row>
    <row r="17" spans="1:6">
      <c r="A17" s="1305" t="s">
        <v>7</v>
      </c>
      <c r="B17" s="1306">
        <v>831</v>
      </c>
      <c r="C17" s="326"/>
      <c r="D17" s="326"/>
      <c r="E17" s="326"/>
      <c r="F17" s="326"/>
    </row>
    <row r="18" spans="1:6">
      <c r="A18" s="1305" t="s">
        <v>8</v>
      </c>
      <c r="B18" s="1306">
        <v>998</v>
      </c>
      <c r="C18" s="326"/>
      <c r="D18" s="326"/>
      <c r="E18" s="326"/>
      <c r="F18" s="326"/>
    </row>
    <row r="19" spans="1:6">
      <c r="A19" s="1305" t="s">
        <v>9</v>
      </c>
      <c r="B19" s="1306">
        <v>908</v>
      </c>
      <c r="C19" s="326"/>
      <c r="D19" s="326"/>
      <c r="E19" s="326"/>
      <c r="F19" s="326"/>
    </row>
    <row r="20" spans="1:6">
      <c r="A20" s="1305" t="s">
        <v>10</v>
      </c>
      <c r="B20" s="1306">
        <v>781</v>
      </c>
      <c r="C20" s="326"/>
      <c r="D20" s="326"/>
      <c r="E20" s="326"/>
      <c r="F20" s="326"/>
    </row>
    <row r="21" spans="1:6">
      <c r="A21" s="1305" t="s">
        <v>11</v>
      </c>
      <c r="B21" s="1306">
        <v>1708</v>
      </c>
      <c r="C21" s="326"/>
      <c r="D21" s="326"/>
      <c r="E21" s="326"/>
      <c r="F21" s="326"/>
    </row>
    <row r="22" spans="1:6">
      <c r="A22" s="1305" t="s">
        <v>12</v>
      </c>
      <c r="B22" s="1306">
        <v>5689</v>
      </c>
      <c r="C22" s="326"/>
      <c r="D22" s="326"/>
      <c r="E22" s="326"/>
      <c r="F22" s="326"/>
    </row>
    <row r="23" spans="1:6">
      <c r="A23" s="1305" t="s">
        <v>13</v>
      </c>
      <c r="B23" s="1306">
        <v>32</v>
      </c>
      <c r="C23" s="326"/>
      <c r="D23" s="326"/>
      <c r="E23" s="326"/>
      <c r="F23" s="326"/>
    </row>
    <row r="24" spans="1:6">
      <c r="A24" s="1305" t="s">
        <v>14</v>
      </c>
      <c r="B24" s="1306">
        <v>5</v>
      </c>
      <c r="C24" s="326"/>
      <c r="D24" s="326"/>
      <c r="E24" s="326"/>
      <c r="F24" s="326"/>
    </row>
    <row r="25" spans="1:6">
      <c r="A25" s="1305" t="s">
        <v>15</v>
      </c>
      <c r="B25" s="1306">
        <v>338</v>
      </c>
      <c r="C25" s="326"/>
      <c r="D25" s="326"/>
      <c r="E25" s="326"/>
      <c r="F25" s="326"/>
    </row>
    <row r="26" spans="1:6">
      <c r="A26" s="1305" t="s">
        <v>16</v>
      </c>
      <c r="B26" s="1306">
        <v>100</v>
      </c>
      <c r="C26" s="326"/>
      <c r="D26" s="326"/>
      <c r="E26" s="326"/>
      <c r="F26" s="326"/>
    </row>
    <row r="27" spans="1:6">
      <c r="A27" s="1305" t="s">
        <v>17</v>
      </c>
      <c r="B27" s="1306">
        <v>4</v>
      </c>
      <c r="C27" s="326"/>
      <c r="D27" s="326"/>
      <c r="E27" s="326"/>
      <c r="F27" s="326"/>
    </row>
    <row r="28" spans="1:6">
      <c r="A28" s="1305" t="s">
        <v>18</v>
      </c>
      <c r="B28" s="1307">
        <v>13072</v>
      </c>
      <c r="C28" s="326"/>
      <c r="D28" s="326"/>
      <c r="E28" s="326"/>
      <c r="F28" s="326"/>
    </row>
    <row r="29" spans="1:6">
      <c r="A29" s="1305" t="s">
        <v>682</v>
      </c>
      <c r="B29" s="1307">
        <v>41</v>
      </c>
      <c r="C29" s="326"/>
      <c r="D29" s="326"/>
      <c r="E29" s="326"/>
      <c r="F29" s="326"/>
    </row>
    <row r="30" spans="1:6">
      <c r="A30" s="1300" t="s">
        <v>683</v>
      </c>
      <c r="B30" s="1308">
        <v>11</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26378.885999999999</v>
      </c>
      <c r="E38" s="1306">
        <v>2</v>
      </c>
      <c r="F38" s="1306">
        <v>3005.0070000000001</v>
      </c>
    </row>
    <row r="39" spans="1:6">
      <c r="A39" s="1305" t="s">
        <v>29</v>
      </c>
      <c r="B39" s="1305" t="s">
        <v>30</v>
      </c>
      <c r="C39" s="1306">
        <v>1162</v>
      </c>
      <c r="D39" s="1306">
        <v>18317365.039000001</v>
      </c>
      <c r="E39" s="1306">
        <v>2962</v>
      </c>
      <c r="F39" s="1306">
        <v>10364857.469000001</v>
      </c>
    </row>
    <row r="40" spans="1:6">
      <c r="A40" s="1305" t="s">
        <v>29</v>
      </c>
      <c r="B40" s="1305" t="s">
        <v>28</v>
      </c>
      <c r="C40" s="1306">
        <v>0</v>
      </c>
      <c r="D40" s="1306">
        <v>0</v>
      </c>
      <c r="E40" s="1306">
        <v>0</v>
      </c>
      <c r="F40" s="1306">
        <v>0</v>
      </c>
    </row>
    <row r="41" spans="1:6">
      <c r="A41" s="1305" t="s">
        <v>31</v>
      </c>
      <c r="B41" s="1305" t="s">
        <v>32</v>
      </c>
      <c r="C41" s="1306">
        <v>15</v>
      </c>
      <c r="D41" s="1306">
        <v>239142.75700000001</v>
      </c>
      <c r="E41" s="1306">
        <v>46</v>
      </c>
      <c r="F41" s="1306">
        <v>229739.38200000001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71580.163</v>
      </c>
      <c r="E44" s="1306">
        <v>6</v>
      </c>
      <c r="F44" s="1306">
        <v>53983.94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11548.779</v>
      </c>
    </row>
    <row r="48" spans="1:6">
      <c r="A48" s="1305" t="s">
        <v>31</v>
      </c>
      <c r="B48" s="1305" t="s">
        <v>28</v>
      </c>
      <c r="C48" s="1306">
        <v>4</v>
      </c>
      <c r="D48" s="1306">
        <v>118120.29700000001</v>
      </c>
      <c r="E48" s="1306">
        <v>1</v>
      </c>
      <c r="F48" s="1306">
        <v>9422.6</v>
      </c>
    </row>
    <row r="49" spans="1:6">
      <c r="A49" s="1305" t="s">
        <v>31</v>
      </c>
      <c r="B49" s="1305" t="s">
        <v>39</v>
      </c>
      <c r="C49" s="1306">
        <v>0</v>
      </c>
      <c r="D49" s="1306">
        <v>0</v>
      </c>
      <c r="E49" s="1306">
        <v>0</v>
      </c>
      <c r="F49" s="1306">
        <v>0</v>
      </c>
    </row>
    <row r="50" spans="1:6">
      <c r="A50" s="1305" t="s">
        <v>31</v>
      </c>
      <c r="B50" s="1305" t="s">
        <v>40</v>
      </c>
      <c r="C50" s="1306">
        <v>0</v>
      </c>
      <c r="D50" s="1306">
        <v>0</v>
      </c>
      <c r="E50" s="1306">
        <v>3</v>
      </c>
      <c r="F50" s="1306">
        <v>156931.37899999999</v>
      </c>
    </row>
    <row r="51" spans="1:6">
      <c r="A51" s="1305" t="s">
        <v>41</v>
      </c>
      <c r="B51" s="1305" t="s">
        <v>42</v>
      </c>
      <c r="C51" s="1306">
        <v>18</v>
      </c>
      <c r="D51" s="1306">
        <v>2495694.4169999999</v>
      </c>
      <c r="E51" s="1306">
        <v>99</v>
      </c>
      <c r="F51" s="1306">
        <v>2003831.1980000001</v>
      </c>
    </row>
    <row r="52" spans="1:6">
      <c r="A52" s="1305" t="s">
        <v>41</v>
      </c>
      <c r="B52" s="1305" t="s">
        <v>28</v>
      </c>
      <c r="C52" s="1306">
        <v>0</v>
      </c>
      <c r="D52" s="1306">
        <v>0</v>
      </c>
      <c r="E52" s="1306">
        <v>0</v>
      </c>
      <c r="F52" s="1306">
        <v>0</v>
      </c>
    </row>
    <row r="53" spans="1:6">
      <c r="A53" s="1305" t="s">
        <v>43</v>
      </c>
      <c r="B53" s="1305" t="s">
        <v>44</v>
      </c>
      <c r="C53" s="1306">
        <v>18</v>
      </c>
      <c r="D53" s="1306">
        <v>466352.467</v>
      </c>
      <c r="E53" s="1306">
        <v>67</v>
      </c>
      <c r="F53" s="1306">
        <v>320200.49800000002</v>
      </c>
    </row>
    <row r="54" spans="1:6">
      <c r="A54" s="1305" t="s">
        <v>45</v>
      </c>
      <c r="B54" s="1305" t="s">
        <v>46</v>
      </c>
      <c r="C54" s="1306">
        <v>0</v>
      </c>
      <c r="D54" s="1306">
        <v>0</v>
      </c>
      <c r="E54" s="1306">
        <v>2</v>
      </c>
      <c r="F54" s="1306">
        <v>383692.77399999998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v>
      </c>
      <c r="D57" s="1306">
        <v>136064.59400000001</v>
      </c>
      <c r="E57" s="1306">
        <v>28</v>
      </c>
      <c r="F57" s="1306">
        <v>1198239.9620000001</v>
      </c>
    </row>
    <row r="58" spans="1:6">
      <c r="A58" s="1305" t="s">
        <v>48</v>
      </c>
      <c r="B58" s="1305" t="s">
        <v>50</v>
      </c>
      <c r="C58" s="1306">
        <v>7</v>
      </c>
      <c r="D58" s="1306">
        <v>130498.162</v>
      </c>
      <c r="E58" s="1306">
        <v>20</v>
      </c>
      <c r="F58" s="1306">
        <v>195974.36199999999</v>
      </c>
    </row>
    <row r="59" spans="1:6">
      <c r="A59" s="1305" t="s">
        <v>48</v>
      </c>
      <c r="B59" s="1305" t="s">
        <v>51</v>
      </c>
      <c r="C59" s="1306">
        <v>18</v>
      </c>
      <c r="D59" s="1306">
        <v>449549.29</v>
      </c>
      <c r="E59" s="1306">
        <v>65</v>
      </c>
      <c r="F59" s="1306">
        <v>1700758.18</v>
      </c>
    </row>
    <row r="60" spans="1:6">
      <c r="A60" s="1305" t="s">
        <v>48</v>
      </c>
      <c r="B60" s="1305" t="s">
        <v>52</v>
      </c>
      <c r="C60" s="1306">
        <v>17</v>
      </c>
      <c r="D60" s="1306">
        <v>844607.674</v>
      </c>
      <c r="E60" s="1306">
        <v>53</v>
      </c>
      <c r="F60" s="1306">
        <v>806957.45200000005</v>
      </c>
    </row>
    <row r="61" spans="1:6">
      <c r="A61" s="1305" t="s">
        <v>48</v>
      </c>
      <c r="B61" s="1305" t="s">
        <v>53</v>
      </c>
      <c r="C61" s="1306">
        <v>54</v>
      </c>
      <c r="D61" s="1306">
        <v>2288129.4569999999</v>
      </c>
      <c r="E61" s="1306">
        <v>133</v>
      </c>
      <c r="F61" s="1306">
        <v>1161631.1869999999</v>
      </c>
    </row>
    <row r="62" spans="1:6">
      <c r="A62" s="1305" t="s">
        <v>48</v>
      </c>
      <c r="B62" s="1305" t="s">
        <v>54</v>
      </c>
      <c r="C62" s="1306">
        <v>3</v>
      </c>
      <c r="D62" s="1306">
        <v>205761.12299999999</v>
      </c>
      <c r="E62" s="1306">
        <v>6</v>
      </c>
      <c r="F62" s="1306">
        <v>65892.994000000006</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6</v>
      </c>
      <c r="F66" s="1306">
        <v>118115.674</v>
      </c>
    </row>
    <row r="67" spans="1:6">
      <c r="A67" s="1305" t="s">
        <v>55</v>
      </c>
      <c r="B67" s="1305" t="s">
        <v>58</v>
      </c>
      <c r="C67" s="1306">
        <v>0</v>
      </c>
      <c r="D67" s="1306">
        <v>0</v>
      </c>
      <c r="E67" s="1306">
        <v>0</v>
      </c>
      <c r="F67" s="1306">
        <v>0</v>
      </c>
    </row>
    <row r="68" spans="1:6">
      <c r="A68" s="1300" t="s">
        <v>55</v>
      </c>
      <c r="B68" s="1300" t="s">
        <v>59</v>
      </c>
      <c r="C68" s="1308">
        <v>3</v>
      </c>
      <c r="D68" s="1308">
        <v>46800.964</v>
      </c>
      <c r="E68" s="1308">
        <v>12</v>
      </c>
      <c r="F68" s="1308">
        <v>53565.059000000001</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46144987</v>
      </c>
      <c r="E73" s="445"/>
      <c r="F73" s="326"/>
    </row>
    <row r="74" spans="1:6">
      <c r="A74" s="1305" t="s">
        <v>63</v>
      </c>
      <c r="B74" s="1305" t="s">
        <v>633</v>
      </c>
      <c r="C74" s="1318" t="s">
        <v>635</v>
      </c>
      <c r="D74" s="1306">
        <v>3421922.306997275</v>
      </c>
      <c r="E74" s="445"/>
      <c r="F74" s="326"/>
    </row>
    <row r="75" spans="1:6">
      <c r="A75" s="1305" t="s">
        <v>64</v>
      </c>
      <c r="B75" s="1305" t="s">
        <v>632</v>
      </c>
      <c r="C75" s="1318" t="s">
        <v>636</v>
      </c>
      <c r="D75" s="1306">
        <v>8691228</v>
      </c>
      <c r="E75" s="445"/>
      <c r="F75" s="326"/>
    </row>
    <row r="76" spans="1:6">
      <c r="A76" s="1305" t="s">
        <v>64</v>
      </c>
      <c r="B76" s="1305" t="s">
        <v>633</v>
      </c>
      <c r="C76" s="1318" t="s">
        <v>637</v>
      </c>
      <c r="D76" s="1306">
        <v>264947.30699727498</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105163.38600545</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2382.4137046779715</v>
      </c>
      <c r="C91" s="326"/>
      <c r="D91" s="326"/>
      <c r="E91" s="326"/>
      <c r="F91" s="326"/>
    </row>
    <row r="92" spans="1:6">
      <c r="A92" s="1300" t="s">
        <v>68</v>
      </c>
      <c r="B92" s="1301">
        <v>283.04885739134545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176</v>
      </c>
      <c r="C97" s="326"/>
      <c r="D97" s="326"/>
      <c r="E97" s="326"/>
      <c r="F97" s="326"/>
    </row>
    <row r="98" spans="1:6">
      <c r="A98" s="1305" t="s">
        <v>71</v>
      </c>
      <c r="B98" s="1306">
        <v>2</v>
      </c>
      <c r="C98" s="326"/>
      <c r="D98" s="326"/>
      <c r="E98" s="326"/>
      <c r="F98" s="326"/>
    </row>
    <row r="99" spans="1:6">
      <c r="A99" s="1305" t="s">
        <v>72</v>
      </c>
      <c r="B99" s="1306">
        <v>23</v>
      </c>
      <c r="C99" s="326"/>
      <c r="D99" s="326"/>
      <c r="E99" s="326"/>
      <c r="F99" s="326"/>
    </row>
    <row r="100" spans="1:6">
      <c r="A100" s="1305" t="s">
        <v>73</v>
      </c>
      <c r="B100" s="1306">
        <v>74</v>
      </c>
      <c r="C100" s="326"/>
      <c r="D100" s="326"/>
      <c r="E100" s="326"/>
      <c r="F100" s="326"/>
    </row>
    <row r="101" spans="1:6">
      <c r="A101" s="1305" t="s">
        <v>74</v>
      </c>
      <c r="B101" s="1306">
        <v>31</v>
      </c>
      <c r="C101" s="326"/>
      <c r="D101" s="326"/>
      <c r="E101" s="326"/>
      <c r="F101" s="326"/>
    </row>
    <row r="102" spans="1:6">
      <c r="A102" s="1305" t="s">
        <v>75</v>
      </c>
      <c r="B102" s="1306">
        <v>20</v>
      </c>
      <c r="C102" s="326"/>
      <c r="D102" s="326"/>
      <c r="E102" s="326"/>
      <c r="F102" s="326"/>
    </row>
    <row r="103" spans="1:6">
      <c r="A103" s="1305" t="s">
        <v>76</v>
      </c>
      <c r="B103" s="1306">
        <v>117</v>
      </c>
      <c r="C103" s="326"/>
      <c r="D103" s="326"/>
      <c r="E103" s="326"/>
      <c r="F103" s="326"/>
    </row>
    <row r="104" spans="1:6">
      <c r="A104" s="1305" t="s">
        <v>77</v>
      </c>
      <c r="B104" s="1306">
        <v>2117</v>
      </c>
      <c r="C104" s="326"/>
      <c r="D104" s="326"/>
      <c r="E104" s="326"/>
      <c r="F104" s="326"/>
    </row>
    <row r="105" spans="1:6">
      <c r="A105" s="1300" t="s">
        <v>78</v>
      </c>
      <c r="B105" s="1308">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15</v>
      </c>
      <c r="C123" s="1306">
        <v>15</v>
      </c>
      <c r="D123" s="326"/>
      <c r="E123" s="326"/>
      <c r="F123" s="326"/>
    </row>
    <row r="124" spans="1:6">
      <c r="A124" s="1305" t="s">
        <v>88</v>
      </c>
      <c r="B124" s="1306">
        <v>0</v>
      </c>
      <c r="C124" s="1306">
        <v>0</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54</v>
      </c>
      <c r="C129" s="326"/>
      <c r="D129" s="326"/>
      <c r="E129" s="326"/>
      <c r="F129" s="326"/>
    </row>
    <row r="130" spans="1:6">
      <c r="A130" s="1305" t="s">
        <v>284</v>
      </c>
      <c r="B130" s="1306">
        <v>1</v>
      </c>
      <c r="C130" s="326"/>
      <c r="D130" s="326"/>
      <c r="E130" s="326"/>
      <c r="F130" s="326"/>
    </row>
    <row r="131" spans="1:6">
      <c r="A131" s="1305" t="s">
        <v>285</v>
      </c>
      <c r="B131" s="1306">
        <v>0</v>
      </c>
      <c r="C131" s="326"/>
      <c r="D131" s="326"/>
      <c r="E131" s="326"/>
      <c r="F131" s="326"/>
    </row>
    <row r="132" spans="1:6">
      <c r="A132" s="1300" t="s">
        <v>286</v>
      </c>
      <c r="B132" s="1301">
        <v>11</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21131.227889197384</v>
      </c>
      <c r="C3" s="43" t="s">
        <v>163</v>
      </c>
      <c r="D3" s="43"/>
      <c r="E3" s="154"/>
      <c r="F3" s="43"/>
      <c r="G3" s="43"/>
      <c r="H3" s="43"/>
      <c r="I3" s="43"/>
      <c r="J3" s="43"/>
      <c r="K3" s="96"/>
    </row>
    <row r="4" spans="1:11">
      <c r="A4" s="352" t="s">
        <v>164</v>
      </c>
      <c r="B4" s="49">
        <f>IF(ISERROR('SEAP template'!B78+'SEAP template'!C78),0,'SEAP template'!B78+'SEAP template'!C78)</f>
        <v>2665.4625620693168</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0.19312337923256886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383.69277399999999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383.69277399999999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0.19312337923256886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74.100045101998333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10364.857469</v>
      </c>
      <c r="C5" s="17">
        <f>IF(ISERROR('Eigen informatie GS &amp; warmtenet'!B59),0,'Eigen informatie GS &amp; warmtenet'!B59)</f>
        <v>0</v>
      </c>
      <c r="D5" s="30">
        <f>(SUM(HH_hh_gas_kWh,HH_rest_gas_kWh)/1000)*0.903</f>
        <v>16540.580630217002</v>
      </c>
      <c r="E5" s="17">
        <f>B32*B41</f>
        <v>1163.8531997855719</v>
      </c>
      <c r="F5" s="17">
        <f>B36*B45</f>
        <v>26435.622622350813</v>
      </c>
      <c r="G5" s="18"/>
      <c r="H5" s="17"/>
      <c r="I5" s="17"/>
      <c r="J5" s="17">
        <f>B35*B44+C35*C44</f>
        <v>132.25295977799234</v>
      </c>
      <c r="K5" s="17"/>
      <c r="L5" s="17"/>
      <c r="M5" s="17"/>
      <c r="N5" s="17">
        <f>B34*B43+C34*C43</f>
        <v>4420.1657204793664</v>
      </c>
      <c r="O5" s="17">
        <f>B52*B53*B54</f>
        <v>136.89311713770519</v>
      </c>
      <c r="P5" s="17">
        <f>B60*B61*B62/1000-B60*B61*B62/1000/B63</f>
        <v>273.88294199981061</v>
      </c>
    </row>
    <row r="6" spans="1:16">
      <c r="A6" s="16" t="s">
        <v>598</v>
      </c>
      <c r="B6" s="777">
        <f>kWh_PV_kleiner_dan_10kW</f>
        <v>2382.4137046779715</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12747.271173677971</v>
      </c>
      <c r="C8" s="21">
        <f>C5</f>
        <v>0</v>
      </c>
      <c r="D8" s="21">
        <f>D5</f>
        <v>16540.580630217002</v>
      </c>
      <c r="E8" s="21">
        <f>E5</f>
        <v>1163.8531997855719</v>
      </c>
      <c r="F8" s="21">
        <f>F5</f>
        <v>26435.622622350813</v>
      </c>
      <c r="G8" s="21"/>
      <c r="H8" s="21"/>
      <c r="I8" s="21"/>
      <c r="J8" s="21">
        <f>J5</f>
        <v>132.25295977799234</v>
      </c>
      <c r="K8" s="21"/>
      <c r="L8" s="21">
        <f>L5</f>
        <v>0</v>
      </c>
      <c r="M8" s="21">
        <f>M5</f>
        <v>0</v>
      </c>
      <c r="N8" s="21">
        <f>N5</f>
        <v>4420.1657204793664</v>
      </c>
      <c r="O8" s="21">
        <f>O5</f>
        <v>136.89311713770519</v>
      </c>
      <c r="P8" s="21">
        <f>P5</f>
        <v>273.88294199981061</v>
      </c>
    </row>
    <row r="9" spans="1:16">
      <c r="B9" s="19"/>
      <c r="C9" s="19"/>
      <c r="D9" s="254"/>
      <c r="E9" s="19"/>
      <c r="F9" s="19"/>
      <c r="G9" s="19"/>
      <c r="H9" s="19"/>
      <c r="I9" s="19"/>
      <c r="J9" s="19"/>
      <c r="K9" s="19"/>
      <c r="L9" s="19"/>
      <c r="M9" s="19"/>
      <c r="N9" s="19"/>
      <c r="O9" s="19"/>
      <c r="P9" s="19"/>
    </row>
    <row r="10" spans="1:16">
      <c r="A10" s="24" t="s">
        <v>207</v>
      </c>
      <c r="B10" s="25">
        <f ca="1">'EF ele_warmte'!B12</f>
        <v>0.19312337923256886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2461.7960850546042</v>
      </c>
      <c r="C12" s="23">
        <f ca="1">C10*C8</f>
        <v>0</v>
      </c>
      <c r="D12" s="23">
        <f>D8*D10</f>
        <v>3341.1972873038349</v>
      </c>
      <c r="E12" s="23">
        <f>E10*E8</f>
        <v>264.1946763513248</v>
      </c>
      <c r="F12" s="23">
        <f>F10*F8</f>
        <v>7058.3112401676672</v>
      </c>
      <c r="G12" s="23"/>
      <c r="H12" s="23"/>
      <c r="I12" s="23"/>
      <c r="J12" s="23">
        <f>J10*J8</f>
        <v>46.817547761409287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3004</v>
      </c>
      <c r="C26" s="36"/>
      <c r="D26" s="225"/>
    </row>
    <row r="27" spans="1:5" s="15" customFormat="1">
      <c r="A27" s="227" t="s">
        <v>811</v>
      </c>
      <c r="B27" s="37">
        <f>SUM(HH_hh_gas_aantal,HH_rest_gas_aantal)</f>
        <v>1162</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1103.9000000000001</v>
      </c>
      <c r="C31" s="34" t="s">
        <v>104</v>
      </c>
      <c r="D31" s="171"/>
    </row>
    <row r="32" spans="1:5">
      <c r="A32" s="168" t="s">
        <v>72</v>
      </c>
      <c r="B32" s="33">
        <f>IF((B21*($B$26-($B$27-0.05*$B$27)-$B$60))&lt;0,0,B21*($B$26-($B$27-0.05*$B$27)-$B$60))</f>
        <v>28.844945932750271</v>
      </c>
      <c r="C32" s="34" t="s">
        <v>104</v>
      </c>
      <c r="D32" s="171"/>
    </row>
    <row r="33" spans="1:6">
      <c r="A33" s="168" t="s">
        <v>73</v>
      </c>
      <c r="B33" s="33">
        <f>IF((B22*($B$26-($B$27-0.05*$B$27)-$B$60))&lt;0,0,B22*($B$26-($B$27-0.05*$B$27)-$B$60))</f>
        <v>468.38479390541357</v>
      </c>
      <c r="C33" s="34" t="s">
        <v>104</v>
      </c>
      <c r="D33" s="171"/>
    </row>
    <row r="34" spans="1:6">
      <c r="A34" s="168" t="s">
        <v>74</v>
      </c>
      <c r="B34" s="33">
        <f>IF((B24*($B$26-($B$27-0.05*$B$27)-$B$60))&lt;0,0,B24*($B$26-($B$27-0.05*$B$27)-$B$60))</f>
        <v>89.718248569400203</v>
      </c>
      <c r="C34" s="33">
        <f>B26*C24</f>
        <v>615.14079599569425</v>
      </c>
      <c r="D34" s="230"/>
    </row>
    <row r="35" spans="1:6">
      <c r="A35" s="168" t="s">
        <v>76</v>
      </c>
      <c r="B35" s="33">
        <f>IF((B19*($B$26-($B$27-0.05*$B$27)-$B$60))&lt;0,0,B19*($B$26-($B$27-0.05*$B$27)-$B$60))</f>
        <v>12.538829228733157</v>
      </c>
      <c r="C35" s="33">
        <f>B35/2</f>
        <v>6.2694146143665783</v>
      </c>
      <c r="D35" s="230"/>
    </row>
    <row r="36" spans="1:6">
      <c r="A36" s="168" t="s">
        <v>77</v>
      </c>
      <c r="B36" s="33">
        <f>IF((B18*($B$26-($B$27-0.05*$B$27)-$B$60))&lt;0,0,B18*($B$26-($B$27-0.05*$B$27)-$B$60))</f>
        <v>1274.6131823637022</v>
      </c>
      <c r="C36" s="34" t="s">
        <v>104</v>
      </c>
      <c r="D36" s="171"/>
    </row>
    <row r="37" spans="1:6">
      <c r="A37" s="168" t="s">
        <v>78</v>
      </c>
      <c r="B37" s="33">
        <f>B60</f>
        <v>26</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69</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26</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5129.4541370000006</v>
      </c>
      <c r="C5" s="17">
        <f>IF(ISERROR('Eigen informatie GS &amp; warmtenet'!B60),0,'Eigen informatie GS &amp; warmtenet'!B60)</f>
        <v>0</v>
      </c>
      <c r="D5" s="30">
        <f>SUM(D6:D12)</f>
        <v>3661.3131008999999</v>
      </c>
      <c r="E5" s="17">
        <f>SUM(E6:E12)</f>
        <v>23.41697577967124</v>
      </c>
      <c r="F5" s="17">
        <f>SUM(F6:F12)</f>
        <v>1077.020579775382</v>
      </c>
      <c r="G5" s="18"/>
      <c r="H5" s="17"/>
      <c r="I5" s="17"/>
      <c r="J5" s="17">
        <f>SUM(J6:J12)</f>
        <v>1.1833602309861484E-2</v>
      </c>
      <c r="K5" s="17"/>
      <c r="L5" s="17"/>
      <c r="M5" s="17"/>
      <c r="N5" s="17">
        <f>SUM(N6:N12)</f>
        <v>430.74424077238484</v>
      </c>
      <c r="O5" s="17">
        <f>B38*B39*B40</f>
        <v>4.8972607658411542</v>
      </c>
      <c r="P5" s="17">
        <f>B46*B47*B48/1000-B46*B47*B48/1000/B49</f>
        <v>0</v>
      </c>
      <c r="R5" s="32"/>
    </row>
    <row r="6" spans="1:18">
      <c r="A6" s="32" t="s">
        <v>53</v>
      </c>
      <c r="B6" s="37">
        <f>B26</f>
        <v>1161.631187</v>
      </c>
      <c r="C6" s="33"/>
      <c r="D6" s="37">
        <f>IF(ISERROR(TER_kantoor_gas_kWh/1000),0,TER_kantoor_gas_kWh/1000)*0.903</f>
        <v>2066.1808996710001</v>
      </c>
      <c r="E6" s="33">
        <f>$C$26*'E Balans VL '!I12/100/3.6*1000000</f>
        <v>0.27829922087442421</v>
      </c>
      <c r="F6" s="33">
        <f>$C$26*('E Balans VL '!L12+'E Balans VL '!N12)/100/3.6*1000000</f>
        <v>110.1561210909327</v>
      </c>
      <c r="G6" s="34"/>
      <c r="H6" s="33"/>
      <c r="I6" s="33"/>
      <c r="J6" s="33">
        <f>$C$26*('E Balans VL '!D12+'E Balans VL '!E12)/100/3.6*1000000</f>
        <v>0</v>
      </c>
      <c r="K6" s="33"/>
      <c r="L6" s="33"/>
      <c r="M6" s="33"/>
      <c r="N6" s="33">
        <f>$C$26*'E Balans VL '!Y12/100/3.6*1000000</f>
        <v>0.59004855913782239</v>
      </c>
      <c r="O6" s="33"/>
      <c r="P6" s="33"/>
      <c r="R6" s="32"/>
    </row>
    <row r="7" spans="1:18">
      <c r="A7" s="32" t="s">
        <v>52</v>
      </c>
      <c r="B7" s="37">
        <f t="shared" ref="B7:B12" si="0">B27</f>
        <v>806.9574520000001</v>
      </c>
      <c r="C7" s="33"/>
      <c r="D7" s="37">
        <f>IF(ISERROR(TER_horeca_gas_kWh/1000),0,TER_horeca_gas_kWh/1000)*0.903</f>
        <v>762.68072962199994</v>
      </c>
      <c r="E7" s="33">
        <f>$C$27*'E Balans VL '!I9/100/3.6*1000000</f>
        <v>0</v>
      </c>
      <c r="F7" s="33">
        <f>$C$27*('E Balans VL '!L9+'E Balans VL '!N9)/100/3.6*1000000</f>
        <v>66.168614157753382</v>
      </c>
      <c r="G7" s="34"/>
      <c r="H7" s="33"/>
      <c r="I7" s="33"/>
      <c r="J7" s="33">
        <f>$C$27*('E Balans VL '!D9+'E Balans VL '!E9)/100/3.6*1000000</f>
        <v>0</v>
      </c>
      <c r="K7" s="33"/>
      <c r="L7" s="33"/>
      <c r="M7" s="33"/>
      <c r="N7" s="33">
        <f>$C$27*'E Balans VL '!Y9/100/3.6*1000000</f>
        <v>0.24736488021085751</v>
      </c>
      <c r="O7" s="33"/>
      <c r="P7" s="33"/>
      <c r="R7" s="32"/>
    </row>
    <row r="8" spans="1:18">
      <c r="A8" s="6" t="s">
        <v>51</v>
      </c>
      <c r="B8" s="37">
        <f t="shared" si="0"/>
        <v>1700.75818</v>
      </c>
      <c r="C8" s="33"/>
      <c r="D8" s="37">
        <f>IF(ISERROR(TER_handel_gas_kWh/1000),0,TER_handel_gas_kWh/1000)*0.903</f>
        <v>405.94300886999997</v>
      </c>
      <c r="E8" s="33">
        <f>$C$28*'E Balans VL '!I13/100/3.6*1000000</f>
        <v>5.9772354480403846</v>
      </c>
      <c r="F8" s="33">
        <f>$C$28*('E Balans VL '!L13+'E Balans VL '!N13)/100/3.6*1000000</f>
        <v>155.61631919335326</v>
      </c>
      <c r="G8" s="34"/>
      <c r="H8" s="33"/>
      <c r="I8" s="33"/>
      <c r="J8" s="33">
        <f>$C$28*('E Balans VL '!D13+'E Balans VL '!E13)/100/3.6*1000000</f>
        <v>0</v>
      </c>
      <c r="K8" s="33"/>
      <c r="L8" s="33"/>
      <c r="M8" s="33"/>
      <c r="N8" s="33">
        <f>$C$28*'E Balans VL '!Y13/100/3.6*1000000</f>
        <v>0.61594139241610502</v>
      </c>
      <c r="O8" s="33"/>
      <c r="P8" s="33"/>
      <c r="R8" s="32"/>
    </row>
    <row r="9" spans="1:18">
      <c r="A9" s="32" t="s">
        <v>50</v>
      </c>
      <c r="B9" s="37">
        <f t="shared" si="0"/>
        <v>195.97436199999999</v>
      </c>
      <c r="C9" s="33"/>
      <c r="D9" s="37">
        <f>IF(ISERROR(TER_gezond_gas_kWh/1000),0,TER_gezond_gas_kWh/1000)*0.903</f>
        <v>117.83984028600001</v>
      </c>
      <c r="E9" s="33">
        <f>$C$29*'E Balans VL '!I10/100/3.6*1000000</f>
        <v>0</v>
      </c>
      <c r="F9" s="33">
        <f>$C$29*('E Balans VL '!L10+'E Balans VL '!N10)/100/3.6*1000000</f>
        <v>24.022858114126432</v>
      </c>
      <c r="G9" s="34"/>
      <c r="H9" s="33"/>
      <c r="I9" s="33"/>
      <c r="J9" s="33">
        <f>$C$29*('E Balans VL '!D10+'E Balans VL '!E10)/100/3.6*1000000</f>
        <v>0</v>
      </c>
      <c r="K9" s="33"/>
      <c r="L9" s="33"/>
      <c r="M9" s="33"/>
      <c r="N9" s="33">
        <f>$C$29*'E Balans VL '!Y10/100/3.6*1000000</f>
        <v>1.4451743540682398</v>
      </c>
      <c r="O9" s="33"/>
      <c r="P9" s="33"/>
      <c r="R9" s="32"/>
    </row>
    <row r="10" spans="1:18">
      <c r="A10" s="32" t="s">
        <v>49</v>
      </c>
      <c r="B10" s="37">
        <f t="shared" si="0"/>
        <v>1198.2399620000001</v>
      </c>
      <c r="C10" s="33"/>
      <c r="D10" s="37">
        <f>IF(ISERROR(TER_ander_gas_kWh/1000),0,TER_ander_gas_kWh/1000)*0.903</f>
        <v>122.86632838200001</v>
      </c>
      <c r="E10" s="33">
        <f>$C$30*'E Balans VL '!I14/100/3.6*1000000</f>
        <v>17.161441110756432</v>
      </c>
      <c r="F10" s="33">
        <f>$C$30*('E Balans VL '!L14+'E Balans VL '!N14)/100/3.6*1000000</f>
        <v>713.35299153964388</v>
      </c>
      <c r="G10" s="34"/>
      <c r="H10" s="33"/>
      <c r="I10" s="33"/>
      <c r="J10" s="33">
        <f>$C$30*('E Balans VL '!D14+'E Balans VL '!E14)/100/3.6*1000000</f>
        <v>1.1833602309861484E-2</v>
      </c>
      <c r="K10" s="33"/>
      <c r="L10" s="33"/>
      <c r="M10" s="33"/>
      <c r="N10" s="33">
        <f>$C$30*'E Balans VL '!Y14/100/3.6*1000000</f>
        <v>427.66016448202055</v>
      </c>
      <c r="O10" s="33"/>
      <c r="P10" s="33"/>
      <c r="R10" s="32"/>
    </row>
    <row r="11" spans="1:18">
      <c r="A11" s="32" t="s">
        <v>54</v>
      </c>
      <c r="B11" s="37">
        <f t="shared" si="0"/>
        <v>65.892994000000002</v>
      </c>
      <c r="C11" s="33"/>
      <c r="D11" s="37">
        <f>IF(ISERROR(TER_onderwijs_gas_kWh/1000),0,TER_onderwijs_gas_kWh/1000)*0.903</f>
        <v>185.802294069</v>
      </c>
      <c r="E11" s="33">
        <f>$C$31*'E Balans VL '!I11/100/3.6*1000000</f>
        <v>0</v>
      </c>
      <c r="F11" s="33">
        <f>$C$31*('E Balans VL '!L11+'E Balans VL '!N11)/100/3.6*1000000</f>
        <v>7.7036756795724131</v>
      </c>
      <c r="G11" s="34"/>
      <c r="H11" s="33"/>
      <c r="I11" s="33"/>
      <c r="J11" s="33">
        <f>$C$31*('E Balans VL '!D11+'E Balans VL '!E11)/100/3.6*1000000</f>
        <v>0</v>
      </c>
      <c r="K11" s="33"/>
      <c r="L11" s="33"/>
      <c r="M11" s="33"/>
      <c r="N11" s="33">
        <f>$C$31*'E Balans VL '!Y11/100/3.6*1000000</f>
        <v>0.18554710453128809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5129.4541370000006</v>
      </c>
      <c r="C16" s="21">
        <f t="shared" ca="1" si="1"/>
        <v>0</v>
      </c>
      <c r="D16" s="21">
        <f t="shared" ca="1" si="1"/>
        <v>3661.3131008999999</v>
      </c>
      <c r="E16" s="21">
        <f t="shared" si="1"/>
        <v>23.41697577967124</v>
      </c>
      <c r="F16" s="21">
        <f t="shared" ca="1" si="1"/>
        <v>1077.020579775382</v>
      </c>
      <c r="G16" s="21">
        <f t="shared" si="1"/>
        <v>0</v>
      </c>
      <c r="H16" s="21">
        <f t="shared" si="1"/>
        <v>0</v>
      </c>
      <c r="I16" s="21">
        <f t="shared" si="1"/>
        <v>0</v>
      </c>
      <c r="J16" s="21">
        <f t="shared" si="1"/>
        <v>1.1833602309861484E-2</v>
      </c>
      <c r="K16" s="21">
        <f t="shared" si="1"/>
        <v>0</v>
      </c>
      <c r="L16" s="21">
        <f t="shared" ca="1" si="1"/>
        <v>0</v>
      </c>
      <c r="M16" s="21">
        <f t="shared" si="1"/>
        <v>0</v>
      </c>
      <c r="N16" s="21">
        <f t="shared" ca="1" si="1"/>
        <v>430.74424077238484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0.19312337923256886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990.61751655592036</v>
      </c>
      <c r="C20" s="23">
        <f t="shared" ref="C20:P20" ca="1" si="2">C16*C18</f>
        <v>0</v>
      </c>
      <c r="D20" s="23">
        <f t="shared" ca="1" si="2"/>
        <v>739.58524638180006</v>
      </c>
      <c r="E20" s="23">
        <f t="shared" si="2"/>
        <v>5.3156535019853717</v>
      </c>
      <c r="F20" s="23">
        <f t="shared" ca="1" si="2"/>
        <v>287.56449480002698</v>
      </c>
      <c r="G20" s="23">
        <f t="shared" si="2"/>
        <v>0</v>
      </c>
      <c r="H20" s="23">
        <f t="shared" si="2"/>
        <v>0</v>
      </c>
      <c r="I20" s="23">
        <f t="shared" si="2"/>
        <v>0</v>
      </c>
      <c r="J20" s="23">
        <f t="shared" si="2"/>
        <v>4.1890952176909654E-3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1161.631187</v>
      </c>
      <c r="C26" s="39">
        <f>IF(ISERROR(B26*3.6/1000000/'E Balans VL '!Z12*100),0,B26*3.6/1000000/'E Balans VL '!Z12*100)</f>
        <v>3.2761075628529458E-2</v>
      </c>
      <c r="D26" s="233" t="s">
        <v>685</v>
      </c>
      <c r="F26" s="6"/>
    </row>
    <row r="27" spans="1:18">
      <c r="A27" s="228" t="s">
        <v>52</v>
      </c>
      <c r="B27" s="33">
        <f>IF(ISERROR(TER_horeca_ele_kWh/1000),0,TER_horeca_ele_kWh/1000)</f>
        <v>806.9574520000001</v>
      </c>
      <c r="C27" s="39">
        <f>IF(ISERROR(B27*3.6/1000000/'E Balans VL '!Z9*100),0,B27*3.6/1000000/'E Balans VL '!Z9*100)</f>
        <v>5.9825981853963602E-2</v>
      </c>
      <c r="D27" s="233" t="s">
        <v>685</v>
      </c>
      <c r="F27" s="6"/>
    </row>
    <row r="28" spans="1:18">
      <c r="A28" s="168" t="s">
        <v>51</v>
      </c>
      <c r="B28" s="33">
        <f>IF(ISERROR(TER_handel_ele_kWh/1000),0,TER_handel_ele_kWh/1000)</f>
        <v>1700.75818</v>
      </c>
      <c r="C28" s="39">
        <f>IF(ISERROR(B28*3.6/1000000/'E Balans VL '!Z13*100),0,B28*3.6/1000000/'E Balans VL '!Z13*100)</f>
        <v>5.0950671369252146E-2</v>
      </c>
      <c r="D28" s="233" t="s">
        <v>685</v>
      </c>
      <c r="F28" s="6"/>
    </row>
    <row r="29" spans="1:18">
      <c r="A29" s="228" t="s">
        <v>50</v>
      </c>
      <c r="B29" s="33">
        <f>IF(ISERROR(TER_gezond_ele_kWh/1000),0,TER_gezond_ele_kWh/1000)</f>
        <v>195.97436199999999</v>
      </c>
      <c r="C29" s="39">
        <f>IF(ISERROR(B29*3.6/1000000/'E Balans VL '!Z10*100),0,B29*3.6/1000000/'E Balans VL '!Z10*100)</f>
        <v>1.9378021726341163E-2</v>
      </c>
      <c r="D29" s="233" t="s">
        <v>685</v>
      </c>
      <c r="F29" s="6"/>
    </row>
    <row r="30" spans="1:18">
      <c r="A30" s="228" t="s">
        <v>49</v>
      </c>
      <c r="B30" s="33">
        <f>IF(ISERROR(TER_ander_ele_kWh/1000),0,TER_ander_ele_kWh/1000)</f>
        <v>1198.2399620000001</v>
      </c>
      <c r="C30" s="39">
        <f>IF(ISERROR(B30*3.6/1000000/'E Balans VL '!Z14*100),0,B30*3.6/1000000/'E Balans VL '!Z14*100)</f>
        <v>4.8465265432879795E-2</v>
      </c>
      <c r="D30" s="233" t="s">
        <v>685</v>
      </c>
      <c r="F30" s="6"/>
    </row>
    <row r="31" spans="1:18">
      <c r="A31" s="228" t="s">
        <v>54</v>
      </c>
      <c r="B31" s="33">
        <f>IF(ISERROR(TER_onderwijs_ele_kWh/1000),0,TER_onderwijs_ele_kWh/1000)</f>
        <v>65.892994000000002</v>
      </c>
      <c r="C31" s="39">
        <f>IF(ISERROR(B31*3.6/1000000/'E Balans VL '!Z11*100),0,B31*3.6/1000000/'E Balans VL '!Z11*100)</f>
        <v>1.8103687257910075E-2</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0</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461.62608</v>
      </c>
      <c r="C5" s="17">
        <f>IF(ISERROR('Eigen informatie GS &amp; warmtenet'!B61),0,'Eigen informatie GS &amp; warmtenet'!B61)</f>
        <v>0</v>
      </c>
      <c r="D5" s="30">
        <f>SUM(D6:D15)</f>
        <v>387.24542495100002</v>
      </c>
      <c r="E5" s="17">
        <f>SUM(E6:E15)</f>
        <v>1.4839978575592627</v>
      </c>
      <c r="F5" s="17">
        <f>SUM(F6:F15)</f>
        <v>147.64027333829793</v>
      </c>
      <c r="G5" s="18"/>
      <c r="H5" s="17"/>
      <c r="I5" s="17"/>
      <c r="J5" s="17">
        <f>SUM(J6:J15)</f>
        <v>6.7416389213601588E-2</v>
      </c>
      <c r="K5" s="17"/>
      <c r="L5" s="17"/>
      <c r="M5" s="17"/>
      <c r="N5" s="17">
        <f>SUM(N6:N15)</f>
        <v>15.466623945033966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53.983940000000004</v>
      </c>
      <c r="C8" s="33"/>
      <c r="D8" s="37">
        <f>IF( ISERROR(IND_metaal_Gas_kWH/1000),0,IND_metaal_Gas_kWH/1000)*0.903</f>
        <v>64.636887189000007</v>
      </c>
      <c r="E8" s="33">
        <f>C30*'E Balans VL '!I18/100/3.6*1000000</f>
        <v>0.27219644456145581</v>
      </c>
      <c r="F8" s="33">
        <f>C30*'E Balans VL '!L18/100/3.6*1000000+C30*'E Balans VL '!N18/100/3.6*1000000</f>
        <v>3.6882930943376482</v>
      </c>
      <c r="G8" s="34"/>
      <c r="H8" s="33"/>
      <c r="I8" s="33"/>
      <c r="J8" s="40">
        <f>C30*'E Balans VL '!D18/100/3.6*1000000+C30*'E Balans VL '!E18/100/3.6*1000000</f>
        <v>4.7861367699404397E-2</v>
      </c>
      <c r="K8" s="33"/>
      <c r="L8" s="33"/>
      <c r="M8" s="33"/>
      <c r="N8" s="33">
        <f>C30*'E Balans VL '!Y18/100/3.6*1000000</f>
        <v>0.71744688296916526</v>
      </c>
      <c r="O8" s="33"/>
      <c r="P8" s="33"/>
      <c r="R8" s="32"/>
    </row>
    <row r="9" spans="1:18">
      <c r="A9" s="6" t="s">
        <v>32</v>
      </c>
      <c r="B9" s="37">
        <f t="shared" si="0"/>
        <v>229.73938200000001</v>
      </c>
      <c r="C9" s="33"/>
      <c r="D9" s="37">
        <f>IF( ISERROR(IND_andere_gas_kWh/1000),0,IND_andere_gas_kWh/1000)*0.903</f>
        <v>215.94590957100002</v>
      </c>
      <c r="E9" s="33">
        <f>C31*'E Balans VL '!I19/100/3.6*1000000</f>
        <v>0.72419282942895036</v>
      </c>
      <c r="F9" s="33">
        <f>C31*'E Balans VL '!L19/100/3.6*1000000+C31*'E Balans VL '!N19/100/3.6*1000000</f>
        <v>140.63678711803399</v>
      </c>
      <c r="G9" s="34"/>
      <c r="H9" s="33"/>
      <c r="I9" s="33"/>
      <c r="J9" s="40">
        <f>C31*'E Balans VL '!D19/100/3.6*1000000+C31*'E Balans VL '!E19/100/3.6*1000000</f>
        <v>0</v>
      </c>
      <c r="K9" s="33"/>
      <c r="L9" s="33"/>
      <c r="M9" s="33"/>
      <c r="N9" s="33">
        <f>C31*'E Balans VL '!Y19/100/3.6*1000000</f>
        <v>9.6332842321860532</v>
      </c>
      <c r="O9" s="33"/>
      <c r="P9" s="33"/>
      <c r="R9" s="32"/>
    </row>
    <row r="10" spans="1:18">
      <c r="A10" s="6" t="s">
        <v>40</v>
      </c>
      <c r="B10" s="37">
        <f t="shared" si="0"/>
        <v>156.93137899999999</v>
      </c>
      <c r="C10" s="33"/>
      <c r="D10" s="37">
        <f>IF( ISERROR(IND_voed_gas_kWh/1000),0,IND_voed_gas_kWh/1000)*0.903</f>
        <v>0</v>
      </c>
      <c r="E10" s="33">
        <f>C32*'E Balans VL '!I20/100/3.6*1000000</f>
        <v>0.25010454501444312</v>
      </c>
      <c r="F10" s="33">
        <f>C32*'E Balans VL '!L20/100/3.6*1000000+C32*'E Balans VL '!N20/100/3.6*1000000</f>
        <v>2.549753679216471</v>
      </c>
      <c r="G10" s="34"/>
      <c r="H10" s="33"/>
      <c r="I10" s="33"/>
      <c r="J10" s="40">
        <f>C32*'E Balans VL '!D20/100/3.6*1000000+C32*'E Balans VL '!E20/100/3.6*1000000</f>
        <v>0</v>
      </c>
      <c r="K10" s="33"/>
      <c r="L10" s="33"/>
      <c r="M10" s="33"/>
      <c r="N10" s="33">
        <f>C32*'E Balans VL '!Y20/100/3.6*1000000</f>
        <v>4.9566767224928601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11.548779</v>
      </c>
      <c r="C13" s="33"/>
      <c r="D13" s="37">
        <f>IF( ISERROR(IND_papier_gas_kWh/1000),0,IND_papier_gas_kWh/1000)*0.903</f>
        <v>0</v>
      </c>
      <c r="E13" s="33">
        <f>C35*'E Balans VL '!I23/100/3.6*1000000</f>
        <v>0</v>
      </c>
      <c r="F13" s="33">
        <f>C35*'E Balans VL '!L23/100/3.6*1000000+C35*'E Balans VL '!N23/100/3.6*1000000</f>
        <v>5.0034680671488297E-4</v>
      </c>
      <c r="G13" s="34"/>
      <c r="H13" s="33"/>
      <c r="I13" s="33"/>
      <c r="J13" s="40">
        <f>C35*'E Balans VL '!D23/100/3.6*1000000+C35*'E Balans VL '!E23/100/3.6*1000000</f>
        <v>3.1822394060336285E-4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9.422600000000001</v>
      </c>
      <c r="C15" s="33"/>
      <c r="D15" s="37">
        <f>IF( ISERROR(IND_rest_gas_kWh/1000),0,IND_rest_gas_kWh/1000)*0.903</f>
        <v>106.66262819100001</v>
      </c>
      <c r="E15" s="33">
        <f>C37*'E Balans VL '!I15/100/3.6*1000000</f>
        <v>0.23750403855441335</v>
      </c>
      <c r="F15" s="33">
        <f>C37*'E Balans VL '!L15/100/3.6*1000000+C37*'E Balans VL '!N15/100/3.6*1000000</f>
        <v>0.76493909990310116</v>
      </c>
      <c r="G15" s="34"/>
      <c r="H15" s="33"/>
      <c r="I15" s="33"/>
      <c r="J15" s="40">
        <f>C37*'E Balans VL '!D15/100/3.6*1000000+C37*'E Balans VL '!E15/100/3.6*1000000</f>
        <v>1.9236797573593822E-2</v>
      </c>
      <c r="K15" s="33"/>
      <c r="L15" s="33"/>
      <c r="M15" s="33"/>
      <c r="N15" s="33">
        <f>C37*'E Balans VL '!Y15/100/3.6*1000000</f>
        <v>0.1592161073858869</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461.62608</v>
      </c>
      <c r="C18" s="21">
        <f>C5+C16</f>
        <v>0</v>
      </c>
      <c r="D18" s="21">
        <f>MAX((D5+D16),0)</f>
        <v>387.24542495100002</v>
      </c>
      <c r="E18" s="21">
        <f>MAX((E5+E16),0)</f>
        <v>1.4839978575592627</v>
      </c>
      <c r="F18" s="21">
        <f>MAX((F5+F16),0)</f>
        <v>147.64027333829793</v>
      </c>
      <c r="G18" s="21"/>
      <c r="H18" s="21"/>
      <c r="I18" s="21"/>
      <c r="J18" s="21">
        <f>MAX((J5+J16),0)</f>
        <v>6.7416389213601588E-2</v>
      </c>
      <c r="K18" s="21"/>
      <c r="L18" s="21">
        <f>MAX((L5+L16),0)</f>
        <v>0</v>
      </c>
      <c r="M18" s="21"/>
      <c r="N18" s="21">
        <f>MAX((N5+N16),0)</f>
        <v>15.466623945033966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0.19312337923256886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89.15078851148418</v>
      </c>
      <c r="C22" s="23">
        <f ca="1">C18*C20</f>
        <v>0</v>
      </c>
      <c r="D22" s="23">
        <f>D18*D20</f>
        <v>78.223575840102015</v>
      </c>
      <c r="E22" s="23">
        <f>E18*E20</f>
        <v>0.33686751366595263</v>
      </c>
      <c r="F22" s="23">
        <f>F18*F20</f>
        <v>39.419952981325551</v>
      </c>
      <c r="G22" s="23"/>
      <c r="H22" s="23"/>
      <c r="I22" s="23"/>
      <c r="J22" s="23">
        <f>J18*J20</f>
        <v>2.3865401781614962E-2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53.983940000000004</v>
      </c>
      <c r="C30" s="39">
        <f>IF(ISERROR(B30*3.6/1000000/'E Balans VL '!Z18*100),0,B30*3.6/1000000/'E Balans VL '!Z18*100)</f>
        <v>2.6796411153632246E-3</v>
      </c>
      <c r="D30" s="233" t="s">
        <v>685</v>
      </c>
    </row>
    <row r="31" spans="1:18">
      <c r="A31" s="6" t="s">
        <v>32</v>
      </c>
      <c r="B31" s="37">
        <f>IF( ISERROR(IND_ander_ele_kWh/1000),0,IND_ander_ele_kWh/1000)</f>
        <v>229.73938200000001</v>
      </c>
      <c r="C31" s="39">
        <f>IF(ISERROR(B31*3.6/1000000/'E Balans VL '!Z19*100),0,B31*3.6/1000000/'E Balans VL '!Z19*100)</f>
        <v>7.7525268850638044E-3</v>
      </c>
      <c r="D31" s="233" t="s">
        <v>685</v>
      </c>
    </row>
    <row r="32" spans="1:18">
      <c r="A32" s="168" t="s">
        <v>40</v>
      </c>
      <c r="B32" s="37">
        <f>IF( ISERROR(IND_voed_ele_kWh/1000),0,IND_voed_ele_kWh/1000)</f>
        <v>156.93137899999999</v>
      </c>
      <c r="C32" s="39">
        <f>IF(ISERROR(B32*3.6/1000000/'E Balans VL '!Z20*100),0,B32*3.6/1000000/'E Balans VL '!Z20*100)</f>
        <v>3.6854256365570479E-3</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11.548779</v>
      </c>
      <c r="C35" s="39">
        <f>IF(ISERROR(B35*3.6/1000000/'E Balans VL '!Z22*100),0,B35*3.6/1000000/'E Balans VL '!Z22*100)</f>
        <v>1.6384340370443878E-3</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9.422600000000001</v>
      </c>
      <c r="C37" s="39">
        <f>IF(ISERROR(B37*3.6/1000000/'E Balans VL '!Z15*100),0,B37*3.6/1000000/'E Balans VL '!Z15*100)</f>
        <v>3.5311468665259854E-5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2003.8311980000001</v>
      </c>
      <c r="C5" s="17">
        <f>'Eigen informatie GS &amp; warmtenet'!B62</f>
        <v>0</v>
      </c>
      <c r="D5" s="30">
        <f>IF(ISERROR(SUM(LB_lb_gas_kWh,LB_rest_gas_kWh)/1000),0,SUM(LB_lb_gas_kWh,LB_rest_gas_kWh)/1000)*0.903</f>
        <v>2253.6120585509998</v>
      </c>
      <c r="E5" s="17">
        <f>B17*'E Balans VL '!I25/3.6*1000000/100</f>
        <v>74.72899465581753</v>
      </c>
      <c r="F5" s="17">
        <f>B17*('E Balans VL '!L25/3.6*1000000+'E Balans VL '!N25/3.6*1000000)/100</f>
        <v>6501.202717166153</v>
      </c>
      <c r="G5" s="18"/>
      <c r="H5" s="17"/>
      <c r="I5" s="17"/>
      <c r="J5" s="17">
        <f>('E Balans VL '!D25+'E Balans VL '!E25)/3.6*1000000*landbouw!B17/100</f>
        <v>526.01558220353593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2003.8311980000001</v>
      </c>
      <c r="C8" s="21">
        <f>C5+C6</f>
        <v>0</v>
      </c>
      <c r="D8" s="21">
        <f>MAX((D5+D6),0)</f>
        <v>2253.6120585509998</v>
      </c>
      <c r="E8" s="21">
        <f>MAX((E5+E6),0)</f>
        <v>74.72899465581753</v>
      </c>
      <c r="F8" s="21">
        <f>MAX((F5+F6),0)</f>
        <v>6501.202717166153</v>
      </c>
      <c r="G8" s="21"/>
      <c r="H8" s="21"/>
      <c r="I8" s="21"/>
      <c r="J8" s="21">
        <f>MAX((J5+J6),0)</f>
        <v>526.01558220353593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0.19312337923256886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386.98665236940678</v>
      </c>
      <c r="C12" s="23">
        <f ca="1">C8*C10</f>
        <v>0</v>
      </c>
      <c r="D12" s="23">
        <f>D8*D10</f>
        <v>455.22963582730199</v>
      </c>
      <c r="E12" s="23">
        <f>E8*E10</f>
        <v>16.963481786870581</v>
      </c>
      <c r="F12" s="23">
        <f>F8*F10</f>
        <v>1735.8211254833629</v>
      </c>
      <c r="G12" s="23"/>
      <c r="H12" s="23"/>
      <c r="I12" s="23"/>
      <c r="J12" s="23">
        <f>J8*J10</f>
        <v>186.2095161000517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0.2752209860110103</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250.27790003688924</v>
      </c>
      <c r="C26" s="243">
        <f>B26*'GWP N2O_CH4'!B5</f>
        <v>5255.835900774674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65.105211940799009</v>
      </c>
      <c r="C27" s="243">
        <f>B27*'GWP N2O_CH4'!B5</f>
        <v>1367.2094507567792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4.4788515553665116</v>
      </c>
      <c r="C28" s="243">
        <f>B28*'GWP N2O_CH4'!B4</f>
        <v>1388.4439821636186</v>
      </c>
      <c r="D28" s="50"/>
    </row>
    <row r="29" spans="1:4">
      <c r="A29" s="41" t="s">
        <v>266</v>
      </c>
      <c r="B29" s="243">
        <f>B34*'ha_N2O bodem landbouw'!B4</f>
        <v>25.936118631678848</v>
      </c>
      <c r="C29" s="243">
        <f>B29*'GWP N2O_CH4'!B4</f>
        <v>8040.1967758204428</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5.9109155048352197E-3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2.8863608033869966E-4</v>
      </c>
      <c r="C5" s="432" t="s">
        <v>204</v>
      </c>
      <c r="D5" s="417">
        <f>SUM(D6:D11)</f>
        <v>5.2843053740762413E-4</v>
      </c>
      <c r="E5" s="417">
        <f>SUM(E6:E11)</f>
        <v>2.9083322462060944E-4</v>
      </c>
      <c r="F5" s="430" t="s">
        <v>204</v>
      </c>
      <c r="G5" s="417">
        <f>SUM(G6:G11)</f>
        <v>0.12181511540784924</v>
      </c>
      <c r="H5" s="417">
        <f>SUM(H6:H11)</f>
        <v>3.2100025610837427E-2</v>
      </c>
      <c r="I5" s="432" t="s">
        <v>204</v>
      </c>
      <c r="J5" s="432" t="s">
        <v>204</v>
      </c>
      <c r="K5" s="432" t="s">
        <v>204</v>
      </c>
      <c r="L5" s="432" t="s">
        <v>204</v>
      </c>
      <c r="M5" s="417">
        <f>SUM(M6:M11)</f>
        <v>9.089845232025863E-3</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2.3032104551361408E-4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4.0022555989588398E-4</v>
      </c>
      <c r="E6" s="883">
        <f>vkm_GW_PW*SUMIFS(TableVerdeelsleutelVkm[LPG],TableVerdeelsleutelVkm[Voertuigtype],"Lichte voertuigen")*SUMIFS(TableECFTransport[EnergieConsumptieFactor (PJ per km)],TableECFTransport[Index],CONCATENATE($A6,"_LPG_LPG"))</f>
        <v>2.2255151924894295E-4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6.687884754147648E-2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2.4384251391615024E-2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5.460496786938448E-3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7.9211337918639992E-7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3.2783590741273766E-2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3.335129342253163E-7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1.8457667012989256E-3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5.7461590916499723E-5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1.2820497751174015E-4</v>
      </c>
      <c r="E8" s="420">
        <f>vkm_NGW_PW*SUMIFS(TableVerdeelsleutelVkm[LPG],TableVerdeelsleutelVkm[Voertuigtype],"Lichte voertuigen")*SUMIFS(TableECFTransport[EnergieConsumptieFactor (PJ per km)],TableECFTransport[Index],CONCATENATE($A8,"_LPG_LPG"))</f>
        <v>6.8281705371666477E-5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1.8883915968473029E-2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7.7154095376022877E-3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1.5995455961552493E-3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6.1330529399455213E-8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3.2687611566259767E-3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3.1168685886112766E-8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1.840361476332413E-4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80.176688982972138</v>
      </c>
      <c r="C14" s="21"/>
      <c r="D14" s="21">
        <f t="shared" ref="D14:M14" si="0">((D5)*10^9/3600)+D12</f>
        <v>146.78626039100672</v>
      </c>
      <c r="E14" s="21">
        <f t="shared" si="0"/>
        <v>80.787006839058179</v>
      </c>
      <c r="F14" s="21"/>
      <c r="G14" s="21">
        <f t="shared" si="0"/>
        <v>33837.532057735902</v>
      </c>
      <c r="H14" s="21">
        <f t="shared" si="0"/>
        <v>8916.6737807881746</v>
      </c>
      <c r="I14" s="21"/>
      <c r="J14" s="21"/>
      <c r="K14" s="21"/>
      <c r="L14" s="21"/>
      <c r="M14" s="21">
        <f t="shared" si="0"/>
        <v>2524.9570088960731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0.19312337923256886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15.483993112070253</v>
      </c>
      <c r="C18" s="23"/>
      <c r="D18" s="23">
        <f t="shared" ref="D18:M18" si="1">D14*D16</f>
        <v>29.650824598983359</v>
      </c>
      <c r="E18" s="23">
        <f t="shared" si="1"/>
        <v>18.338650552466206</v>
      </c>
      <c r="F18" s="23"/>
      <c r="G18" s="23">
        <f t="shared" si="1"/>
        <v>9034.6210594154854</v>
      </c>
      <c r="H18" s="23">
        <f t="shared" si="1"/>
        <v>2220.2517714162555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1.7911222331179592E-5</v>
      </c>
      <c r="C50" s="315">
        <f t="shared" ref="C50:P50" si="2">SUM(C51:C52)</f>
        <v>0</v>
      </c>
      <c r="D50" s="315">
        <f t="shared" si="2"/>
        <v>0</v>
      </c>
      <c r="E50" s="315">
        <f t="shared" si="2"/>
        <v>0</v>
      </c>
      <c r="F50" s="315">
        <f t="shared" si="2"/>
        <v>0</v>
      </c>
      <c r="G50" s="315">
        <f t="shared" si="2"/>
        <v>1.2784707603315274E-3</v>
      </c>
      <c r="H50" s="315">
        <f t="shared" si="2"/>
        <v>0</v>
      </c>
      <c r="I50" s="315">
        <f t="shared" si="2"/>
        <v>0</v>
      </c>
      <c r="J50" s="315">
        <f t="shared" si="2"/>
        <v>0</v>
      </c>
      <c r="K50" s="315">
        <f t="shared" si="2"/>
        <v>0</v>
      </c>
      <c r="L50" s="315">
        <f t="shared" si="2"/>
        <v>0</v>
      </c>
      <c r="M50" s="315">
        <f t="shared" si="2"/>
        <v>7.0595357660685679E-5</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1.7911222331179592E-5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1.2784707603315274E-3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7.0595357660685679E-5</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4.975339536438776</v>
      </c>
      <c r="C54" s="21">
        <f t="shared" ref="C54:P54" si="3">(C50)*10^9/3600</f>
        <v>0</v>
      </c>
      <c r="D54" s="21">
        <f t="shared" si="3"/>
        <v>0</v>
      </c>
      <c r="E54" s="21">
        <f t="shared" si="3"/>
        <v>0</v>
      </c>
      <c r="F54" s="21">
        <f t="shared" si="3"/>
        <v>0</v>
      </c>
      <c r="G54" s="21">
        <f t="shared" si="3"/>
        <v>355.1307667587576</v>
      </c>
      <c r="H54" s="21">
        <f t="shared" si="3"/>
        <v>0</v>
      </c>
      <c r="I54" s="21">
        <f t="shared" si="3"/>
        <v>0</v>
      </c>
      <c r="J54" s="21">
        <f t="shared" si="3"/>
        <v>0</v>
      </c>
      <c r="K54" s="21">
        <f t="shared" si="3"/>
        <v>0</v>
      </c>
      <c r="L54" s="21">
        <f t="shared" si="3"/>
        <v>0</v>
      </c>
      <c r="M54" s="21">
        <f t="shared" si="3"/>
        <v>19.609821572412688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0.19312337923256886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0.96085438410645907</v>
      </c>
      <c r="C58" s="23">
        <f t="shared" ref="C58:P58" ca="1" si="4">C54*C56</f>
        <v>0</v>
      </c>
      <c r="D58" s="23">
        <f t="shared" si="4"/>
        <v>0</v>
      </c>
      <c r="E58" s="23">
        <f t="shared" si="4"/>
        <v>0</v>
      </c>
      <c r="F58" s="23">
        <f t="shared" si="4"/>
        <v>0</v>
      </c>
      <c r="G58" s="23">
        <f t="shared" si="4"/>
        <v>94.819914724588287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2665.4625620693168</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0</v>
      </c>
      <c r="C8" s="542">
        <f>B48</f>
        <v>0</v>
      </c>
      <c r="D8" s="543"/>
      <c r="E8" s="543">
        <f>E48</f>
        <v>0</v>
      </c>
      <c r="F8" s="544"/>
      <c r="G8" s="545"/>
      <c r="H8" s="543">
        <f>I48</f>
        <v>0</v>
      </c>
      <c r="I8" s="543">
        <f>G48+F48</f>
        <v>0</v>
      </c>
      <c r="J8" s="543">
        <f>H48+D48+C48</f>
        <v>0</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2665.4625620693168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0</v>
      </c>
      <c r="C17" s="573">
        <f>B49</f>
        <v>0</v>
      </c>
      <c r="D17" s="574"/>
      <c r="E17" s="574">
        <f>E49</f>
        <v>0</v>
      </c>
      <c r="F17" s="575"/>
      <c r="G17" s="576"/>
      <c r="H17" s="573">
        <f>I49</f>
        <v>0</v>
      </c>
      <c r="I17" s="574">
        <f>G49+F49</f>
        <v>0</v>
      </c>
      <c r="J17" s="574">
        <f>H49+D49+C49</f>
        <v>0</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c r="C28" s="784"/>
      <c r="D28" s="634"/>
      <c r="E28" s="633"/>
      <c r="F28" s="633"/>
      <c r="G28" s="633"/>
      <c r="H28" s="633"/>
      <c r="I28" s="633"/>
      <c r="J28" s="783"/>
      <c r="K28" s="783"/>
      <c r="L28" s="633"/>
      <c r="M28" s="633"/>
      <c r="N28" s="633"/>
      <c r="O28" s="633"/>
      <c r="P28" s="633"/>
      <c r="Q28" s="633"/>
      <c r="R28" s="633"/>
      <c r="S28" s="633"/>
      <c r="T28" s="633"/>
      <c r="U28" s="633"/>
      <c r="V28" s="633"/>
      <c r="W28" s="633"/>
      <c r="X28" s="633"/>
      <c r="Y28" s="633"/>
      <c r="Z28" s="635"/>
    </row>
    <row r="29" spans="1:26" s="567" customFormat="1" hidden="1">
      <c r="A29" s="589" t="s">
        <v>269</v>
      </c>
      <c r="B29" s="590"/>
      <c r="C29" s="590"/>
      <c r="D29" s="590"/>
      <c r="E29" s="590"/>
      <c r="F29" s="590"/>
      <c r="G29" s="590"/>
      <c r="H29" s="590"/>
      <c r="I29" s="590"/>
      <c r="J29" s="590"/>
      <c r="K29" s="590"/>
      <c r="L29" s="591"/>
      <c r="M29" s="591">
        <f>SUM(M28:M28)</f>
        <v>0</v>
      </c>
      <c r="N29" s="591">
        <f>SUM(N28:N28)</f>
        <v>0</v>
      </c>
      <c r="O29" s="591">
        <f>SUM(O28:O28)</f>
        <v>0</v>
      </c>
      <c r="P29" s="591">
        <f>SUM(P28:P28)</f>
        <v>0</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v>
      </c>
      <c r="C45" s="616">
        <f>IF(ISERROR(N29/(O29+N29)),0,N29/(N29+O29))</f>
        <v>0</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2021-11-11T12:33:57Z</dcterms:modified>
</cp:coreProperties>
</file>