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3A3E4936-023B-4097-A9FD-6E77F76692D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2" i="13"/>
  <c r="B35" i="13"/>
  <c r="B34" i="13"/>
  <c r="B33"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<sst xmlns="http://schemas.openxmlformats.org/spreadsheetml/2006/main" count="2446" uniqueCount="882">
  <si>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</si>
  <si>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</si>
  <si>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</si>
  <si>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</si>
  <si>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</si>
  <si>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</si>
  <si>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</si>
  <si>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</si>
  <si>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</si>
  <si>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</si>
  <si>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</si>
  <si>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</si>
  <si>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</si>
  <si>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</si>
  <si>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</si>
  <si>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</si>
  <si>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</si>
  <si>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</si>
  <si>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</si>
  <si>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</si>
  <si>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</si>
  <si>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</si>
  <si>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</si>
  <si>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</si>
  <si>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</si>
  <si>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</si>
  <si>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</si>
  <si>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</si>
  <si>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</si>
  <si>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</si>
  <si>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</si>
  <si>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</si>
  <si>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</si>
  <si>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</si>
  <si>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</si>
  <si>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</si>
  <si>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</si>
  <si>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</si>
  <si>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</si>
  <si>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</si>
  <si>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</si>
  <si>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</si>
  <si>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</si>
  <si>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</si>
  <si>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</si>
  <si>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</si>
  <si>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</si>
  <si>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</si>
  <si>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</si>
  <si>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</si>
  <si>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</si>
  <si>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</si>
  <si>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</si>
  <si>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</si>
  <si>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</si>
  <si>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</si>
  <si>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</si>
  <si>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</si>
  <si>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</si>
  <si>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</si>
  <si>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</si>
  <si>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</si>
  <si>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</si>
  <si>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</si>
  <si>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</si>
  <si>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</si>
  <si>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</si>
  <si>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</si>
  <si>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</si>
  <si>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</si>
  <si>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</si>
  <si>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</si>
  <si>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</si>
  <si>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</si>
  <si>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</si>
  <si>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</si>
  <si>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</si>
  <si>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</si>
  <si>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</si>
  <si>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</si>
  <si>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</si>
  <si>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</si>
  <si>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</si>
  <si>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</si>
  <si>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</si>
  <si>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</si>
  <si>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</si>
  <si>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</si>
  <si>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</si>
  <si>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</si>
  <si>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</si>
  <si>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</si>
  <si>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</si>
  <si>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</si>
  <si>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</si>
  <si>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</si>
  <si>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</si>
  <si>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</si>
  <si>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</si>
  <si>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</si>
  <si>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</si>
  <si>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</si>
  <si>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</si>
  <si>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</si>
  <si>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</si>
  <si>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</si>
  <si>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</si>
  <si>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</si>
  <si>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</si>
  <si>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</si>
  <si>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</si>
  <si>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</si>
  <si>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</si>
  <si>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</si>
  <si>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</si>
  <si>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</si>
  <si>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</si>
  <si>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</si>
  <si>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</si>
  <si>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</si>
  <si>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</si>
  <si>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</si>
  <si>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</si>
  <si>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</si>
  <si>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</si>
  <si>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</si>
  <si>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</si>
  <si>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</si>
  <si>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</si>
  <si>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</si>
  <si>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</si>
  <si>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</si>
  <si>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</si>
  <si>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</si>
  <si>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</si>
  <si>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</si>
  <si>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</si>
  <si>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</si>
  <si>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</si>
  <si>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</si>
  <si>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</si>
  <si>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</si>
  <si>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</si>
  <si>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</si>
  <si>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</si>
  <si>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</si>
  <si>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</si>
  <si>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</si>
  <si>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</si>
  <si>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</si>
  <si>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</si>
  <si>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</si>
  <si>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</si>
  <si>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</si>
  <si>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</si>
  <si>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</si>
  <si>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</si>
  <si>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</si>
  <si>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</si>
  <si>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</si>
  <si>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</si>
  <si>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</si>
  <si>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</si>
  <si>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</si>
  <si>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</si>
  <si>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</si>
  <si>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</si>
  <si>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</si>
  <si>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</si>
  <si>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</si>
  <si>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</si>
  <si>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</si>
  <si>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</si>
  <si>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</si>
  <si>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</si>
  <si>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</si>
  <si>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</si>
  <si>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</si>
  <si>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</si>
  <si>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</si>
  <si>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</si>
  <si>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</si>
  <si>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</si>
  <si>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</si>
  <si>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</si>
  <si>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</si>
  <si>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</si>
  <si>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</si>
  <si>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</si>
  <si>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</si>
  <si>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</si>
  <si>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</si>
  <si>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</si>
  <si>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</si>
  <si>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</si>
  <si>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</si>
  <si>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</si>
  <si>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</si>
  <si>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</si>
  <si>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</si>
  <si>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</si>
  <si>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</si>
  <si>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</si>
  <si>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</si>
  <si>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</si>
  <si>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</si>
  <si>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</si>
  <si>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</si>
  <si>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</si>
  <si>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</si>
  <si>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</si>
  <si>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</si>
  <si>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</si>
  <si>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</si>
  <si>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</si>
  <si>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</si>
  <si>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</si>
  <si>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</si>
  <si>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</si>
  <si>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</si>
  <si>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</si>
  <si>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</si>
  <si>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</si>
  <si>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</si>
  <si>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</si>
  <si>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</si>
  <si>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</si>
  <si>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</si>
  <si>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</si>
  <si>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</si>
  <si>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</si>
  <si>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</si>
  <si>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</si>
  <si>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</si>
  <si>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</si>
  <si>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</si>
  <si>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</si>
  <si>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</si>
  <si>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</si>
  <si>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</si>
  <si>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</si>
  <si>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</si>
  <si>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</si>
  <si>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</si>
  <si>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</si>
  <si>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</si>
  <si>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</si>
  <si>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</si>
  <si>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</si>
  <si>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</si>
  <si>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</si>
  <si>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</si>
  <si>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</si>
  <si>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</si>
  <si>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</si>
  <si>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</si>
  <si>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</si>
  <si>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</si>
  <si>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</si>
  <si>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</si>
  <si>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</si>
  <si>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</si>
  <si>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</si>
  <si>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</si>
  <si>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</si>
  <si>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</si>
  <si>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</si>
  <si>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</si>
  <si>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</si>
  <si>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</si>
  <si>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</si>
  <si>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</si>
  <si>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</si>
  <si>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</si>
  <si>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</si>
  <si>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</si>
  <si>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</si>
  <si>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</si>
  <si>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</si>
  <si>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</si>
  <si>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</si>
  <si>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</si>
  <si>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</si>
  <si>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</si>
  <si>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</si>
  <si>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</si>
  <si>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</si>
  <si>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</si>
  <si>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</si>
  <si>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</si>
  <si>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</si>
  <si>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</si>
  <si>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</si>
  <si>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</si>
  <si>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</si>
  <si>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</si>
  <si>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</si>
  <si>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</si>
  <si>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</si>
  <si>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</si>
  <si>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</si>
  <si>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</si>
  <si>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</si>
  <si>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</si>
  <si>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</si>
  <si>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</si>
  <si>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</si>
  <si>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</si>
  <si>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</si>
  <si>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</si>
  <si>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</si>
  <si>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</si>
  <si>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</si>
  <si>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</si>
  <si>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</si>
  <si>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</si>
  <si>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</si>
  <si>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</si>
  <si>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</si>
  <si>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</si>
  <si>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</si>
  <si>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</si>
  <si>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</si>
  <si>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</si>
  <si>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</si>
  <si>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</si>
  <si>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</si>
  <si>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</si>
  <si>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</si>
  <si>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</si>
  <si>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</si>
  <si>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</si>
  <si>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</si>
  <si>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</si>
  <si>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</si>
  <si>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</si>
  <si>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</si>
  <si>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</si>
  <si>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</si>
  <si>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</si>
  <si>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</si>
  <si>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</si>
  <si>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</si>
  <si>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</si>
  <si>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</si>
  <si>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</si>
  <si>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</si>
  <si>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</si>
  <si>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</si>
  <si>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</si>
  <si>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</si>
  <si>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</si>
  <si>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</si>
  <si>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</si>
  <si>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</si>
  <si>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</si>
  <si>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</si>
  <si>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</si>
  <si>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</si>
  <si>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</si>
  <si>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</si>
  <si>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</si>
  <si>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</si>
  <si>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</si>
  <si>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</si>
  <si>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</si>
  <si>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</si>
  <si>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</si>
  <si>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</si>
  <si>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</si>
  <si>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</si>
  <si>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</si>
  <si>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</si>
  <si>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</si>
  <si>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</si>
  <si>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</si>
  <si>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</si>
  <si>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</si>
  <si>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</si>
  <si>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</si>
  <si>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</si>
  <si>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</si>
  <si>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</si>
  <si>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</si>
  <si>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</si>
  <si>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</si>
  <si>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</si>
  <si>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</si>
  <si>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</si>
  <si>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</si>
  <si>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</si>
  <si>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</si>
  <si>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</si>
  <si>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</si>
  <si>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</si>
  <si>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</si>
  <si>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</si>
  <si>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</si>
  <si>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</si>
  <si>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</si>
  <si>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</si>
  <si>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</si>
  <si>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</si>
  <si>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</si>
  <si>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</si>
  <si>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</si>
  <si>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</si>
  <si>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</si>
  <si>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</si>
  <si>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</si>
  <si>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</si>
  <si>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</si>
  <si>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</si>
  <si>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</si>
  <si>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</si>
  <si>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</si>
  <si>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</si>
  <si>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</si>
  <si>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</si>
  <si>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</si>
  <si>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</si>
  <si>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</si>
  <si>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</si>
  <si>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</si>
  <si>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</si>
  <si>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</si>
  <si>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</si>
  <si>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</si>
  <si>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</si>
  <si>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</si>
  <si>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</si>
  <si>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</si>
  <si>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</si>
  <si>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</si>
  <si>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</si>
  <si>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</si>
  <si>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</si>
  <si>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</si>
  <si>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</si>
  <si>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</si>
  <si>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</si>
  <si>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</si>
  <si>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</si>
  <si>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</si>
  <si>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</si>
  <si>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</si>
  <si>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</si>
  <si>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</si>
  <si>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</si>
  <si>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</si>
  <si>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</si>
  <si>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</si>
  <si>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</si>
  <si>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</si>
  <si>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</si>
  <si>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</si>
  <si>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</si>
  <si>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</si>
  <si>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</si>
  <si>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</si>
  <si>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</si>
  <si>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</si>
  <si>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</si>
  <si>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</si>
  <si>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</si>
  <si>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</si>
  <si>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</si>
  <si>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</si>
  <si>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</si>
  <si>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</si>
  <si>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</si>
  <si>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</si>
  <si>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</si>
  <si>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</si>
  <si>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</si>
  <si>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</si>
  <si>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</si>
  <si>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</si>
  <si>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</si>
  <si>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</si>
  <si>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</si>
  <si>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</si>
  <si>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</si>
  <si>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</si>
  <si>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</si>
  <si>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</si>
  <si>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</si>
  <si>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</si>
  <si>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</si>
  <si>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</si>
  <si>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</si>
  <si>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</si>
  <si>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</si>
  <si>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</si>
  <si>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</si>
  <si>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</si>
  <si>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</si>
  <si>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</si>
  <si>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</si>
  <si>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</si>
  <si>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</si>
  <si>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</si>
  <si>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</si>
  <si>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</si>
  <si>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</si>
  <si>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</si>
  <si>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</si>
  <si>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</si>
  <si>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</si>
  <si>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</si>
  <si>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</si>
  <si>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</si>
  <si>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</si>
  <si>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</si>
  <si>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</si>
  <si>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</si>
  <si>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</si>
  <si>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</si>
  <si>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</si>
  <si>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</si>
  <si>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</si>
  <si>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</si>
  <si>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</si>
  <si>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</si>
  <si>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</si>
  <si>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</si>
  <si>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</si>
  <si>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</si>
  <si>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</si>
  <si>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</si>
  <si>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</si>
  <si>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</si>
  <si>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</si>
  <si>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</si>
  <si>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</si>
  <si>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</si>
  <si>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</si>
  <si>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</si>
  <si>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</si>
  <si>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</si>
  <si>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</si>
  <si>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</si>
  <si>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</si>
  <si>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</si>
  <si>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</si>
  <si>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</si>
  <si>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</si>
  <si>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</si>
  <si>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</si>
  <si>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</si>
  <si>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</si>
  <si>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</si>
  <si>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</si>
  <si>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</si>
  <si>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</si>
  <si>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</si>
  <si>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</si>
  <si>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</si>
  <si>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</si>
  <si>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</si>
  <si>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</si>
  <si>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</si>
  <si>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</si>
  <si>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</si>
  <si>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</si>
  <si>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</si>
  <si>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</si>
  <si>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</si>
  <si>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</si>
  <si>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</si>
  <si>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</si>
  <si>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</si>
  <si>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</si>
  <si>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</si>
  <si>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</si>
  <si>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</si>
  <si>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</si>
  <si>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</si>
  <si>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</si>
  <si>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</si>
  <si>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</si>
  <si>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</si>
  <si>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</si>
  <si>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</si>
  <si>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</si>
  <si>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</si>
  <si>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</si>
  <si>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</si>
  <si>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</si>
  <si>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</si>
  <si>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</si>
  <si>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</si>
  <si>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</si>
  <si>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</si>
  <si>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</si>
  <si>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</si>
  <si>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</si>
  <si>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</si>
  <si>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</si>
  <si>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</si>
  <si>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</si>
  <si>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</si>
  <si>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</si>
  <si>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</si>
  <si>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</si>
  <si>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</si>
  <si>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</si>
  <si>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</si>
  <si>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</si>
  <si>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</si>
  <si>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</si>
  <si>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</si>
  <si>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</si>
  <si>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</si>
  <si>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</si>
  <si>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</si>
  <si>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</si>
  <si>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</si>
  <si>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</si>
  <si>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</si>
  <si>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</si>
  <si>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</si>
  <si>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</si>
  <si>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</si>
  <si>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</si>
  <si>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</si>
  <si>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</si>
  <si>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</si>
  <si>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</si>
  <si>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</si>
  <si>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</si>
  <si>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</si>
  <si>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</si>
  <si>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</si>
  <si>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</si>
  <si>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</si>
  <si>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</si>
  <si>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</si>
  <si>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</si>
  <si>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</si>
  <si>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</si>
  <si>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</si>
  <si>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</si>
  <si>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</si>
  <si>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</si>
  <si>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</si>
  <si>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</si>
  <si>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</si>
  <si>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</si>
  <si>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</si>
  <si>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</si>
  <si>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</si>
  <si>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</si>
  <si>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</si>
  <si>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</si>
  <si>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</si>
  <si>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</si>
  <si>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</si>
  <si>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</si>
  <si>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</si>
  <si>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</si>
  <si>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</si>
  <si>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</si>
  <si>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</si>
  <si>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</si>
  <si>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</si>
  <si>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</si>
  <si>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</si>
  <si>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</si>
  <si>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</si>
  <si>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</si>
  <si>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</si>
  <si>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</si>
  <si>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</si>
  <si>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</si>
  <si>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</si>
  <si>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</si>
  <si>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</si>
  <si>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</si>
  <si>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</si>
  <si>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</si>
  <si>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</si>
  <si>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</si>
  <si>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</si>
  <si>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</si>
  <si>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</si>
  <si>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</si>
  <si>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</si>
  <si>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</si>
  <si>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</si>
  <si>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</si>
  <si>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</si>
  <si>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</si>
  <si>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</si>
  <si>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</si>
  <si>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</si>
  <si>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</si>
  <si>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</si>
  <si>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</si>
  <si>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</si>
  <si>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</si>
  <si>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</si>
  <si>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</si>
  <si>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</si>
  <si>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</si>
  <si>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</si>
  <si>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</si>
  <si>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</si>
  <si>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</si>
  <si>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</si>
  <si>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</si>
  <si>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</si>
  <si>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</si>
  <si>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</si>
  <si>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</si>
  <si>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</si>
  <si>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</si>
  <si>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</si>
  <si>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</si>
  <si>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</si>
  <si>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</si>
  <si>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</si>
  <si>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</si>
  <si>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</si>
  <si>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</si>
  <si>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</si>
  <si>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</si>
  <si>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</si>
  <si>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</si>
  <si>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</si>
  <si>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</si>
  <si>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</si>
  <si>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</si>
  <si>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</si>
  <si>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</si>
  <si>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</si>
  <si>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</si>
  <si>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</si>
  <si>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</si>
  <si>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</si>
  <si>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</si>
  <si>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</si>
  <si>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</si>
  <si>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</si>
  <si>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</si>
  <si>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</si>
  <si>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</si>
  <si>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</si>
  <si>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</si>
  <si>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</si>
  <si>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</si>
  <si>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</si>
  <si>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</si>
  <si>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</si>
  <si>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</si>
  <si>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</si>
  <si>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</si>
  <si>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</si>
  <si>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</si>
  <si>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</si>
  <si>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</si>
  <si>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</si>
  <si>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</si>
  <si>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</si>
  <si>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</si>
  <si>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</si>
  <si>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</si>
  <si>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</si>
  <si>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</si>
  <si>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</si>
  <si>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</si>
  <si>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</si>
  <si>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</si>
  <si>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</si>
  <si>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</si>
  <si>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</si>
  <si>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</si>
  <si>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</si>
  <si>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</si>
  <si>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</si>
  <si>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</si>
  <si>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</si>
  <si>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</si>
  <si>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</si>
  <si>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</si>
  <si>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</si>
  <si>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</si>
  <si>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</si>
  <si>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</si>
  <si>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</si>
  <si>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</si>
  <si>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</si>
  <si>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</si>
  <si>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</si>
  <si>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</si>
  <si>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</si>
  <si>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</si>
  <si>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</si>
  <si>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</si>
  <si>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</si>
  <si>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</si>
  <si>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</si>
  <si>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</si>
  <si>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</si>
  <si>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</si>
  <si>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</si>
  <si>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</si>
  <si>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</si>
  <si>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</si>
  <si>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</si>
  <si>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</si>
  <si>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</si>
  <si>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</si>
  <si>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</si>
  <si>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</si>
  <si>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</si>
  <si>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</si>
  <si>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</si>
  <si>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</si>
  <si>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</si>
  <si>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</si>
  <si>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</si>
  <si>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</si>
  <si>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</si>
  <si>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</si>
  <si>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</si>
  <si>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</si>
  <si>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</si>
  <si>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</si>
  <si>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</si>
  <si>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</si>
  <si>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</si>
  <si>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</si>
  <si>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</si>
  <si>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</si>
  <si>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</si>
  <si>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</si>
  <si>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</si>
  <si>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</si>
  <si>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</si>
  <si>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</si>
  <si>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</si>
  <si>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</si>
  <si>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</si>
  <si>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</si>
  <si>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</si>
  <si>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</si>
  <si>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</si>
  <si>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</si>
  <si>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</si>
  <si>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</si>
  <si>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</si>
  <si>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</si>
  <si>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</si>
  <si>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</si>
  <si>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</si>
  <si>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</si>
  <si>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</si>
  <si>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</si>
  <si>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</si>
  <si>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</si>
  <si>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</si>
  <si>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</si>
  <si>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</si>
  <si>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</si>
  <si>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</si>
  <si>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</si>
  <si>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</si>
  <si>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</si>
  <si>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</si>
  <si>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</si>
  <si>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</si>
  <si>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</si>
  <si>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34027</t>
  </si>
  <si>
    <t>MENEN</t>
  </si>
  <si>
    <t>referentietaak LNE (2017); Jaarverslag De Lijn</t>
  </si>
  <si>
    <t>waterkracht</t>
  </si>
  <si>
    <t>interne verbrandingsmotor</t>
  </si>
  <si>
    <t>WKK interne verbrandinsgmotor (gas)</t>
  </si>
  <si>
    <t>GASELWEST</t>
  </si>
  <si>
    <t>Interne verbrandingsmotor</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</si>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</sst>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6579D0A1-D7A6-455B-86BD-283C4C53DDF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250187.60118266102</c:v>
                </c:pt>
                <c:pt idx="1">
                  <c:v>149233.52045353537</c:v>
                </c:pt>
                <c:pt idx="2">
                  <c:v>2112.7339999999999</c:v>
                </c:pt>
                <c:pt idx="3">
                  <c:v>5996.7274787000952</c:v>
                </c:pt>
                <c:pt idx="4">
                  <c:v>130794.19189142586</c:v>
                </c:pt>
                <c:pt idx="5">
                  <c:v>197193.89747610921</c:v>
                </c:pt>
                <c:pt idx="6">
                  <c:v>2181.2474468660885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250187.60118266102</c:v>
                </c:pt>
                <c:pt idx="1">
                  <c:v>149233.52045353537</c:v>
                </c:pt>
                <c:pt idx="2">
                  <c:v>2112.7339999999999</c:v>
                </c:pt>
                <c:pt idx="3">
                  <c:v>5996.7274787000952</c:v>
                </c:pt>
                <c:pt idx="4">
                  <c:v>130794.19189142586</c:v>
                </c:pt>
                <c:pt idx="5">
                  <c:v>197193.89747610921</c:v>
                </c:pt>
                <c:pt idx="6">
                  <c:v>2181.2474468660885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47292.007989643906</c:v>
                </c:pt>
                <c:pt idx="1">
                  <c:v>22011.142107200849</c:v>
                </c:pt>
                <c:pt idx="2">
                  <c:v>345.51191850364461</c:v>
                </c:pt>
                <c:pt idx="3">
                  <c:v>1469.3551077445679</c:v>
                </c:pt>
                <c:pt idx="4">
                  <c:v>25263.017763247462</c:v>
                </c:pt>
                <c:pt idx="5">
                  <c:v>49093.657349000037</c:v>
                </c:pt>
                <c:pt idx="6">
                  <c:v>549.35931599043954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47292.007989643906</c:v>
                </c:pt>
                <c:pt idx="1">
                  <c:v>22011.142107200849</c:v>
                </c:pt>
                <c:pt idx="2">
                  <c:v>345.51191850364461</c:v>
                </c:pt>
                <c:pt idx="3">
                  <c:v>1469.3551077445679</c:v>
                </c:pt>
                <c:pt idx="4">
                  <c:v>25263.017763247462</c:v>
                </c:pt>
                <c:pt idx="5">
                  <c:v>49093.657349000037</c:v>
                </c:pt>
                <c:pt idx="6">
                  <c:v>549.35931599043954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34027</v>
      </c>
      <c r="B6" s="384"/>
      <c r="C6" s="385"/>
    </row>
    <row r="7" spans="1:7" s="382" customFormat="1" ht="15.75" customHeight="1">
      <c r="A7" s="386" t="str">
        <f>txtMunicipality</f>
        <v>MENEN</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69793.163419017277</v>
      </c>
      <c r="D10" s="680">
        <f ca="1">tertiair!C16</f>
        <v>29777.142857142855</v>
      </c>
      <c r="E10" s="680">
        <f ca="1">tertiair!D16</f>
        <v>43746.278965664373</v>
      </c>
      <c r="F10" s="680">
        <f>tertiair!E16</f>
        <v>146.62158489183952</v>
      </c>
      <c r="G10" s="680">
        <f ca="1">tertiair!F16</f>
        <v>7763.2146626166741</v>
      </c>
      <c r="H10" s="680">
        <f>tertiair!G16</f>
        <v>0</v>
      </c>
      <c r="I10" s="680">
        <f>tertiair!H16</f>
        <v>0</v>
      </c>
      <c r="J10" s="680">
        <f>tertiair!I16</f>
        <v>0</v>
      </c>
      <c r="K10" s="680">
        <f>tertiair!J16</f>
        <v>6.2905291811474237E-2</v>
      </c>
      <c r="L10" s="680">
        <f>tertiair!K16</f>
        <v>0</v>
      </c>
      <c r="M10" s="680">
        <f ca="1">tertiair!L16</f>
        <v>0</v>
      </c>
      <c r="N10" s="680">
        <f>tertiair!M16</f>
        <v>0</v>
      </c>
      <c r="O10" s="680">
        <f ca="1">tertiair!N16</f>
        <v>0</v>
      </c>
      <c r="P10" s="680">
        <f>tertiair!O16</f>
        <v>14.691782297523464</v>
      </c>
      <c r="Q10" s="681">
        <f>tertiair!P16</f>
        <v>105.07827661299004</v>
      </c>
      <c r="R10" s="683">
        <f ca="1">SUM(C10:Q10)</f>
        <v>151346.25445353537</v>
      </c>
      <c r="S10" s="67"/>
    </row>
    <row r="11" spans="1:19" s="443" customFormat="1">
      <c r="A11" s="801" t="s">
        <v>214</v>
      </c>
      <c r="B11" s="806"/>
      <c r="C11" s="680">
        <f>huishoudens!B8</f>
        <v>47766.141531197471</v>
      </c>
      <c r="D11" s="680">
        <f>huishoudens!C8</f>
        <v>0</v>
      </c>
      <c r="E11" s="680">
        <f>huishoudens!D8</f>
        <v>144874.25250447416</v>
      </c>
      <c r="F11" s="680">
        <f>huishoudens!E8</f>
        <v>1613.4094301493601</v>
      </c>
      <c r="G11" s="680">
        <f>huishoudens!F8</f>
        <v>36646.789164328162</v>
      </c>
      <c r="H11" s="680">
        <f>huishoudens!G8</f>
        <v>0</v>
      </c>
      <c r="I11" s="680">
        <f>huishoudens!H8</f>
        <v>0</v>
      </c>
      <c r="J11" s="680">
        <f>huishoudens!I8</f>
        <v>0</v>
      </c>
      <c r="K11" s="680">
        <f>huishoudens!J8</f>
        <v>183.33770316590585</v>
      </c>
      <c r="L11" s="680">
        <f>huishoudens!K8</f>
        <v>0</v>
      </c>
      <c r="M11" s="680">
        <f>huishoudens!L8</f>
        <v>0</v>
      </c>
      <c r="N11" s="680">
        <f>huishoudens!M8</f>
        <v>0</v>
      </c>
      <c r="O11" s="680">
        <f>huishoudens!N8</f>
        <v>18235.024802291424</v>
      </c>
      <c r="P11" s="680">
        <f>huishoudens!O8</f>
        <v>499.95747128553205</v>
      </c>
      <c r="Q11" s="681">
        <f>huishoudens!P8</f>
        <v>368.6885757689758</v>
      </c>
      <c r="R11" s="683">
        <f>SUM(C11:Q11)</f>
        <v>250187.60118266102</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47463.404504929211</v>
      </c>
      <c r="D13" s="680">
        <f>industrie!C18</f>
        <v>0</v>
      </c>
      <c r="E13" s="680">
        <f>industrie!D18</f>
        <v>66429.473051743349</v>
      </c>
      <c r="F13" s="680">
        <f>industrie!E18</f>
        <v>638.1034095183619</v>
      </c>
      <c r="G13" s="680">
        <f>industrie!F18</f>
        <v>14743.372589550831</v>
      </c>
      <c r="H13" s="680">
        <f>industrie!G18</f>
        <v>0</v>
      </c>
      <c r="I13" s="680">
        <f>industrie!H18</f>
        <v>0</v>
      </c>
      <c r="J13" s="680">
        <f>industrie!I18</f>
        <v>0</v>
      </c>
      <c r="K13" s="680">
        <f>industrie!J18</f>
        <v>2.4644527679606245</v>
      </c>
      <c r="L13" s="680">
        <f>industrie!K18</f>
        <v>0</v>
      </c>
      <c r="M13" s="680">
        <f>industrie!L18</f>
        <v>0</v>
      </c>
      <c r="N13" s="680">
        <f>industrie!M18</f>
        <v>0</v>
      </c>
      <c r="O13" s="680">
        <f>industrie!N18</f>
        <v>1517.3738829161523</v>
      </c>
      <c r="P13" s="680">
        <f>industrie!O18</f>
        <v>0</v>
      </c>
      <c r="Q13" s="681">
        <f>industrie!P18</f>
        <v>0</v>
      </c>
      <c r="R13" s="683">
        <f>SUM(C13:Q13)</f>
        <v>130794.19189142586</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165022.70945514395</v>
      </c>
      <c r="D16" s="716">
        <f t="shared" ref="D16:R16" ca="1" si="0">SUM(D9:D15)</f>
        <v>29777.142857142855</v>
      </c>
      <c r="E16" s="716">
        <f t="shared" ca="1" si="0"/>
        <v>255050.00452188187</v>
      </c>
      <c r="F16" s="716">
        <f t="shared" si="0"/>
        <v>2398.1344245595615</v>
      </c>
      <c r="G16" s="716">
        <f t="shared" ca="1" si="0"/>
        <v>59153.376416495666</v>
      </c>
      <c r="H16" s="716">
        <f t="shared" si="0"/>
        <v>0</v>
      </c>
      <c r="I16" s="716">
        <f t="shared" si="0"/>
        <v>0</v>
      </c>
      <c r="J16" s="716">
        <f t="shared" si="0"/>
        <v>0</v>
      </c>
      <c r="K16" s="716">
        <f t="shared" si="0"/>
        <v>185.86506122567795</v>
      </c>
      <c r="L16" s="716">
        <f t="shared" si="0"/>
        <v>0</v>
      </c>
      <c r="M16" s="716">
        <f t="shared" ca="1" si="0"/>
        <v>0</v>
      </c>
      <c r="N16" s="716">
        <f t="shared" si="0"/>
        <v>0</v>
      </c>
      <c r="O16" s="716">
        <f t="shared" ca="1" si="0"/>
        <v>19752.398685207576</v>
      </c>
      <c r="P16" s="716">
        <f t="shared" si="0"/>
        <v>514.6492535830555</v>
      </c>
      <c r="Q16" s="716">
        <f t="shared" si="0"/>
        <v>473.7668523819658</v>
      </c>
      <c r="R16" s="716">
        <f t="shared" ca="1" si="0"/>
        <v>532328.0475276222</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28.580435701219194</v>
      </c>
      <c r="D19" s="680">
        <f>transport!C54</f>
        <v>0</v>
      </c>
      <c r="E19" s="680">
        <f>transport!D54</f>
        <v>0</v>
      </c>
      <c r="F19" s="680">
        <f>transport!E54</f>
        <v>0</v>
      </c>
      <c r="G19" s="680">
        <f>transport!F54</f>
        <v>0</v>
      </c>
      <c r="H19" s="680">
        <f>transport!G54</f>
        <v>2040.0199766342603</v>
      </c>
      <c r="I19" s="680">
        <f>transport!H54</f>
        <v>0</v>
      </c>
      <c r="J19" s="680">
        <f>transport!I54</f>
        <v>0</v>
      </c>
      <c r="K19" s="680">
        <f>transport!J54</f>
        <v>0</v>
      </c>
      <c r="L19" s="680">
        <f>transport!K54</f>
        <v>0</v>
      </c>
      <c r="M19" s="680">
        <f>transport!L54</f>
        <v>0</v>
      </c>
      <c r="N19" s="680">
        <f>transport!M54</f>
        <v>112.64703453060882</v>
      </c>
      <c r="O19" s="680">
        <f>transport!N54</f>
        <v>0</v>
      </c>
      <c r="P19" s="680">
        <f>transport!O54</f>
        <v>0</v>
      </c>
      <c r="Q19" s="681">
        <f>transport!P54</f>
        <v>0</v>
      </c>
      <c r="R19" s="683">
        <f>SUM(C19:Q19)</f>
        <v>2181.2474468660885</v>
      </c>
      <c r="S19" s="67"/>
    </row>
    <row r="20" spans="1:19" s="443" customFormat="1">
      <c r="A20" s="801" t="s">
        <v>296</v>
      </c>
      <c r="B20" s="806"/>
      <c r="C20" s="680">
        <f>transport!B14</f>
        <v>311.3801997095772</v>
      </c>
      <c r="D20" s="680">
        <f>transport!C14</f>
        <v>0</v>
      </c>
      <c r="E20" s="680">
        <f>transport!D14</f>
        <v>522.15507762483105</v>
      </c>
      <c r="F20" s="680">
        <f>transport!E14</f>
        <v>309.89874534606867</v>
      </c>
      <c r="G20" s="680">
        <f>transport!F14</f>
        <v>0</v>
      </c>
      <c r="H20" s="680">
        <f>transport!G14</f>
        <v>152933.28243581799</v>
      </c>
      <c r="I20" s="680">
        <f>transport!H14</f>
        <v>32263.960473257332</v>
      </c>
      <c r="J20" s="680">
        <f>transport!I14</f>
        <v>0</v>
      </c>
      <c r="K20" s="680">
        <f>transport!J14</f>
        <v>0</v>
      </c>
      <c r="L20" s="680">
        <f>transport!K14</f>
        <v>0</v>
      </c>
      <c r="M20" s="680">
        <f>transport!L14</f>
        <v>0</v>
      </c>
      <c r="N20" s="680">
        <f>transport!M14</f>
        <v>10853.220544353431</v>
      </c>
      <c r="O20" s="680">
        <f>transport!N14</f>
        <v>0</v>
      </c>
      <c r="P20" s="680">
        <f>transport!O14</f>
        <v>0</v>
      </c>
      <c r="Q20" s="681">
        <f>transport!P14</f>
        <v>0</v>
      </c>
      <c r="R20" s="683">
        <f>SUM(C20:Q20)</f>
        <v>197193.89747610921</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339.96063541079639</v>
      </c>
      <c r="D22" s="804">
        <f t="shared" ref="D22:R22" si="1">SUM(D18:D21)</f>
        <v>0</v>
      </c>
      <c r="E22" s="804">
        <f t="shared" si="1"/>
        <v>522.15507762483105</v>
      </c>
      <c r="F22" s="804">
        <f t="shared" si="1"/>
        <v>309.89874534606867</v>
      </c>
      <c r="G22" s="804">
        <f t="shared" si="1"/>
        <v>0</v>
      </c>
      <c r="H22" s="804">
        <f t="shared" si="1"/>
        <v>154973.30241245226</v>
      </c>
      <c r="I22" s="804">
        <f t="shared" si="1"/>
        <v>32263.960473257332</v>
      </c>
      <c r="J22" s="804">
        <f t="shared" si="1"/>
        <v>0</v>
      </c>
      <c r="K22" s="804">
        <f t="shared" si="1"/>
        <v>0</v>
      </c>
      <c r="L22" s="804">
        <f t="shared" si="1"/>
        <v>0</v>
      </c>
      <c r="M22" s="804">
        <f t="shared" si="1"/>
        <v>0</v>
      </c>
      <c r="N22" s="804">
        <f t="shared" si="1"/>
        <v>10965.867578884039</v>
      </c>
      <c r="O22" s="804">
        <f t="shared" si="1"/>
        <v>0</v>
      </c>
      <c r="P22" s="804">
        <f t="shared" si="1"/>
        <v>0</v>
      </c>
      <c r="Q22" s="804">
        <f t="shared" si="1"/>
        <v>0</v>
      </c>
      <c r="R22" s="804">
        <f t="shared" si="1"/>
        <v>199375.14492297531</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1209.88922650425</v>
      </c>
      <c r="D24" s="680">
        <f>+landbouw!C8</f>
        <v>0</v>
      </c>
      <c r="E24" s="680">
        <f>+landbouw!D8</f>
        <v>498.76771670432572</v>
      </c>
      <c r="F24" s="680">
        <f>+landbouw!E8</f>
        <v>45.120470043488822</v>
      </c>
      <c r="G24" s="680">
        <f>+landbouw!F8</f>
        <v>3925.3481703799112</v>
      </c>
      <c r="H24" s="680">
        <f>+landbouw!G8</f>
        <v>0</v>
      </c>
      <c r="I24" s="680">
        <f>+landbouw!H8</f>
        <v>0</v>
      </c>
      <c r="J24" s="680">
        <f>+landbouw!I8</f>
        <v>0</v>
      </c>
      <c r="K24" s="680">
        <f>+landbouw!J8</f>
        <v>317.60189506811878</v>
      </c>
      <c r="L24" s="680">
        <f>+landbouw!K8</f>
        <v>0</v>
      </c>
      <c r="M24" s="680">
        <f>+landbouw!L8</f>
        <v>0</v>
      </c>
      <c r="N24" s="680">
        <f>+landbouw!M8</f>
        <v>0</v>
      </c>
      <c r="O24" s="680">
        <f>+landbouw!N8</f>
        <v>0</v>
      </c>
      <c r="P24" s="680">
        <f>+landbouw!O8</f>
        <v>0</v>
      </c>
      <c r="Q24" s="681">
        <f>+landbouw!P8</f>
        <v>0</v>
      </c>
      <c r="R24" s="683">
        <f>SUM(C24:Q24)</f>
        <v>5996.7274787000952</v>
      </c>
      <c r="S24" s="67"/>
    </row>
    <row r="25" spans="1:19" s="443" customFormat="1" ht="15" thickBot="1">
      <c r="A25" s="823" t="s">
        <v>697</v>
      </c>
      <c r="B25" s="936"/>
      <c r="C25" s="937">
        <f>IF(Onbekend_ele_kWh="---",0,Onbekend_ele_kWh)/1000+IF(REST_rest_ele_kWh="---",0,REST_rest_ele_kWh)/1000</f>
        <v>1410.3874028816701</v>
      </c>
      <c r="D25" s="937"/>
      <c r="E25" s="937">
        <f>IF(onbekend_gas_kWh="---",0,onbekend_gas_kWh)/1000+IF(REST_rest_gas_kWh="---",0,REST_rest_gas_kWh)/1000</f>
        <v>4260.3142669273193</v>
      </c>
      <c r="F25" s="937"/>
      <c r="G25" s="937"/>
      <c r="H25" s="937"/>
      <c r="I25" s="937"/>
      <c r="J25" s="937"/>
      <c r="K25" s="937"/>
      <c r="L25" s="937"/>
      <c r="M25" s="937"/>
      <c r="N25" s="937"/>
      <c r="O25" s="937"/>
      <c r="P25" s="937"/>
      <c r="Q25" s="938"/>
      <c r="R25" s="683">
        <f>SUM(C25:Q25)</f>
        <v>5670.7016698089892</v>
      </c>
      <c r="S25" s="67"/>
    </row>
    <row r="26" spans="1:19" s="443" customFormat="1" ht="15.75" thickBot="1">
      <c r="A26" s="688" t="s">
        <v>698</v>
      </c>
      <c r="B26" s="809"/>
      <c r="C26" s="804">
        <f>SUM(C24:C25)</f>
        <v>2620.2766293859204</v>
      </c>
      <c r="D26" s="804">
        <f t="shared" ref="D26:R26" si="2">SUM(D24:D25)</f>
        <v>0</v>
      </c>
      <c r="E26" s="804">
        <f t="shared" si="2"/>
        <v>4759.081983631645</v>
      </c>
      <c r="F26" s="804">
        <f t="shared" si="2"/>
        <v>45.120470043488822</v>
      </c>
      <c r="G26" s="804">
        <f t="shared" si="2"/>
        <v>3925.3481703799112</v>
      </c>
      <c r="H26" s="804">
        <f t="shared" si="2"/>
        <v>0</v>
      </c>
      <c r="I26" s="804">
        <f t="shared" si="2"/>
        <v>0</v>
      </c>
      <c r="J26" s="804">
        <f t="shared" si="2"/>
        <v>0</v>
      </c>
      <c r="K26" s="804">
        <f t="shared" si="2"/>
        <v>317.60189506811878</v>
      </c>
      <c r="L26" s="804">
        <f t="shared" si="2"/>
        <v>0</v>
      </c>
      <c r="M26" s="804">
        <f t="shared" si="2"/>
        <v>0</v>
      </c>
      <c r="N26" s="804">
        <f t="shared" si="2"/>
        <v>0</v>
      </c>
      <c r="O26" s="804">
        <f t="shared" si="2"/>
        <v>0</v>
      </c>
      <c r="P26" s="804">
        <f t="shared" si="2"/>
        <v>0</v>
      </c>
      <c r="Q26" s="804">
        <f t="shared" si="2"/>
        <v>0</v>
      </c>
      <c r="R26" s="804">
        <f t="shared" si="2"/>
        <v>11667.429148509083</v>
      </c>
      <c r="S26" s="67"/>
    </row>
    <row r="27" spans="1:19" s="443" customFormat="1" ht="17.25" thickTop="1" thickBot="1">
      <c r="A27" s="689" t="s">
        <v>109</v>
      </c>
      <c r="B27" s="796"/>
      <c r="C27" s="690">
        <f ca="1">C22+C16+C26</f>
        <v>167982.94671994066</v>
      </c>
      <c r="D27" s="690">
        <f t="shared" ref="D27:R27" ca="1" si="3">D22+D16+D26</f>
        <v>29777.142857142855</v>
      </c>
      <c r="E27" s="690">
        <f t="shared" ca="1" si="3"/>
        <v>260331.24158313836</v>
      </c>
      <c r="F27" s="690">
        <f t="shared" si="3"/>
        <v>2753.1536399491188</v>
      </c>
      <c r="G27" s="690">
        <f t="shared" ca="1" si="3"/>
        <v>63078.724586875578</v>
      </c>
      <c r="H27" s="690">
        <f t="shared" si="3"/>
        <v>154973.30241245226</v>
      </c>
      <c r="I27" s="690">
        <f t="shared" si="3"/>
        <v>32263.960473257332</v>
      </c>
      <c r="J27" s="690">
        <f t="shared" si="3"/>
        <v>0</v>
      </c>
      <c r="K27" s="690">
        <f t="shared" si="3"/>
        <v>503.46695629379673</v>
      </c>
      <c r="L27" s="690">
        <f t="shared" si="3"/>
        <v>0</v>
      </c>
      <c r="M27" s="690">
        <f t="shared" ca="1" si="3"/>
        <v>0</v>
      </c>
      <c r="N27" s="690">
        <f t="shared" si="3"/>
        <v>10965.867578884039</v>
      </c>
      <c r="O27" s="690">
        <f t="shared" ca="1" si="3"/>
        <v>19752.398685207576</v>
      </c>
      <c r="P27" s="690">
        <f t="shared" si="3"/>
        <v>514.6492535830555</v>
      </c>
      <c r="Q27" s="690">
        <f t="shared" si="3"/>
        <v>473.7668523819658</v>
      </c>
      <c r="R27" s="690">
        <f t="shared" ca="1" si="3"/>
        <v>743370.62159910658</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11413.821991477891</v>
      </c>
      <c r="D40" s="680">
        <f ca="1">tertiair!C20</f>
        <v>0</v>
      </c>
      <c r="E40" s="680">
        <f ca="1">tertiair!D20</f>
        <v>8836.7483510642032</v>
      </c>
      <c r="F40" s="680">
        <f>tertiair!E20</f>
        <v>33.283099770447571</v>
      </c>
      <c r="G40" s="680">
        <f ca="1">tertiair!F20</f>
        <v>2072.7783149186521</v>
      </c>
      <c r="H40" s="680">
        <f>tertiair!G20</f>
        <v>0</v>
      </c>
      <c r="I40" s="680">
        <f>tertiair!H20</f>
        <v>0</v>
      </c>
      <c r="J40" s="680">
        <f>tertiair!I20</f>
        <v>0</v>
      </c>
      <c r="K40" s="680">
        <f>tertiair!J20</f>
        <v>2.226847330126188E-2</v>
      </c>
      <c r="L40" s="680">
        <f>tertiair!K20</f>
        <v>0</v>
      </c>
      <c r="M40" s="680">
        <f ca="1">tertiair!L20</f>
        <v>0</v>
      </c>
      <c r="N40" s="680">
        <f>tertiair!M20</f>
        <v>0</v>
      </c>
      <c r="O40" s="680">
        <f ca="1">tertiair!N20</f>
        <v>0</v>
      </c>
      <c r="P40" s="680">
        <f>tertiair!O20</f>
        <v>0</v>
      </c>
      <c r="Q40" s="763">
        <f>tertiair!P20</f>
        <v>0</v>
      </c>
      <c r="R40" s="842">
        <f t="shared" ca="1" si="4"/>
        <v>22356.654025704494</v>
      </c>
    </row>
    <row r="41" spans="1:18">
      <c r="A41" s="814" t="s">
        <v>214</v>
      </c>
      <c r="B41" s="821"/>
      <c r="C41" s="680">
        <f ca="1">huishoudens!B12</f>
        <v>7811.5707892998626</v>
      </c>
      <c r="D41" s="680">
        <f ca="1">huishoudens!C12</f>
        <v>0</v>
      </c>
      <c r="E41" s="680">
        <f>huishoudens!D12</f>
        <v>29264.599005903783</v>
      </c>
      <c r="F41" s="680">
        <f>huishoudens!E12</f>
        <v>366.24394064390475</v>
      </c>
      <c r="G41" s="680">
        <f>huishoudens!F12</f>
        <v>9784.6927068756195</v>
      </c>
      <c r="H41" s="680">
        <f>huishoudens!G12</f>
        <v>0</v>
      </c>
      <c r="I41" s="680">
        <f>huishoudens!H12</f>
        <v>0</v>
      </c>
      <c r="J41" s="680">
        <f>huishoudens!I12</f>
        <v>0</v>
      </c>
      <c r="K41" s="680">
        <f>huishoudens!J12</f>
        <v>64.901546920730667</v>
      </c>
      <c r="L41" s="680">
        <f>huishoudens!K12</f>
        <v>0</v>
      </c>
      <c r="M41" s="680">
        <f>huishoudens!L12</f>
        <v>0</v>
      </c>
      <c r="N41" s="680">
        <f>huishoudens!M12</f>
        <v>0</v>
      </c>
      <c r="O41" s="680">
        <f>huishoudens!N12</f>
        <v>0</v>
      </c>
      <c r="P41" s="680">
        <f>huishoudens!O12</f>
        <v>0</v>
      </c>
      <c r="Q41" s="763">
        <f>huishoudens!P12</f>
        <v>0</v>
      </c>
      <c r="R41" s="842">
        <f t="shared" ca="1" si="4"/>
        <v>47292.007989643906</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7762.0618351447092</v>
      </c>
      <c r="D43" s="680">
        <f ca="1">industrie!C22</f>
        <v>0</v>
      </c>
      <c r="E43" s="680">
        <f>industrie!D22</f>
        <v>13418.753556452157</v>
      </c>
      <c r="F43" s="680">
        <f>industrie!E22</f>
        <v>144.84947396066815</v>
      </c>
      <c r="G43" s="680">
        <f>industrie!F22</f>
        <v>3936.4804814100721</v>
      </c>
      <c r="H43" s="680">
        <f>industrie!G22</f>
        <v>0</v>
      </c>
      <c r="I43" s="680">
        <f>industrie!H22</f>
        <v>0</v>
      </c>
      <c r="J43" s="680">
        <f>industrie!I22</f>
        <v>0</v>
      </c>
      <c r="K43" s="680">
        <f>industrie!J22</f>
        <v>0.87241627985806103</v>
      </c>
      <c r="L43" s="680">
        <f>industrie!K22</f>
        <v>0</v>
      </c>
      <c r="M43" s="680">
        <f>industrie!L22</f>
        <v>0</v>
      </c>
      <c r="N43" s="680">
        <f>industrie!M22</f>
        <v>0</v>
      </c>
      <c r="O43" s="680">
        <f>industrie!N22</f>
        <v>0</v>
      </c>
      <c r="P43" s="680">
        <f>industrie!O22</f>
        <v>0</v>
      </c>
      <c r="Q43" s="763">
        <f>industrie!P22</f>
        <v>0</v>
      </c>
      <c r="R43" s="841">
        <f t="shared" ca="1" si="4"/>
        <v>25263.017763247462</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26987.454615922463</v>
      </c>
      <c r="D46" s="716">
        <f t="shared" ref="D46:Q46" ca="1" si="5">SUM(D39:D45)</f>
        <v>0</v>
      </c>
      <c r="E46" s="716">
        <f t="shared" ca="1" si="5"/>
        <v>51520.100913420145</v>
      </c>
      <c r="F46" s="716">
        <f t="shared" si="5"/>
        <v>544.37651437502041</v>
      </c>
      <c r="G46" s="716">
        <f t="shared" ca="1" si="5"/>
        <v>15793.951503204344</v>
      </c>
      <c r="H46" s="716">
        <f t="shared" si="5"/>
        <v>0</v>
      </c>
      <c r="I46" s="716">
        <f t="shared" si="5"/>
        <v>0</v>
      </c>
      <c r="J46" s="716">
        <f t="shared" si="5"/>
        <v>0</v>
      </c>
      <c r="K46" s="716">
        <f t="shared" si="5"/>
        <v>65.796231673889991</v>
      </c>
      <c r="L46" s="716">
        <f t="shared" si="5"/>
        <v>0</v>
      </c>
      <c r="M46" s="716">
        <f t="shared" ca="1" si="5"/>
        <v>0</v>
      </c>
      <c r="N46" s="716">
        <f t="shared" si="5"/>
        <v>0</v>
      </c>
      <c r="O46" s="716">
        <f t="shared" ca="1" si="5"/>
        <v>0</v>
      </c>
      <c r="P46" s="716">
        <f t="shared" si="5"/>
        <v>0</v>
      </c>
      <c r="Q46" s="716">
        <f t="shared" si="5"/>
        <v>0</v>
      </c>
      <c r="R46" s="716">
        <f ca="1">SUM(R39:R45)</f>
        <v>94911.679778595862</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4.6739822290919264</v>
      </c>
      <c r="D49" s="680">
        <f ca="1">transport!C58</f>
        <v>0</v>
      </c>
      <c r="E49" s="680">
        <f>transport!D58</f>
        <v>0</v>
      </c>
      <c r="F49" s="680">
        <f>transport!E58</f>
        <v>0</v>
      </c>
      <c r="G49" s="680">
        <f>transport!F58</f>
        <v>0</v>
      </c>
      <c r="H49" s="680">
        <f>transport!G58</f>
        <v>544.68533376134758</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549.35931599043954</v>
      </c>
    </row>
    <row r="50" spans="1:18">
      <c r="A50" s="817" t="s">
        <v>296</v>
      </c>
      <c r="B50" s="827"/>
      <c r="C50" s="686">
        <f ca="1">transport!B18</f>
        <v>50.922439921780985</v>
      </c>
      <c r="D50" s="686">
        <f>transport!C18</f>
        <v>0</v>
      </c>
      <c r="E50" s="686">
        <f>transport!D18</f>
        <v>105.47532568021587</v>
      </c>
      <c r="F50" s="686">
        <f>transport!E18</f>
        <v>70.347015193557596</v>
      </c>
      <c r="G50" s="686">
        <f>transport!F18</f>
        <v>0</v>
      </c>
      <c r="H50" s="686">
        <f>transport!G18</f>
        <v>40833.186410363407</v>
      </c>
      <c r="I50" s="686">
        <f>transport!H18</f>
        <v>8033.7261578410753</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49093.657349000037</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55.596422150872911</v>
      </c>
      <c r="D52" s="716">
        <f t="shared" ref="D52:Q52" ca="1" si="6">SUM(D48:D51)</f>
        <v>0</v>
      </c>
      <c r="E52" s="716">
        <f t="shared" si="6"/>
        <v>105.47532568021587</v>
      </c>
      <c r="F52" s="716">
        <f t="shared" si="6"/>
        <v>70.347015193557596</v>
      </c>
      <c r="G52" s="716">
        <f t="shared" si="6"/>
        <v>0</v>
      </c>
      <c r="H52" s="716">
        <f t="shared" si="6"/>
        <v>41377.871744124757</v>
      </c>
      <c r="I52" s="716">
        <f t="shared" si="6"/>
        <v>8033.7261578410753</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49643.016664990479</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197.86264992487179</v>
      </c>
      <c r="D54" s="686">
        <f ca="1">+landbouw!C12</f>
        <v>0</v>
      </c>
      <c r="E54" s="686">
        <f>+landbouw!D12</f>
        <v>100.75107877427381</v>
      </c>
      <c r="F54" s="686">
        <f>+landbouw!E12</f>
        <v>10.242346699871963</v>
      </c>
      <c r="G54" s="686">
        <f>+landbouw!F12</f>
        <v>1048.0679614914363</v>
      </c>
      <c r="H54" s="686">
        <f>+landbouw!G12</f>
        <v>0</v>
      </c>
      <c r="I54" s="686">
        <f>+landbouw!H12</f>
        <v>0</v>
      </c>
      <c r="J54" s="686">
        <f>+landbouw!I12</f>
        <v>0</v>
      </c>
      <c r="K54" s="686">
        <f>+landbouw!J12</f>
        <v>112.43107085411404</v>
      </c>
      <c r="L54" s="686">
        <f>+landbouw!K12</f>
        <v>0</v>
      </c>
      <c r="M54" s="686">
        <f>+landbouw!L12</f>
        <v>0</v>
      </c>
      <c r="N54" s="686">
        <f>+landbouw!M12</f>
        <v>0</v>
      </c>
      <c r="O54" s="686">
        <f>+landbouw!N12</f>
        <v>0</v>
      </c>
      <c r="P54" s="686">
        <f>+landbouw!O12</f>
        <v>0</v>
      </c>
      <c r="Q54" s="687">
        <f>+landbouw!P12</f>
        <v>0</v>
      </c>
      <c r="R54" s="715">
        <f ca="1">SUM(C54:Q54)</f>
        <v>1469.3551077445679</v>
      </c>
    </row>
    <row r="55" spans="1:18" ht="15" thickBot="1">
      <c r="A55" s="817" t="s">
        <v>697</v>
      </c>
      <c r="B55" s="827"/>
      <c r="C55" s="686">
        <f ca="1">C25*'EF ele_warmte'!B12</f>
        <v>230.65168516387706</v>
      </c>
      <c r="D55" s="686"/>
      <c r="E55" s="686">
        <f>E25*EF_CO2_aardgas</f>
        <v>860.5834819193185</v>
      </c>
      <c r="F55" s="686"/>
      <c r="G55" s="686"/>
      <c r="H55" s="686"/>
      <c r="I55" s="686"/>
      <c r="J55" s="686"/>
      <c r="K55" s="686"/>
      <c r="L55" s="686"/>
      <c r="M55" s="686"/>
      <c r="N55" s="686"/>
      <c r="O55" s="686"/>
      <c r="P55" s="686"/>
      <c r="Q55" s="687"/>
      <c r="R55" s="715">
        <f ca="1">SUM(C55:Q55)</f>
        <v>1091.2351670831956</v>
      </c>
    </row>
    <row r="56" spans="1:18" ht="15.75" thickBot="1">
      <c r="A56" s="815" t="s">
        <v>698</v>
      </c>
      <c r="B56" s="828"/>
      <c r="C56" s="716">
        <f ca="1">SUM(C54:C55)</f>
        <v>428.51433508874885</v>
      </c>
      <c r="D56" s="716">
        <f t="shared" ref="D56:Q56" ca="1" si="7">SUM(D54:D55)</f>
        <v>0</v>
      </c>
      <c r="E56" s="716">
        <f t="shared" si="7"/>
        <v>961.33456069359227</v>
      </c>
      <c r="F56" s="716">
        <f t="shared" si="7"/>
        <v>10.242346699871963</v>
      </c>
      <c r="G56" s="716">
        <f t="shared" si="7"/>
        <v>1048.0679614914363</v>
      </c>
      <c r="H56" s="716">
        <f t="shared" si="7"/>
        <v>0</v>
      </c>
      <c r="I56" s="716">
        <f t="shared" si="7"/>
        <v>0</v>
      </c>
      <c r="J56" s="716">
        <f t="shared" si="7"/>
        <v>0</v>
      </c>
      <c r="K56" s="716">
        <f t="shared" si="7"/>
        <v>112.43107085411404</v>
      </c>
      <c r="L56" s="716">
        <f t="shared" si="7"/>
        <v>0</v>
      </c>
      <c r="M56" s="716">
        <f t="shared" si="7"/>
        <v>0</v>
      </c>
      <c r="N56" s="716">
        <f t="shared" si="7"/>
        <v>0</v>
      </c>
      <c r="O56" s="716">
        <f t="shared" si="7"/>
        <v>0</v>
      </c>
      <c r="P56" s="716">
        <f t="shared" si="7"/>
        <v>0</v>
      </c>
      <c r="Q56" s="717">
        <f t="shared" si="7"/>
        <v>0</v>
      </c>
      <c r="R56" s="718">
        <f ca="1">SUM(R54:R55)</f>
        <v>2560.5902748277636</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27471.565373162084</v>
      </c>
      <c r="D61" s="724">
        <f t="shared" ref="D61:Q61" ca="1" si="8">D46+D52+D56</f>
        <v>0</v>
      </c>
      <c r="E61" s="724">
        <f t="shared" ca="1" si="8"/>
        <v>52586.91079979395</v>
      </c>
      <c r="F61" s="724">
        <f t="shared" si="8"/>
        <v>624.96587626844996</v>
      </c>
      <c r="G61" s="724">
        <f t="shared" ca="1" si="8"/>
        <v>16842.019464695779</v>
      </c>
      <c r="H61" s="724">
        <f t="shared" si="8"/>
        <v>41377.871744124757</v>
      </c>
      <c r="I61" s="724">
        <f t="shared" si="8"/>
        <v>8033.7261578410753</v>
      </c>
      <c r="J61" s="724">
        <f t="shared" si="8"/>
        <v>0</v>
      </c>
      <c r="K61" s="724">
        <f t="shared" si="8"/>
        <v>178.22730252800403</v>
      </c>
      <c r="L61" s="724">
        <f t="shared" si="8"/>
        <v>0</v>
      </c>
      <c r="M61" s="724">
        <f t="shared" ca="1" si="8"/>
        <v>0</v>
      </c>
      <c r="N61" s="724">
        <f t="shared" si="8"/>
        <v>0</v>
      </c>
      <c r="O61" s="724">
        <f t="shared" ca="1" si="8"/>
        <v>0</v>
      </c>
      <c r="P61" s="724">
        <f t="shared" si="8"/>
        <v>0</v>
      </c>
      <c r="Q61" s="724">
        <f t="shared" si="8"/>
        <v>0</v>
      </c>
      <c r="R61" s="724">
        <f ca="1">R46+R52+R56</f>
        <v>147115.28671841411</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0.16353782279437196</v>
      </c>
      <c r="D63" s="770">
        <f t="shared" ca="1" si="9"/>
        <v>0</v>
      </c>
      <c r="E63" s="962">
        <f t="shared" ca="1" si="9"/>
        <v>0.20200000000000001</v>
      </c>
      <c r="F63" s="770">
        <f t="shared" si="9"/>
        <v>0.22700000000000001</v>
      </c>
      <c r="G63" s="770">
        <f t="shared" ca="1" si="9"/>
        <v>0.26700000000000002</v>
      </c>
      <c r="H63" s="770">
        <f t="shared" si="9"/>
        <v>0.26700000000000002</v>
      </c>
      <c r="I63" s="770">
        <f t="shared" si="9"/>
        <v>0.249</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8579.3340203983898</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14253.887029125626</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20844</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24522.352941176472</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43677.221049524014</v>
      </c>
      <c r="C78" s="742">
        <f>SUM(C72:C77)</f>
        <v>0</v>
      </c>
      <c r="D78" s="743">
        <f t="shared" ref="D78:H78" si="10">SUM(D76:D77)</f>
        <v>0</v>
      </c>
      <c r="E78" s="743">
        <f t="shared" si="10"/>
        <v>0</v>
      </c>
      <c r="F78" s="743">
        <f t="shared" si="10"/>
        <v>0</v>
      </c>
      <c r="G78" s="743">
        <f t="shared" si="10"/>
        <v>0</v>
      </c>
      <c r="H78" s="743">
        <f t="shared" si="10"/>
        <v>0</v>
      </c>
      <c r="I78" s="743">
        <f>SUM(I76:I77)</f>
        <v>0</v>
      </c>
      <c r="J78" s="743">
        <f>SUM(J76:J77)</f>
        <v>24522.352941176472</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29777.142857142855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35031.932773109242</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29777.142857142855</v>
      </c>
      <c r="C90" s="742">
        <f>SUM(C87:C89)</f>
        <v>0</v>
      </c>
      <c r="D90" s="742">
        <f t="shared" ref="D90:H90" si="12">SUM(D87:D89)</f>
        <v>0</v>
      </c>
      <c r="E90" s="742">
        <f t="shared" si="12"/>
        <v>0</v>
      </c>
      <c r="F90" s="742">
        <f t="shared" si="12"/>
        <v>0</v>
      </c>
      <c r="G90" s="742">
        <f t="shared" si="12"/>
        <v>0</v>
      </c>
      <c r="H90" s="742">
        <f t="shared" si="12"/>
        <v>0</v>
      </c>
      <c r="I90" s="742">
        <f>SUM(I87:I89)</f>
        <v>0</v>
      </c>
      <c r="J90" s="742">
        <f>SUM(J87:J89)</f>
        <v>35031.932773109242</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47766.141531197471</v>
      </c>
      <c r="C4" s="447">
        <f>huishoudens!C8</f>
        <v>0</v>
      </c>
      <c r="D4" s="447">
        <f>huishoudens!D8</f>
        <v>144874.25250447416</v>
      </c>
      <c r="E4" s="447">
        <f>huishoudens!E8</f>
        <v>1613.4094301493601</v>
      </c>
      <c r="F4" s="447">
        <f>huishoudens!F8</f>
        <v>36646.789164328162</v>
      </c>
      <c r="G4" s="447">
        <f>huishoudens!G8</f>
        <v>0</v>
      </c>
      <c r="H4" s="447">
        <f>huishoudens!H8</f>
        <v>0</v>
      </c>
      <c r="I4" s="447">
        <f>huishoudens!I8</f>
        <v>0</v>
      </c>
      <c r="J4" s="447">
        <f>huishoudens!J8</f>
        <v>183.33770316590585</v>
      </c>
      <c r="K4" s="447">
        <f>huishoudens!K8</f>
        <v>0</v>
      </c>
      <c r="L4" s="447">
        <f>huishoudens!L8</f>
        <v>0</v>
      </c>
      <c r="M4" s="447">
        <f>huishoudens!M8</f>
        <v>0</v>
      </c>
      <c r="N4" s="447">
        <f>huishoudens!N8</f>
        <v>18235.024802291424</v>
      </c>
      <c r="O4" s="447">
        <f>huishoudens!O8</f>
        <v>499.95747128553205</v>
      </c>
      <c r="P4" s="448">
        <f>huishoudens!P8</f>
        <v>368.6885757689758</v>
      </c>
      <c r="Q4" s="449">
        <f>SUM(B4:P4)</f>
        <v>250187.60118266102</v>
      </c>
    </row>
    <row r="5" spans="1:17">
      <c r="A5" s="446" t="s">
        <v>149</v>
      </c>
      <c r="B5" s="447">
        <f ca="1">tertiair!B16</f>
        <v>67680.42941901728</v>
      </c>
      <c r="C5" s="447">
        <f ca="1">tertiair!C16</f>
        <v>29777.142857142855</v>
      </c>
      <c r="D5" s="447">
        <f ca="1">tertiair!D16</f>
        <v>43746.278965664373</v>
      </c>
      <c r="E5" s="447">
        <f>tertiair!E16</f>
        <v>146.62158489183952</v>
      </c>
      <c r="F5" s="447">
        <f ca="1">tertiair!F16</f>
        <v>7763.2146626166741</v>
      </c>
      <c r="G5" s="447">
        <f>tertiair!G16</f>
        <v>0</v>
      </c>
      <c r="H5" s="447">
        <f>tertiair!H16</f>
        <v>0</v>
      </c>
      <c r="I5" s="447">
        <f>tertiair!I16</f>
        <v>0</v>
      </c>
      <c r="J5" s="447">
        <f>tertiair!J16</f>
        <v>6.2905291811474237E-2</v>
      </c>
      <c r="K5" s="447">
        <f>tertiair!K16</f>
        <v>0</v>
      </c>
      <c r="L5" s="447">
        <f ca="1">tertiair!L16</f>
        <v>0</v>
      </c>
      <c r="M5" s="447">
        <f>tertiair!M16</f>
        <v>0</v>
      </c>
      <c r="N5" s="447">
        <f ca="1">tertiair!N16</f>
        <v>0</v>
      </c>
      <c r="O5" s="447">
        <f>tertiair!O16</f>
        <v>14.691782297523464</v>
      </c>
      <c r="P5" s="448">
        <f>tertiair!P16</f>
        <v>105.07827661299004</v>
      </c>
      <c r="Q5" s="446">
        <f t="shared" ref="Q5:Q14" ca="1" si="0">SUM(B5:P5)</f>
        <v>149233.52045353537</v>
      </c>
    </row>
    <row r="6" spans="1:17">
      <c r="A6" s="446" t="s">
        <v>187</v>
      </c>
      <c r="B6" s="447">
        <f>'openbare verlichting'!B8</f>
        <v>2112.7339999999999</v>
      </c>
      <c r="C6" s="447"/>
      <c r="D6" s="447"/>
      <c r="E6" s="447"/>
      <c r="F6" s="447"/>
      <c r="G6" s="447"/>
      <c r="H6" s="447"/>
      <c r="I6" s="447"/>
      <c r="J6" s="447"/>
      <c r="K6" s="447"/>
      <c r="L6" s="447"/>
      <c r="M6" s="447"/>
      <c r="N6" s="447"/>
      <c r="O6" s="447"/>
      <c r="P6" s="448"/>
      <c r="Q6" s="446">
        <f t="shared" si="0"/>
        <v>2112.7339999999999</v>
      </c>
    </row>
    <row r="7" spans="1:17">
      <c r="A7" s="446" t="s">
        <v>105</v>
      </c>
      <c r="B7" s="447">
        <f>landbouw!B8</f>
        <v>1209.88922650425</v>
      </c>
      <c r="C7" s="447">
        <f>landbouw!C8</f>
        <v>0</v>
      </c>
      <c r="D7" s="447">
        <f>landbouw!D8</f>
        <v>498.76771670432572</v>
      </c>
      <c r="E7" s="447">
        <f>landbouw!E8</f>
        <v>45.120470043488822</v>
      </c>
      <c r="F7" s="447">
        <f>landbouw!F8</f>
        <v>3925.3481703799112</v>
      </c>
      <c r="G7" s="447">
        <f>landbouw!G8</f>
        <v>0</v>
      </c>
      <c r="H7" s="447">
        <f>landbouw!H8</f>
        <v>0</v>
      </c>
      <c r="I7" s="447">
        <f>landbouw!I8</f>
        <v>0</v>
      </c>
      <c r="J7" s="447">
        <f>landbouw!J8</f>
        <v>317.60189506811878</v>
      </c>
      <c r="K7" s="447">
        <f>landbouw!K8</f>
        <v>0</v>
      </c>
      <c r="L7" s="447">
        <f>landbouw!L8</f>
        <v>0</v>
      </c>
      <c r="M7" s="447">
        <f>landbouw!M8</f>
        <v>0</v>
      </c>
      <c r="N7" s="447">
        <f>landbouw!N8</f>
        <v>0</v>
      </c>
      <c r="O7" s="447">
        <f>landbouw!O8</f>
        <v>0</v>
      </c>
      <c r="P7" s="448">
        <f>landbouw!P8</f>
        <v>0</v>
      </c>
      <c r="Q7" s="446">
        <f t="shared" si="0"/>
        <v>5996.7274787000952</v>
      </c>
    </row>
    <row r="8" spans="1:17">
      <c r="A8" s="446" t="s">
        <v>612</v>
      </c>
      <c r="B8" s="447">
        <f>industrie!B18</f>
        <v>47463.404504929211</v>
      </c>
      <c r="C8" s="447">
        <f>industrie!C18</f>
        <v>0</v>
      </c>
      <c r="D8" s="447">
        <f>industrie!D18</f>
        <v>66429.473051743349</v>
      </c>
      <c r="E8" s="447">
        <f>industrie!E18</f>
        <v>638.1034095183619</v>
      </c>
      <c r="F8" s="447">
        <f>industrie!F18</f>
        <v>14743.372589550831</v>
      </c>
      <c r="G8" s="447">
        <f>industrie!G18</f>
        <v>0</v>
      </c>
      <c r="H8" s="447">
        <f>industrie!H18</f>
        <v>0</v>
      </c>
      <c r="I8" s="447">
        <f>industrie!I18</f>
        <v>0</v>
      </c>
      <c r="J8" s="447">
        <f>industrie!J18</f>
        <v>2.4644527679606245</v>
      </c>
      <c r="K8" s="447">
        <f>industrie!K18</f>
        <v>0</v>
      </c>
      <c r="L8" s="447">
        <f>industrie!L18</f>
        <v>0</v>
      </c>
      <c r="M8" s="447">
        <f>industrie!M18</f>
        <v>0</v>
      </c>
      <c r="N8" s="447">
        <f>industrie!N18</f>
        <v>1517.3738829161523</v>
      </c>
      <c r="O8" s="447">
        <f>industrie!O18</f>
        <v>0</v>
      </c>
      <c r="P8" s="448">
        <f>industrie!P18</f>
        <v>0</v>
      </c>
      <c r="Q8" s="446">
        <f t="shared" si="0"/>
        <v>130794.19189142586</v>
      </c>
    </row>
    <row r="9" spans="1:17" s="452" customFormat="1">
      <c r="A9" s="450" t="s">
        <v>538</v>
      </c>
      <c r="B9" s="451">
        <f>transport!B14</f>
        <v>311.3801997095772</v>
      </c>
      <c r="C9" s="451">
        <f>transport!C14</f>
        <v>0</v>
      </c>
      <c r="D9" s="451">
        <f>transport!D14</f>
        <v>522.15507762483105</v>
      </c>
      <c r="E9" s="451">
        <f>transport!E14</f>
        <v>309.89874534606867</v>
      </c>
      <c r="F9" s="451">
        <f>transport!F14</f>
        <v>0</v>
      </c>
      <c r="G9" s="451">
        <f>transport!G14</f>
        <v>152933.28243581799</v>
      </c>
      <c r="H9" s="451">
        <f>transport!H14</f>
        <v>32263.960473257332</v>
      </c>
      <c r="I9" s="451">
        <f>transport!I14</f>
        <v>0</v>
      </c>
      <c r="J9" s="451">
        <f>transport!J14</f>
        <v>0</v>
      </c>
      <c r="K9" s="451">
        <f>transport!K14</f>
        <v>0</v>
      </c>
      <c r="L9" s="451">
        <f>transport!L14</f>
        <v>0</v>
      </c>
      <c r="M9" s="451">
        <f>transport!M14</f>
        <v>10853.220544353431</v>
      </c>
      <c r="N9" s="451">
        <f>transport!N14</f>
        <v>0</v>
      </c>
      <c r="O9" s="451">
        <f>transport!O14</f>
        <v>0</v>
      </c>
      <c r="P9" s="451">
        <f>transport!P14</f>
        <v>0</v>
      </c>
      <c r="Q9" s="450">
        <f>SUM(B9:P9)</f>
        <v>197193.89747610921</v>
      </c>
    </row>
    <row r="10" spans="1:17">
      <c r="A10" s="446" t="s">
        <v>528</v>
      </c>
      <c r="B10" s="447">
        <f>transport!B54</f>
        <v>28.580435701219194</v>
      </c>
      <c r="C10" s="447">
        <f>transport!C54</f>
        <v>0</v>
      </c>
      <c r="D10" s="447">
        <f>transport!D54</f>
        <v>0</v>
      </c>
      <c r="E10" s="447">
        <f>transport!E54</f>
        <v>0</v>
      </c>
      <c r="F10" s="447">
        <f>transport!F54</f>
        <v>0</v>
      </c>
      <c r="G10" s="447">
        <f>transport!G54</f>
        <v>2040.0199766342603</v>
      </c>
      <c r="H10" s="447">
        <f>transport!H54</f>
        <v>0</v>
      </c>
      <c r="I10" s="447">
        <f>transport!I54</f>
        <v>0</v>
      </c>
      <c r="J10" s="447">
        <f>transport!J54</f>
        <v>0</v>
      </c>
      <c r="K10" s="447">
        <f>transport!K54</f>
        <v>0</v>
      </c>
      <c r="L10" s="447">
        <f>transport!L54</f>
        <v>0</v>
      </c>
      <c r="M10" s="447">
        <f>transport!M54</f>
        <v>112.64703453060882</v>
      </c>
      <c r="N10" s="447">
        <f>transport!N54</f>
        <v>0</v>
      </c>
      <c r="O10" s="447">
        <f>transport!O54</f>
        <v>0</v>
      </c>
      <c r="P10" s="448">
        <f>transport!P54</f>
        <v>0</v>
      </c>
      <c r="Q10" s="446">
        <f t="shared" si="0"/>
        <v>2181.2474468660885</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1410.3874028816701</v>
      </c>
      <c r="C14" s="454"/>
      <c r="D14" s="454">
        <f>'SEAP template'!E25</f>
        <v>4260.3142669273193</v>
      </c>
      <c r="E14" s="454"/>
      <c r="F14" s="454"/>
      <c r="G14" s="454"/>
      <c r="H14" s="454"/>
      <c r="I14" s="454"/>
      <c r="J14" s="454"/>
      <c r="K14" s="454"/>
      <c r="L14" s="454"/>
      <c r="M14" s="454"/>
      <c r="N14" s="454"/>
      <c r="O14" s="454"/>
      <c r="P14" s="455"/>
      <c r="Q14" s="446">
        <f t="shared" si="0"/>
        <v>5670.7016698089892</v>
      </c>
    </row>
    <row r="15" spans="1:17" s="458" customFormat="1">
      <c r="A15" s="456" t="s">
        <v>532</v>
      </c>
      <c r="B15" s="457">
        <f ca="1">SUM(B4:B14)</f>
        <v>167982.94671994066</v>
      </c>
      <c r="C15" s="457">
        <f t="shared" ref="C15:Q15" ca="1" si="1">SUM(C4:C14)</f>
        <v>29777.142857142855</v>
      </c>
      <c r="D15" s="457">
        <f t="shared" ca="1" si="1"/>
        <v>260331.24158313833</v>
      </c>
      <c r="E15" s="457">
        <f t="shared" si="1"/>
        <v>2753.1536399491192</v>
      </c>
      <c r="F15" s="457">
        <f t="shared" ca="1" si="1"/>
        <v>63078.724586875578</v>
      </c>
      <c r="G15" s="457">
        <f t="shared" si="1"/>
        <v>154973.30241245226</v>
      </c>
      <c r="H15" s="457">
        <f t="shared" si="1"/>
        <v>32263.960473257332</v>
      </c>
      <c r="I15" s="457">
        <f t="shared" si="1"/>
        <v>0</v>
      </c>
      <c r="J15" s="457">
        <f t="shared" si="1"/>
        <v>503.46695629379673</v>
      </c>
      <c r="K15" s="457">
        <f t="shared" si="1"/>
        <v>0</v>
      </c>
      <c r="L15" s="457">
        <f t="shared" ca="1" si="1"/>
        <v>0</v>
      </c>
      <c r="M15" s="457">
        <f t="shared" si="1"/>
        <v>10965.867578884039</v>
      </c>
      <c r="N15" s="457">
        <f t="shared" ca="1" si="1"/>
        <v>19752.398685207576</v>
      </c>
      <c r="O15" s="457">
        <f t="shared" si="1"/>
        <v>514.6492535830555</v>
      </c>
      <c r="P15" s="457">
        <f t="shared" si="1"/>
        <v>473.7668523819658</v>
      </c>
      <c r="Q15" s="457">
        <f t="shared" ca="1" si="1"/>
        <v>743370.62159910658</v>
      </c>
    </row>
    <row r="17" spans="1:17">
      <c r="A17" s="459" t="s">
        <v>533</v>
      </c>
      <c r="B17" s="775">
        <f ca="1">huishoudens!B10</f>
        <v>0.16353782279437196</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7811.5707892998626</v>
      </c>
      <c r="C22" s="447">
        <f t="shared" ref="C22:C32" ca="1" si="3">C4*$C$17</f>
        <v>0</v>
      </c>
      <c r="D22" s="447">
        <f t="shared" ref="D22:D32" si="4">D4*$D$17</f>
        <v>29264.599005903783</v>
      </c>
      <c r="E22" s="447">
        <f t="shared" ref="E22:E32" si="5">E4*$E$17</f>
        <v>366.24394064390475</v>
      </c>
      <c r="F22" s="447">
        <f t="shared" ref="F22:F32" si="6">F4*$F$17</f>
        <v>9784.6927068756195</v>
      </c>
      <c r="G22" s="447">
        <f t="shared" ref="G22:G32" si="7">G4*$G$17</f>
        <v>0</v>
      </c>
      <c r="H22" s="447">
        <f t="shared" ref="H22:H32" si="8">H4*$H$17</f>
        <v>0</v>
      </c>
      <c r="I22" s="447">
        <f t="shared" ref="I22:I32" si="9">I4*$I$17</f>
        <v>0</v>
      </c>
      <c r="J22" s="447">
        <f t="shared" ref="J22:J32" si="10">J4*$J$17</f>
        <v>64.901546920730667</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47292.007989643906</v>
      </c>
    </row>
    <row r="23" spans="1:17">
      <c r="A23" s="446" t="s">
        <v>149</v>
      </c>
      <c r="B23" s="447">
        <f t="shared" ca="1" si="2"/>
        <v>11068.310072974247</v>
      </c>
      <c r="C23" s="447">
        <f t="shared" ca="1" si="3"/>
        <v>0</v>
      </c>
      <c r="D23" s="447">
        <f t="shared" ca="1" si="4"/>
        <v>8836.7483510642032</v>
      </c>
      <c r="E23" s="447">
        <f t="shared" si="5"/>
        <v>33.283099770447571</v>
      </c>
      <c r="F23" s="447">
        <f t="shared" ca="1" si="6"/>
        <v>2072.7783149186521</v>
      </c>
      <c r="G23" s="447">
        <f t="shared" si="7"/>
        <v>0</v>
      </c>
      <c r="H23" s="447">
        <f t="shared" si="8"/>
        <v>0</v>
      </c>
      <c r="I23" s="447">
        <f t="shared" si="9"/>
        <v>0</v>
      </c>
      <c r="J23" s="447">
        <f t="shared" si="10"/>
        <v>2.226847330126188E-2</v>
      </c>
      <c r="K23" s="447">
        <f t="shared" si="11"/>
        <v>0</v>
      </c>
      <c r="L23" s="447">
        <f t="shared" ca="1" si="12"/>
        <v>0</v>
      </c>
      <c r="M23" s="447">
        <f t="shared" si="13"/>
        <v>0</v>
      </c>
      <c r="N23" s="447">
        <f t="shared" ca="1" si="14"/>
        <v>0</v>
      </c>
      <c r="O23" s="447">
        <f t="shared" si="15"/>
        <v>0</v>
      </c>
      <c r="P23" s="448">
        <f t="shared" si="16"/>
        <v>0</v>
      </c>
      <c r="Q23" s="446">
        <f t="shared" ref="Q23:Q31" ca="1" si="17">SUM(B23:P23)</f>
        <v>22011.142107200849</v>
      </c>
    </row>
    <row r="24" spans="1:17">
      <c r="A24" s="446" t="s">
        <v>187</v>
      </c>
      <c r="B24" s="447">
        <f t="shared" ca="1" si="2"/>
        <v>345.51191850364461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345.51191850364461</v>
      </c>
    </row>
    <row r="25" spans="1:17">
      <c r="A25" s="446" t="s">
        <v>105</v>
      </c>
      <c r="B25" s="447">
        <f t="shared" ca="1" si="2"/>
        <v>197.86264992487179</v>
      </c>
      <c r="C25" s="447">
        <f t="shared" ca="1" si="3"/>
        <v>0</v>
      </c>
      <c r="D25" s="447">
        <f t="shared" si="4"/>
        <v>100.75107877427381</v>
      </c>
      <c r="E25" s="447">
        <f t="shared" si="5"/>
        <v>10.242346699871963</v>
      </c>
      <c r="F25" s="447">
        <f t="shared" si="6"/>
        <v>1048.0679614914363</v>
      </c>
      <c r="G25" s="447">
        <f t="shared" si="7"/>
        <v>0</v>
      </c>
      <c r="H25" s="447">
        <f t="shared" si="8"/>
        <v>0</v>
      </c>
      <c r="I25" s="447">
        <f t="shared" si="9"/>
        <v>0</v>
      </c>
      <c r="J25" s="447">
        <f t="shared" si="10"/>
        <v>112.43107085411404</v>
      </c>
      <c r="K25" s="447">
        <f t="shared" si="11"/>
        <v>0</v>
      </c>
      <c r="L25" s="447">
        <f t="shared" si="12"/>
        <v>0</v>
      </c>
      <c r="M25" s="447">
        <f t="shared" si="13"/>
        <v>0</v>
      </c>
      <c r="N25" s="447">
        <f t="shared" si="14"/>
        <v>0</v>
      </c>
      <c r="O25" s="447">
        <f t="shared" si="15"/>
        <v>0</v>
      </c>
      <c r="P25" s="448">
        <f t="shared" si="16"/>
        <v>0</v>
      </c>
      <c r="Q25" s="446">
        <f t="shared" ca="1" si="17"/>
        <v>1469.3551077445679</v>
      </c>
    </row>
    <row r="26" spans="1:17">
      <c r="A26" s="446" t="s">
        <v>612</v>
      </c>
      <c r="B26" s="447">
        <f t="shared" ca="1" si="2"/>
        <v>7762.0618351447092</v>
      </c>
      <c r="C26" s="447">
        <f t="shared" ca="1" si="3"/>
        <v>0</v>
      </c>
      <c r="D26" s="447">
        <f t="shared" si="4"/>
        <v>13418.753556452157</v>
      </c>
      <c r="E26" s="447">
        <f t="shared" si="5"/>
        <v>144.84947396066815</v>
      </c>
      <c r="F26" s="447">
        <f t="shared" si="6"/>
        <v>3936.4804814100721</v>
      </c>
      <c r="G26" s="447">
        <f t="shared" si="7"/>
        <v>0</v>
      </c>
      <c r="H26" s="447">
        <f t="shared" si="8"/>
        <v>0</v>
      </c>
      <c r="I26" s="447">
        <f t="shared" si="9"/>
        <v>0</v>
      </c>
      <c r="J26" s="447">
        <f t="shared" si="10"/>
        <v>0.87241627985806103</v>
      </c>
      <c r="K26" s="447">
        <f t="shared" si="11"/>
        <v>0</v>
      </c>
      <c r="L26" s="447">
        <f t="shared" si="12"/>
        <v>0</v>
      </c>
      <c r="M26" s="447">
        <f t="shared" si="13"/>
        <v>0</v>
      </c>
      <c r="N26" s="447">
        <f t="shared" si="14"/>
        <v>0</v>
      </c>
      <c r="O26" s="447">
        <f t="shared" si="15"/>
        <v>0</v>
      </c>
      <c r="P26" s="448">
        <f t="shared" si="16"/>
        <v>0</v>
      </c>
      <c r="Q26" s="446">
        <f t="shared" ca="1" si="17"/>
        <v>25263.017763247462</v>
      </c>
    </row>
    <row r="27" spans="1:17" s="452" customFormat="1">
      <c r="A27" s="450" t="s">
        <v>538</v>
      </c>
      <c r="B27" s="769">
        <f t="shared" ca="1" si="2"/>
        <v>50.922439921780985</v>
      </c>
      <c r="C27" s="451">
        <f t="shared" ca="1" si="3"/>
        <v>0</v>
      </c>
      <c r="D27" s="451">
        <f t="shared" si="4"/>
        <v>105.47532568021587</v>
      </c>
      <c r="E27" s="451">
        <f t="shared" si="5"/>
        <v>70.347015193557596</v>
      </c>
      <c r="F27" s="451">
        <f t="shared" si="6"/>
        <v>0</v>
      </c>
      <c r="G27" s="451">
        <f t="shared" si="7"/>
        <v>40833.186410363407</v>
      </c>
      <c r="H27" s="451">
        <f t="shared" si="8"/>
        <v>8033.7261578410753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49093.657349000037</v>
      </c>
    </row>
    <row r="28" spans="1:17" ht="16.5" customHeight="1">
      <c r="A28" s="446" t="s">
        <v>528</v>
      </c>
      <c r="B28" s="447">
        <f t="shared" ca="1" si="2"/>
        <v>4.6739822290919264</v>
      </c>
      <c r="C28" s="447">
        <f t="shared" ca="1" si="3"/>
        <v>0</v>
      </c>
      <c r="D28" s="447">
        <f t="shared" si="4"/>
        <v>0</v>
      </c>
      <c r="E28" s="447">
        <f t="shared" si="5"/>
        <v>0</v>
      </c>
      <c r="F28" s="447">
        <f t="shared" si="6"/>
        <v>0</v>
      </c>
      <c r="G28" s="447">
        <f t="shared" si="7"/>
        <v>544.68533376134758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549.35931599043954</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230.65168516387706</v>
      </c>
      <c r="C32" s="447">
        <f t="shared" ca="1" si="3"/>
        <v>0</v>
      </c>
      <c r="D32" s="447">
        <f t="shared" si="4"/>
        <v>860.5834819193185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1091.2351670831956</v>
      </c>
    </row>
    <row r="33" spans="1:17" s="458" customFormat="1">
      <c r="A33" s="456" t="s">
        <v>532</v>
      </c>
      <c r="B33" s="457">
        <f ca="1">SUM(B22:B32)</f>
        <v>27471.565373162084</v>
      </c>
      <c r="C33" s="457">
        <f t="shared" ref="C33:Q33" ca="1" si="19">SUM(C22:C32)</f>
        <v>0</v>
      </c>
      <c r="D33" s="457">
        <f t="shared" ca="1" si="19"/>
        <v>52586.910799793943</v>
      </c>
      <c r="E33" s="457">
        <f t="shared" si="19"/>
        <v>624.96587626845007</v>
      </c>
      <c r="F33" s="457">
        <f t="shared" ca="1" si="19"/>
        <v>16842.019464695783</v>
      </c>
      <c r="G33" s="457">
        <f t="shared" si="19"/>
        <v>41377.871744124757</v>
      </c>
      <c r="H33" s="457">
        <f t="shared" si="19"/>
        <v>8033.7261578410753</v>
      </c>
      <c r="I33" s="457">
        <f t="shared" si="19"/>
        <v>0</v>
      </c>
      <c r="J33" s="457">
        <f t="shared" si="19"/>
        <v>178.22730252800406</v>
      </c>
      <c r="K33" s="457">
        <f t="shared" si="19"/>
        <v>0</v>
      </c>
      <c r="L33" s="457">
        <f t="shared" ca="1" si="19"/>
        <v>0</v>
      </c>
      <c r="M33" s="457">
        <f t="shared" si="19"/>
        <v>0</v>
      </c>
      <c r="N33" s="457">
        <f t="shared" ca="1" si="19"/>
        <v>0</v>
      </c>
      <c r="O33" s="457">
        <f t="shared" si="19"/>
        <v>0</v>
      </c>
      <c r="P33" s="457">
        <f t="shared" si="19"/>
        <v>0</v>
      </c>
      <c r="Q33" s="457">
        <f t="shared" ca="1" si="19"/>
        <v>147115.28671841411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8579.3340203983898</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14253.887029125626</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20844</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24522.352941176472</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43677.221049524014</v>
      </c>
      <c r="C10" s="1015">
        <f>SUM(C4:C9)</f>
        <v>0</v>
      </c>
      <c r="D10" s="1015">
        <f t="shared" ref="D10:H10" si="0">SUM(D8:D9)</f>
        <v>0</v>
      </c>
      <c r="E10" s="1015">
        <f t="shared" si="0"/>
        <v>0</v>
      </c>
      <c r="F10" s="1015">
        <f t="shared" si="0"/>
        <v>0</v>
      </c>
      <c r="G10" s="1015">
        <f t="shared" si="0"/>
        <v>0</v>
      </c>
      <c r="H10" s="1015">
        <f t="shared" si="0"/>
        <v>0</v>
      </c>
      <c r="I10" s="1015">
        <f>SUM(I8:I9)</f>
        <v>0</v>
      </c>
      <c r="J10" s="1015">
        <f>SUM(J8:J9)</f>
        <v>24522.352941176472</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0.16353782279437196</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29777.142857142855</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35031.932773109242</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29777.142857142855</v>
      </c>
      <c r="C20" s="1015">
        <f>SUM(C17:C19)</f>
        <v>0</v>
      </c>
      <c r="D20" s="1015">
        <f t="shared" ref="D20:H20" si="2">SUM(D17:D19)</f>
        <v>0</v>
      </c>
      <c r="E20" s="1015">
        <f t="shared" si="2"/>
        <v>0</v>
      </c>
      <c r="F20" s="1015">
        <f t="shared" si="2"/>
        <v>0</v>
      </c>
      <c r="G20" s="1015">
        <f t="shared" si="2"/>
        <v>0</v>
      </c>
      <c r="H20" s="1015">
        <f t="shared" si="2"/>
        <v>0</v>
      </c>
      <c r="I20" s="1015">
        <f>SUM(I17:I19)</f>
        <v>0</v>
      </c>
      <c r="J20" s="1015">
        <f>SUM(J17:J19)</f>
        <v>35031.932773109242</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0.16353782279437196</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0.16353782279437196</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0.16353782279437196</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14413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1454.47</v>
      </c>
      <c r="C14" s="326"/>
      <c r="D14" s="326"/>
      <c r="E14" s="326"/>
      <c r="F14" s="326"/>
    </row>
    <row r="15" spans="1:6">
      <c r="A15" s="1305" t="s">
        <v>177</v>
      </c>
      <c r="B15" s="1306">
        <v>16</v>
      </c>
      <c r="C15" s="326"/>
      <c r="D15" s="326"/>
      <c r="E15" s="326"/>
      <c r="F15" s="326"/>
    </row>
    <row r="16" spans="1:6">
      <c r="A16" s="1305" t="s">
        <v>6</v>
      </c>
      <c r="B16" s="1306">
        <v>506</v>
      </c>
      <c r="C16" s="326"/>
      <c r="D16" s="326"/>
      <c r="E16" s="326"/>
      <c r="F16" s="326"/>
    </row>
    <row r="17" spans="1:6">
      <c r="A17" s="1305" t="s">
        <v>7</v>
      </c>
      <c r="B17" s="1306">
        <v>303</v>
      </c>
      <c r="C17" s="326"/>
      <c r="D17" s="326"/>
      <c r="E17" s="326"/>
      <c r="F17" s="326"/>
    </row>
    <row r="18" spans="1:6">
      <c r="A18" s="1305" t="s">
        <v>8</v>
      </c>
      <c r="B18" s="1306">
        <v>372</v>
      </c>
      <c r="C18" s="326"/>
      <c r="D18" s="326"/>
      <c r="E18" s="326"/>
      <c r="F18" s="326"/>
    </row>
    <row r="19" spans="1:6">
      <c r="A19" s="1305" t="s">
        <v>9</v>
      </c>
      <c r="B19" s="1306">
        <v>365</v>
      </c>
      <c r="C19" s="326"/>
      <c r="D19" s="326"/>
      <c r="E19" s="326"/>
      <c r="F19" s="326"/>
    </row>
    <row r="20" spans="1:6">
      <c r="A20" s="1305" t="s">
        <v>10</v>
      </c>
      <c r="B20" s="1306">
        <v>480</v>
      </c>
      <c r="C20" s="326"/>
      <c r="D20" s="326"/>
      <c r="E20" s="326"/>
      <c r="F20" s="326"/>
    </row>
    <row r="21" spans="1:6">
      <c r="A21" s="1305" t="s">
        <v>11</v>
      </c>
      <c r="B21" s="1306">
        <v>2701</v>
      </c>
      <c r="C21" s="326"/>
      <c r="D21" s="326"/>
      <c r="E21" s="326"/>
      <c r="F21" s="326"/>
    </row>
    <row r="22" spans="1:6">
      <c r="A22" s="1305" t="s">
        <v>12</v>
      </c>
      <c r="B22" s="1306">
        <v>7483</v>
      </c>
      <c r="C22" s="326"/>
      <c r="D22" s="326"/>
      <c r="E22" s="326"/>
      <c r="F22" s="326"/>
    </row>
    <row r="23" spans="1:6">
      <c r="A23" s="1305" t="s">
        <v>13</v>
      </c>
      <c r="B23" s="1306">
        <v>125</v>
      </c>
      <c r="C23" s="326"/>
      <c r="D23" s="326"/>
      <c r="E23" s="326"/>
      <c r="F23" s="326"/>
    </row>
    <row r="24" spans="1:6">
      <c r="A24" s="1305" t="s">
        <v>14</v>
      </c>
      <c r="B24" s="1306">
        <v>4</v>
      </c>
      <c r="C24" s="326"/>
      <c r="D24" s="326"/>
      <c r="E24" s="326"/>
      <c r="F24" s="326"/>
    </row>
    <row r="25" spans="1:6">
      <c r="A25" s="1305" t="s">
        <v>15</v>
      </c>
      <c r="B25" s="1306">
        <v>622</v>
      </c>
      <c r="C25" s="326"/>
      <c r="D25" s="326"/>
      <c r="E25" s="326"/>
      <c r="F25" s="326"/>
    </row>
    <row r="26" spans="1:6">
      <c r="A26" s="1305" t="s">
        <v>16</v>
      </c>
      <c r="B26" s="1306">
        <v>118</v>
      </c>
      <c r="C26" s="326"/>
      <c r="D26" s="326"/>
      <c r="E26" s="326"/>
      <c r="F26" s="326"/>
    </row>
    <row r="27" spans="1:6">
      <c r="A27" s="1305" t="s">
        <v>17</v>
      </c>
      <c r="B27" s="1306">
        <v>4</v>
      </c>
      <c r="C27" s="326"/>
      <c r="D27" s="326"/>
      <c r="E27" s="326"/>
      <c r="F27" s="326"/>
    </row>
    <row r="28" spans="1:6">
      <c r="A28" s="1305" t="s">
        <v>18</v>
      </c>
      <c r="B28" s="1307">
        <v>188156</v>
      </c>
      <c r="C28" s="326"/>
      <c r="D28" s="326"/>
      <c r="E28" s="326"/>
      <c r="F28" s="326"/>
    </row>
    <row r="29" spans="1:6">
      <c r="A29" s="1305" t="s">
        <v>682</v>
      </c>
      <c r="B29" s="1307">
        <v>108</v>
      </c>
      <c r="C29" s="326"/>
      <c r="D29" s="326"/>
      <c r="E29" s="326"/>
      <c r="F29" s="326"/>
    </row>
    <row r="30" spans="1:6">
      <c r="A30" s="1300" t="s">
        <v>683</v>
      </c>
      <c r="B30" s="1308">
        <v>10</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13939.5646031672</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12400</v>
      </c>
      <c r="D39" s="1306">
        <v>160436602.99498799</v>
      </c>
      <c r="E39" s="1306">
        <v>14278</v>
      </c>
      <c r="F39" s="1306">
        <v>41101944.722391099</v>
      </c>
    </row>
    <row r="40" spans="1:6">
      <c r="A40" s="1305" t="s">
        <v>29</v>
      </c>
      <c r="B40" s="1305" t="s">
        <v>28</v>
      </c>
      <c r="C40" s="1306">
        <v>0</v>
      </c>
      <c r="D40" s="1306">
        <v>0</v>
      </c>
      <c r="E40" s="1306">
        <v>0</v>
      </c>
      <c r="F40" s="1306">
        <v>0</v>
      </c>
    </row>
    <row r="41" spans="1:6">
      <c r="A41" s="1305" t="s">
        <v>31</v>
      </c>
      <c r="B41" s="1305" t="s">
        <v>32</v>
      </c>
      <c r="C41" s="1306">
        <v>246</v>
      </c>
      <c r="D41" s="1306">
        <v>12728884.6492169</v>
      </c>
      <c r="E41" s="1306">
        <v>378</v>
      </c>
      <c r="F41" s="1306">
        <v>23313415.120655399</v>
      </c>
    </row>
    <row r="42" spans="1:6">
      <c r="A42" s="1305" t="s">
        <v>31</v>
      </c>
      <c r="B42" s="1305" t="s">
        <v>33</v>
      </c>
      <c r="C42" s="1306">
        <v>4</v>
      </c>
      <c r="D42" s="1306">
        <v>40631671.1707789</v>
      </c>
      <c r="E42" s="1306">
        <v>4</v>
      </c>
      <c r="F42" s="1306">
        <v>9054237.2908439599</v>
      </c>
    </row>
    <row r="43" spans="1:6">
      <c r="A43" s="1305" t="s">
        <v>31</v>
      </c>
      <c r="B43" s="1305" t="s">
        <v>34</v>
      </c>
      <c r="C43" s="1306">
        <v>0</v>
      </c>
      <c r="D43" s="1306">
        <v>0</v>
      </c>
      <c r="E43" s="1306">
        <v>0</v>
      </c>
      <c r="F43" s="1306">
        <v>0</v>
      </c>
    </row>
    <row r="44" spans="1:6">
      <c r="A44" s="1305" t="s">
        <v>31</v>
      </c>
      <c r="B44" s="1305" t="s">
        <v>35</v>
      </c>
      <c r="C44" s="1306">
        <v>26</v>
      </c>
      <c r="D44" s="1306">
        <v>4873190.5672611296</v>
      </c>
      <c r="E44" s="1306">
        <v>55</v>
      </c>
      <c r="F44" s="1306">
        <v>2753871.2832893301</v>
      </c>
    </row>
    <row r="45" spans="1:6">
      <c r="A45" s="1305" t="s">
        <v>31</v>
      </c>
      <c r="B45" s="1305" t="s">
        <v>36</v>
      </c>
      <c r="C45" s="1306">
        <v>0</v>
      </c>
      <c r="D45" s="1306">
        <v>0</v>
      </c>
      <c r="E45" s="1306">
        <v>4</v>
      </c>
      <c r="F45" s="1306">
        <v>593841.42597731401</v>
      </c>
    </row>
    <row r="46" spans="1:6">
      <c r="A46" s="1305" t="s">
        <v>31</v>
      </c>
      <c r="B46" s="1305" t="s">
        <v>37</v>
      </c>
      <c r="C46" s="1306">
        <v>0</v>
      </c>
      <c r="D46" s="1306">
        <v>0</v>
      </c>
      <c r="E46" s="1306">
        <v>0</v>
      </c>
      <c r="F46" s="1306">
        <v>0</v>
      </c>
    </row>
    <row r="47" spans="1:6">
      <c r="A47" s="1305" t="s">
        <v>31</v>
      </c>
      <c r="B47" s="1305" t="s">
        <v>38</v>
      </c>
      <c r="C47" s="1306">
        <v>5</v>
      </c>
      <c r="D47" s="1306">
        <v>79673.110867212599</v>
      </c>
      <c r="E47" s="1306">
        <v>5</v>
      </c>
      <c r="F47" s="1306">
        <v>44355.322936578399</v>
      </c>
    </row>
    <row r="48" spans="1:6">
      <c r="A48" s="1305" t="s">
        <v>31</v>
      </c>
      <c r="B48" s="1305" t="s">
        <v>28</v>
      </c>
      <c r="C48" s="1306">
        <v>2</v>
      </c>
      <c r="D48" s="1306">
        <v>288937.094866717</v>
      </c>
      <c r="E48" s="1306">
        <v>2</v>
      </c>
      <c r="F48" s="1306">
        <v>10623.6274200156</v>
      </c>
    </row>
    <row r="49" spans="1:6">
      <c r="A49" s="1305" t="s">
        <v>31</v>
      </c>
      <c r="B49" s="1305" t="s">
        <v>39</v>
      </c>
      <c r="C49" s="1306">
        <v>11</v>
      </c>
      <c r="D49" s="1306">
        <v>1006011.7360398</v>
      </c>
      <c r="E49" s="1306">
        <v>23</v>
      </c>
      <c r="F49" s="1306">
        <v>1856143.5076954199</v>
      </c>
    </row>
    <row r="50" spans="1:6">
      <c r="A50" s="1305" t="s">
        <v>31</v>
      </c>
      <c r="B50" s="1305" t="s">
        <v>40</v>
      </c>
      <c r="C50" s="1306">
        <v>99</v>
      </c>
      <c r="D50" s="1306">
        <v>13956939.590950901</v>
      </c>
      <c r="E50" s="1306">
        <v>170</v>
      </c>
      <c r="F50" s="1306">
        <v>9836916.9261112008</v>
      </c>
    </row>
    <row r="51" spans="1:6">
      <c r="A51" s="1305" t="s">
        <v>41</v>
      </c>
      <c r="B51" s="1305" t="s">
        <v>42</v>
      </c>
      <c r="C51" s="1306">
        <v>18</v>
      </c>
      <c r="D51" s="1306">
        <v>552345.20122295199</v>
      </c>
      <c r="E51" s="1306">
        <v>76</v>
      </c>
      <c r="F51" s="1306">
        <v>1209889.22650425</v>
      </c>
    </row>
    <row r="52" spans="1:6">
      <c r="A52" s="1305" t="s">
        <v>41</v>
      </c>
      <c r="B52" s="1305" t="s">
        <v>28</v>
      </c>
      <c r="C52" s="1306">
        <v>0</v>
      </c>
      <c r="D52" s="1306">
        <v>0</v>
      </c>
      <c r="E52" s="1306">
        <v>0</v>
      </c>
      <c r="F52" s="1306">
        <v>0</v>
      </c>
    </row>
    <row r="53" spans="1:6">
      <c r="A53" s="1305" t="s">
        <v>43</v>
      </c>
      <c r="B53" s="1305" t="s">
        <v>44</v>
      </c>
      <c r="C53" s="1306">
        <v>290</v>
      </c>
      <c r="D53" s="1306">
        <v>4260314.2669273196</v>
      </c>
      <c r="E53" s="1306">
        <v>494</v>
      </c>
      <c r="F53" s="1306">
        <v>1410387.40288167</v>
      </c>
    </row>
    <row r="54" spans="1:6">
      <c r="A54" s="1305" t="s">
        <v>45</v>
      </c>
      <c r="B54" s="1305" t="s">
        <v>46</v>
      </c>
      <c r="C54" s="1306">
        <v>0</v>
      </c>
      <c r="D54" s="1306">
        <v>0</v>
      </c>
      <c r="E54" s="1306">
        <v>1</v>
      </c>
      <c r="F54" s="1306">
        <v>2112734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127</v>
      </c>
      <c r="D57" s="1306">
        <v>5793190.3269492798</v>
      </c>
      <c r="E57" s="1306">
        <v>197</v>
      </c>
      <c r="F57" s="1306">
        <v>6369627.1427818602</v>
      </c>
    </row>
    <row r="58" spans="1:6">
      <c r="A58" s="1305" t="s">
        <v>48</v>
      </c>
      <c r="B58" s="1305" t="s">
        <v>50</v>
      </c>
      <c r="C58" s="1306">
        <v>151</v>
      </c>
      <c r="D58" s="1306">
        <v>14067777.351662099</v>
      </c>
      <c r="E58" s="1306">
        <v>176</v>
      </c>
      <c r="F58" s="1306">
        <v>7081834.1379711097</v>
      </c>
    </row>
    <row r="59" spans="1:6">
      <c r="A59" s="1305" t="s">
        <v>48</v>
      </c>
      <c r="B59" s="1305" t="s">
        <v>51</v>
      </c>
      <c r="C59" s="1306">
        <v>402</v>
      </c>
      <c r="D59" s="1306">
        <v>11646755.140152</v>
      </c>
      <c r="E59" s="1306">
        <v>583</v>
      </c>
      <c r="F59" s="1306">
        <v>14787342.3763211</v>
      </c>
    </row>
    <row r="60" spans="1:6">
      <c r="A60" s="1305" t="s">
        <v>48</v>
      </c>
      <c r="B60" s="1305" t="s">
        <v>52</v>
      </c>
      <c r="C60" s="1306">
        <v>152</v>
      </c>
      <c r="D60" s="1306">
        <v>5415000.4205896398</v>
      </c>
      <c r="E60" s="1306">
        <v>169</v>
      </c>
      <c r="F60" s="1306">
        <v>3108701.4773586602</v>
      </c>
    </row>
    <row r="61" spans="1:6">
      <c r="A61" s="1305" t="s">
        <v>48</v>
      </c>
      <c r="B61" s="1305" t="s">
        <v>53</v>
      </c>
      <c r="C61" s="1306">
        <v>378</v>
      </c>
      <c r="D61" s="1306">
        <v>7633411.2062424198</v>
      </c>
      <c r="E61" s="1306">
        <v>645</v>
      </c>
      <c r="F61" s="1306">
        <v>14296235.6740066</v>
      </c>
    </row>
    <row r="62" spans="1:6">
      <c r="A62" s="1305" t="s">
        <v>48</v>
      </c>
      <c r="B62" s="1305" t="s">
        <v>54</v>
      </c>
      <c r="C62" s="1306">
        <v>33</v>
      </c>
      <c r="D62" s="1306">
        <v>3889357.2107327702</v>
      </c>
      <c r="E62" s="1306">
        <v>36</v>
      </c>
      <c r="F62" s="1306">
        <v>1192688.61057794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53731.298491350601</v>
      </c>
      <c r="E65" s="1306">
        <v>1</v>
      </c>
      <c r="F65" s="1306">
        <v>3002.5328282004002</v>
      </c>
    </row>
    <row r="66" spans="1:6">
      <c r="A66" s="1305" t="s">
        <v>55</v>
      </c>
      <c r="B66" s="1305" t="s">
        <v>57</v>
      </c>
      <c r="C66" s="1306">
        <v>0</v>
      </c>
      <c r="D66" s="1306">
        <v>0</v>
      </c>
      <c r="E66" s="1306">
        <v>16</v>
      </c>
      <c r="F66" s="1306">
        <v>701704.84281067702</v>
      </c>
    </row>
    <row r="67" spans="1:6">
      <c r="A67" s="1305" t="s">
        <v>55</v>
      </c>
      <c r="B67" s="1305" t="s">
        <v>58</v>
      </c>
      <c r="C67" s="1306">
        <v>0</v>
      </c>
      <c r="D67" s="1306">
        <v>0</v>
      </c>
      <c r="E67" s="1306">
        <v>0</v>
      </c>
      <c r="F67" s="1306">
        <v>0</v>
      </c>
    </row>
    <row r="68" spans="1:6">
      <c r="A68" s="1300" t="s">
        <v>55</v>
      </c>
      <c r="B68" s="1300" t="s">
        <v>59</v>
      </c>
      <c r="C68" s="1308">
        <v>21</v>
      </c>
      <c r="D68" s="1308">
        <v>741619.64175963402</v>
      </c>
      <c r="E68" s="1308">
        <v>40</v>
      </c>
      <c r="F68" s="1308">
        <v>1295483.37055271</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90536437</v>
      </c>
      <c r="E73" s="445"/>
      <c r="F73" s="326"/>
    </row>
    <row r="74" spans="1:6">
      <c r="A74" s="1305" t="s">
        <v>63</v>
      </c>
      <c r="B74" s="1305" t="s">
        <v>633</v>
      </c>
      <c r="C74" s="1318" t="s">
        <v>635</v>
      </c>
      <c r="D74" s="1306">
        <v>6978856.7158777304</v>
      </c>
      <c r="E74" s="445"/>
      <c r="F74" s="326"/>
    </row>
    <row r="75" spans="1:6">
      <c r="A75" s="1305" t="s">
        <v>64</v>
      </c>
      <c r="B75" s="1305" t="s">
        <v>632</v>
      </c>
      <c r="C75" s="1318" t="s">
        <v>636</v>
      </c>
      <c r="D75" s="1306">
        <v>29053965</v>
      </c>
      <c r="E75" s="445"/>
      <c r="F75" s="326"/>
    </row>
    <row r="76" spans="1:6">
      <c r="A76" s="1305" t="s">
        <v>64</v>
      </c>
      <c r="B76" s="1305" t="s">
        <v>633</v>
      </c>
      <c r="C76" s="1318" t="s">
        <v>637</v>
      </c>
      <c r="D76" s="1306">
        <v>1067186.7158777304</v>
      </c>
      <c r="E76" s="445"/>
      <c r="F76" s="326"/>
    </row>
    <row r="77" spans="1:6">
      <c r="A77" s="1305" t="s">
        <v>65</v>
      </c>
      <c r="B77" s="1305" t="s">
        <v>632</v>
      </c>
      <c r="C77" s="1318" t="s">
        <v>638</v>
      </c>
      <c r="D77" s="1306">
        <v>76363703</v>
      </c>
      <c r="E77" s="445"/>
      <c r="F77" s="326"/>
    </row>
    <row r="78" spans="1:6">
      <c r="A78" s="1300" t="s">
        <v>65</v>
      </c>
      <c r="B78" s="1300" t="s">
        <v>633</v>
      </c>
      <c r="C78" s="1300" t="s">
        <v>639</v>
      </c>
      <c r="D78" s="1308">
        <v>16910210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604102.56824453897</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8579.3340203983898</v>
      </c>
      <c r="C90" s="326"/>
      <c r="D90" s="326"/>
      <c r="E90" s="326"/>
      <c r="F90" s="326"/>
    </row>
    <row r="91" spans="1:6">
      <c r="A91" s="1305" t="s">
        <v>67</v>
      </c>
      <c r="B91" s="1306">
        <v>6664.1968088063695</v>
      </c>
      <c r="C91" s="326"/>
      <c r="D91" s="326"/>
      <c r="E91" s="326"/>
      <c r="F91" s="326"/>
    </row>
    <row r="92" spans="1:6">
      <c r="A92" s="1300" t="s">
        <v>68</v>
      </c>
      <c r="B92" s="1301">
        <v>7589.6902203192567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9352</v>
      </c>
      <c r="C97" s="326"/>
      <c r="D97" s="326"/>
      <c r="E97" s="326"/>
      <c r="F97" s="326"/>
    </row>
    <row r="98" spans="1:6">
      <c r="A98" s="1305" t="s">
        <v>71</v>
      </c>
      <c r="B98" s="1306">
        <v>4</v>
      </c>
      <c r="C98" s="326"/>
      <c r="D98" s="326"/>
      <c r="E98" s="326"/>
      <c r="F98" s="326"/>
    </row>
    <row r="99" spans="1:6">
      <c r="A99" s="1305" t="s">
        <v>72</v>
      </c>
      <c r="B99" s="1306">
        <v>84</v>
      </c>
      <c r="C99" s="326"/>
      <c r="D99" s="326"/>
      <c r="E99" s="326"/>
      <c r="F99" s="326"/>
    </row>
    <row r="100" spans="1:6">
      <c r="A100" s="1305" t="s">
        <v>73</v>
      </c>
      <c r="B100" s="1306">
        <v>634</v>
      </c>
      <c r="C100" s="326"/>
      <c r="D100" s="326"/>
      <c r="E100" s="326"/>
      <c r="F100" s="326"/>
    </row>
    <row r="101" spans="1:6">
      <c r="A101" s="1305" t="s">
        <v>74</v>
      </c>
      <c r="B101" s="1306">
        <v>133</v>
      </c>
      <c r="C101" s="326"/>
      <c r="D101" s="326"/>
      <c r="E101" s="326"/>
      <c r="F101" s="326"/>
    </row>
    <row r="102" spans="1:6">
      <c r="A102" s="1305" t="s">
        <v>75</v>
      </c>
      <c r="B102" s="1306">
        <v>247</v>
      </c>
      <c r="C102" s="326"/>
      <c r="D102" s="326"/>
      <c r="E102" s="326"/>
      <c r="F102" s="326"/>
    </row>
    <row r="103" spans="1:6">
      <c r="A103" s="1305" t="s">
        <v>76</v>
      </c>
      <c r="B103" s="1306">
        <v>504</v>
      </c>
      <c r="C103" s="326"/>
      <c r="D103" s="326"/>
      <c r="E103" s="326"/>
      <c r="F103" s="326"/>
    </row>
    <row r="104" spans="1:6">
      <c r="A104" s="1305" t="s">
        <v>77</v>
      </c>
      <c r="B104" s="1306">
        <v>2008</v>
      </c>
      <c r="C104" s="326"/>
      <c r="D104" s="326"/>
      <c r="E104" s="326"/>
      <c r="F104" s="326"/>
    </row>
    <row r="105" spans="1:6">
      <c r="A105" s="1300" t="s">
        <v>78</v>
      </c>
      <c r="B105" s="1308">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19</v>
      </c>
      <c r="C123" s="1306">
        <v>23</v>
      </c>
      <c r="D123" s="326"/>
      <c r="E123" s="326"/>
      <c r="F123" s="326"/>
    </row>
    <row r="124" spans="1:6">
      <c r="A124" s="1305" t="s">
        <v>88</v>
      </c>
      <c r="B124" s="1306">
        <v>2</v>
      </c>
      <c r="C124" s="1306">
        <v>2</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227</v>
      </c>
      <c r="C129" s="326"/>
      <c r="D129" s="326"/>
      <c r="E129" s="326"/>
      <c r="F129" s="326"/>
    </row>
    <row r="130" spans="1:6">
      <c r="A130" s="1305" t="s">
        <v>284</v>
      </c>
      <c r="B130" s="1306">
        <v>3</v>
      </c>
      <c r="C130" s="326"/>
      <c r="D130" s="326"/>
      <c r="E130" s="326"/>
      <c r="F130" s="326"/>
    </row>
    <row r="131" spans="1:6">
      <c r="A131" s="1305" t="s">
        <v>285</v>
      </c>
      <c r="B131" s="1306">
        <v>2</v>
      </c>
      <c r="C131" s="326"/>
      <c r="D131" s="326"/>
      <c r="E131" s="326"/>
      <c r="F131" s="326"/>
    </row>
    <row r="132" spans="1:6">
      <c r="A132" s="1300" t="s">
        <v>286</v>
      </c>
      <c r="B132" s="1301">
        <v>14</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167982.94671994066</v>
      </c>
      <c r="C3" s="43" t="s">
        <v>163</v>
      </c>
      <c r="D3" s="43"/>
      <c r="E3" s="154"/>
      <c r="F3" s="43"/>
      <c r="G3" s="43"/>
      <c r="H3" s="43"/>
      <c r="I3" s="43"/>
      <c r="J3" s="43"/>
      <c r="K3" s="96"/>
    </row>
    <row r="4" spans="1:11">
      <c r="A4" s="352" t="s">
        <v>164</v>
      </c>
      <c r="B4" s="49">
        <f>IF(ISERROR('SEAP template'!B78+'SEAP template'!C78),0,'SEAP template'!B78+'SEAP template'!C78)</f>
        <v>43677.221049524014</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0.16353782279437196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29777.142857142855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2112.7339999999999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2112.7339999999999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0.16353782279437196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345.51191850364461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41101.944722391097</v>
      </c>
      <c r="C5" s="17">
        <f>IF(ISERROR('Eigen informatie GS &amp; warmtenet'!B59),0,'Eigen informatie GS &amp; warmtenet'!B59)</f>
        <v>0</v>
      </c>
      <c r="D5" s="30">
        <f>(SUM(HH_hh_gas_kWh,HH_rest_gas_kWh)/1000)*0.903</f>
        <v>144874.25250447416</v>
      </c>
      <c r="E5" s="17">
        <f>B32*B41</f>
        <v>1613.4094301493601</v>
      </c>
      <c r="F5" s="17">
        <f>B36*B45</f>
        <v>36646.789164328162</v>
      </c>
      <c r="G5" s="18"/>
      <c r="H5" s="17"/>
      <c r="I5" s="17"/>
      <c r="J5" s="17">
        <f>B35*B44+C35*C44</f>
        <v>183.33770316590585</v>
      </c>
      <c r="K5" s="17"/>
      <c r="L5" s="17"/>
      <c r="M5" s="17"/>
      <c r="N5" s="17">
        <f>B34*B43+C34*C43</f>
        <v>18235.024802291424</v>
      </c>
      <c r="O5" s="17">
        <f>B52*B53*B54</f>
        <v>499.95747128553205</v>
      </c>
      <c r="P5" s="17">
        <f>B60*B61*B62/1000-B60*B61*B62/1000/B63</f>
        <v>368.6885757689758</v>
      </c>
    </row>
    <row r="6" spans="1:16">
      <c r="A6" s="16" t="s">
        <v>598</v>
      </c>
      <c r="B6" s="777">
        <f>kWh_PV_kleiner_dan_10kW</f>
        <v>6664.1968088063695</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47766.141531197471</v>
      </c>
      <c r="C8" s="21">
        <f>C5</f>
        <v>0</v>
      </c>
      <c r="D8" s="21">
        <f>D5</f>
        <v>144874.25250447416</v>
      </c>
      <c r="E8" s="21">
        <f>E5</f>
        <v>1613.4094301493601</v>
      </c>
      <c r="F8" s="21">
        <f>F5</f>
        <v>36646.789164328162</v>
      </c>
      <c r="G8" s="21"/>
      <c r="H8" s="21"/>
      <c r="I8" s="21"/>
      <c r="J8" s="21">
        <f>J5</f>
        <v>183.33770316590585</v>
      </c>
      <c r="K8" s="21"/>
      <c r="L8" s="21">
        <f>L5</f>
        <v>0</v>
      </c>
      <c r="M8" s="21">
        <f>M5</f>
        <v>0</v>
      </c>
      <c r="N8" s="21">
        <f>N5</f>
        <v>18235.024802291424</v>
      </c>
      <c r="O8" s="21">
        <f>O5</f>
        <v>499.95747128553205</v>
      </c>
      <c r="P8" s="21">
        <f>P5</f>
        <v>368.6885757689758</v>
      </c>
    </row>
    <row r="9" spans="1:16">
      <c r="B9" s="19"/>
      <c r="C9" s="19"/>
      <c r="D9" s="254"/>
      <c r="E9" s="19"/>
      <c r="F9" s="19"/>
      <c r="G9" s="19"/>
      <c r="H9" s="19"/>
      <c r="I9" s="19"/>
      <c r="J9" s="19"/>
      <c r="K9" s="19"/>
      <c r="L9" s="19"/>
      <c r="M9" s="19"/>
      <c r="N9" s="19"/>
      <c r="O9" s="19"/>
      <c r="P9" s="19"/>
    </row>
    <row r="10" spans="1:16">
      <c r="A10" s="24" t="s">
        <v>207</v>
      </c>
      <c r="B10" s="25">
        <f ca="1">'EF ele_warmte'!B12</f>
        <v>0.16353782279437196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7811.5707892998626</v>
      </c>
      <c r="C12" s="23">
        <f ca="1">C10*C8</f>
        <v>0</v>
      </c>
      <c r="D12" s="23">
        <f>D8*D10</f>
        <v>29264.599005903783</v>
      </c>
      <c r="E12" s="23">
        <f>E10*E8</f>
        <v>366.24394064390475</v>
      </c>
      <c r="F12" s="23">
        <f>F10*F8</f>
        <v>9784.6927068756195</v>
      </c>
      <c r="G12" s="23"/>
      <c r="H12" s="23"/>
      <c r="I12" s="23"/>
      <c r="J12" s="23">
        <f>J10*J8</f>
        <v>64.901546920730667</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14413</v>
      </c>
      <c r="C26" s="36"/>
      <c r="D26" s="225"/>
    </row>
    <row r="27" spans="1:5" s="15" customFormat="1">
      <c r="A27" s="227" t="s">
        <v>811</v>
      </c>
      <c r="B27" s="37">
        <f>SUM(HH_hh_gas_aantal,HH_rest_gas_aantal)</f>
        <v>12400</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11780</v>
      </c>
      <c r="C31" s="34" t="s">
        <v>104</v>
      </c>
      <c r="D31" s="171"/>
    </row>
    <row r="32" spans="1:5">
      <c r="A32" s="168" t="s">
        <v>72</v>
      </c>
      <c r="B32" s="33">
        <f>IF((B21*($B$26-($B$27-0.05*$B$27)-$B$60))&lt;0,0,B21*($B$26-($B$27-0.05*$B$27)-$B$60))</f>
        <v>39.986750724766665</v>
      </c>
      <c r="C32" s="34" t="s">
        <v>104</v>
      </c>
      <c r="D32" s="171"/>
    </row>
    <row r="33" spans="1:6">
      <c r="A33" s="168" t="s">
        <v>73</v>
      </c>
      <c r="B33" s="33">
        <f>IF((B22*($B$26-($B$27-0.05*$B$27)-$B$60))&lt;0,0,B22*($B$26-($B$27-0.05*$B$27)-$B$60))</f>
        <v>649.30563714116886</v>
      </c>
      <c r="C33" s="34" t="s">
        <v>104</v>
      </c>
      <c r="D33" s="171"/>
    </row>
    <row r="34" spans="1:6">
      <c r="A34" s="168" t="s">
        <v>74</v>
      </c>
      <c r="B34" s="33">
        <f>IF((B24*($B$26-($B$27-0.05*$B$27)-$B$60))&lt;0,0,B24*($B$26-($B$27-0.05*$B$27)-$B$60))</f>
        <v>124.3733044038748</v>
      </c>
      <c r="C34" s="33">
        <f>B26*C24</f>
        <v>2951.4062225985158</v>
      </c>
      <c r="D34" s="230"/>
    </row>
    <row r="35" spans="1:6">
      <c r="A35" s="168" t="s">
        <v>76</v>
      </c>
      <c r="B35" s="33">
        <f>IF((B19*($B$26-($B$27-0.05*$B$27)-$B$60))&lt;0,0,B19*($B$26-($B$27-0.05*$B$27)-$B$60))</f>
        <v>17.382145209032998</v>
      </c>
      <c r="C35" s="33">
        <f>B35/2</f>
        <v>8.6910726045164992</v>
      </c>
      <c r="D35" s="230"/>
    </row>
    <row r="36" spans="1:6">
      <c r="A36" s="168" t="s">
        <v>77</v>
      </c>
      <c r="B36" s="33">
        <f>IF((B18*($B$26-($B$27-0.05*$B$27)-$B$60))&lt;0,0,B18*($B$26-($B$27-0.05*$B$27)-$B$60))</f>
        <v>1766.952162521156</v>
      </c>
      <c r="C36" s="34" t="s">
        <v>104</v>
      </c>
      <c r="D36" s="171"/>
    </row>
    <row r="37" spans="1:6">
      <c r="A37" s="168" t="s">
        <v>78</v>
      </c>
      <c r="B37" s="33">
        <f>B60</f>
        <v>35</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252</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35</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46836.429419017273</v>
      </c>
      <c r="C5" s="17">
        <f>IF(ISERROR('Eigen informatie GS &amp; warmtenet'!B60),0,'Eigen informatie GS &amp; warmtenet'!B60)</f>
        <v>0</v>
      </c>
      <c r="D5" s="30">
        <f>SUM(D6:D12)</f>
        <v>43746.278965664373</v>
      </c>
      <c r="E5" s="17">
        <f>SUM(E6:E12)</f>
        <v>146.62158489183952</v>
      </c>
      <c r="F5" s="17">
        <f>SUM(F6:F12)</f>
        <v>7763.2146626166741</v>
      </c>
      <c r="G5" s="18"/>
      <c r="H5" s="17"/>
      <c r="I5" s="17"/>
      <c r="J5" s="17">
        <f>SUM(J6:J12)</f>
        <v>6.2905291811474237E-2</v>
      </c>
      <c r="K5" s="17"/>
      <c r="L5" s="17"/>
      <c r="M5" s="17"/>
      <c r="N5" s="17">
        <f>SUM(N6:N12)</f>
        <v>2342.5162606283079</v>
      </c>
      <c r="O5" s="17">
        <f>B38*B39*B40</f>
        <v>14.691782297523464</v>
      </c>
      <c r="P5" s="17">
        <f>B46*B47*B48/1000-B46*B47*B48/1000/B49</f>
        <v>105.07827661299004</v>
      </c>
      <c r="R5" s="32"/>
    </row>
    <row r="6" spans="1:18">
      <c r="A6" s="32" t="s">
        <v>53</v>
      </c>
      <c r="B6" s="37">
        <f>B26</f>
        <v>14296.235674006601</v>
      </c>
      <c r="C6" s="33"/>
      <c r="D6" s="37">
        <f>IF(ISERROR(TER_kantoor_gas_kWh/1000),0,TER_kantoor_gas_kWh/1000)*0.903</f>
        <v>6892.9703192369052</v>
      </c>
      <c r="E6" s="33">
        <f>$C$26*'E Balans VL '!I12/100/3.6*1000000</f>
        <v>3.4250382514163569</v>
      </c>
      <c r="F6" s="33">
        <f>$C$26*('E Balans VL '!L12+'E Balans VL '!N12)/100/3.6*1000000</f>
        <v>1355.6952375886781</v>
      </c>
      <c r="G6" s="34"/>
      <c r="H6" s="33"/>
      <c r="I6" s="33"/>
      <c r="J6" s="33">
        <f>$C$26*('E Balans VL '!D12+'E Balans VL '!E12)/100/3.6*1000000</f>
        <v>0</v>
      </c>
      <c r="K6" s="33"/>
      <c r="L6" s="33"/>
      <c r="M6" s="33"/>
      <c r="N6" s="33">
        <f>$C$26*'E Balans VL '!Y12/100/3.6*1000000</f>
        <v>7.2617482682499039</v>
      </c>
      <c r="O6" s="33"/>
      <c r="P6" s="33"/>
      <c r="R6" s="32"/>
    </row>
    <row r="7" spans="1:18">
      <c r="A7" s="32" t="s">
        <v>52</v>
      </c>
      <c r="B7" s="37">
        <f t="shared" ref="B7:B12" si="0">B27</f>
        <v>3108.7014773586602</v>
      </c>
      <c r="C7" s="33"/>
      <c r="D7" s="37">
        <f>IF(ISERROR(TER_horeca_gas_kWh/1000),0,TER_horeca_gas_kWh/1000)*0.903</f>
        <v>4889.7453797924445</v>
      </c>
      <c r="E7" s="33">
        <f>$C$27*'E Balans VL '!I9/100/3.6*1000000</f>
        <v>0</v>
      </c>
      <c r="F7" s="33">
        <f>$C$27*('E Balans VL '!L9+'E Balans VL '!N9)/100/3.6*1000000</f>
        <v>254.90621355211556</v>
      </c>
      <c r="G7" s="34"/>
      <c r="H7" s="33"/>
      <c r="I7" s="33"/>
      <c r="J7" s="33">
        <f>$C$27*('E Balans VL '!D9+'E Balans VL '!E9)/100/3.6*1000000</f>
        <v>0</v>
      </c>
      <c r="K7" s="33"/>
      <c r="L7" s="33"/>
      <c r="M7" s="33"/>
      <c r="N7" s="33">
        <f>$C$27*'E Balans VL '!Y9/100/3.6*1000000</f>
        <v>0.95294190127652578</v>
      </c>
      <c r="O7" s="33"/>
      <c r="P7" s="33"/>
      <c r="R7" s="32"/>
    </row>
    <row r="8" spans="1:18">
      <c r="A8" s="6" t="s">
        <v>51</v>
      </c>
      <c r="B8" s="37">
        <f t="shared" si="0"/>
        <v>14787.342376321099</v>
      </c>
      <c r="C8" s="33"/>
      <c r="D8" s="37">
        <f>IF(ISERROR(TER_handel_gas_kWh/1000),0,TER_handel_gas_kWh/1000)*0.903</f>
        <v>10517.019891557256</v>
      </c>
      <c r="E8" s="33">
        <f>$C$28*'E Balans VL '!I13/100/3.6*1000000</f>
        <v>51.969426384917448</v>
      </c>
      <c r="F8" s="33">
        <f>$C$28*('E Balans VL '!L13+'E Balans VL '!N13)/100/3.6*1000000</f>
        <v>1353.0152718448091</v>
      </c>
      <c r="G8" s="34"/>
      <c r="H8" s="33"/>
      <c r="I8" s="33"/>
      <c r="J8" s="33">
        <f>$C$28*('E Balans VL '!D13+'E Balans VL '!E13)/100/3.6*1000000</f>
        <v>0</v>
      </c>
      <c r="K8" s="33"/>
      <c r="L8" s="33"/>
      <c r="M8" s="33"/>
      <c r="N8" s="33">
        <f>$C$28*'E Balans VL '!Y13/100/3.6*1000000</f>
        <v>5.3553387897889699</v>
      </c>
      <c r="O8" s="33"/>
      <c r="P8" s="33"/>
      <c r="R8" s="32"/>
    </row>
    <row r="9" spans="1:18">
      <c r="A9" s="32" t="s">
        <v>50</v>
      </c>
      <c r="B9" s="37">
        <f t="shared" si="0"/>
        <v>7081.8341379711101</v>
      </c>
      <c r="C9" s="33"/>
      <c r="D9" s="37">
        <f>IF(ISERROR(TER_gezond_gas_kWh/1000),0,TER_gezond_gas_kWh/1000)*0.903</f>
        <v>12703.202948550877</v>
      </c>
      <c r="E9" s="33">
        <f>$C$29*'E Balans VL '!I10/100/3.6*1000000</f>
        <v>0</v>
      </c>
      <c r="F9" s="33">
        <f>$C$29*('E Balans VL '!L10+'E Balans VL '!N10)/100/3.6*1000000</f>
        <v>868.10282196125684</v>
      </c>
      <c r="G9" s="34"/>
      <c r="H9" s="33"/>
      <c r="I9" s="33"/>
      <c r="J9" s="33">
        <f>$C$29*('E Balans VL '!D10+'E Balans VL '!E10)/100/3.6*1000000</f>
        <v>0</v>
      </c>
      <c r="K9" s="33"/>
      <c r="L9" s="33"/>
      <c r="M9" s="33"/>
      <c r="N9" s="33">
        <f>$C$29*'E Balans VL '!Y10/100/3.6*1000000</f>
        <v>52.223591757174901</v>
      </c>
      <c r="O9" s="33"/>
      <c r="P9" s="33"/>
      <c r="R9" s="32"/>
    </row>
    <row r="10" spans="1:18">
      <c r="A10" s="32" t="s">
        <v>49</v>
      </c>
      <c r="B10" s="37">
        <f t="shared" si="0"/>
        <v>6369.6271427818601</v>
      </c>
      <c r="C10" s="33"/>
      <c r="D10" s="37">
        <f>IF(ISERROR(TER_ander_gas_kWh/1000),0,TER_ander_gas_kWh/1000)*0.903</f>
        <v>5231.2508652351999</v>
      </c>
      <c r="E10" s="33">
        <f>$C$30*'E Balans VL '!I14/100/3.6*1000000</f>
        <v>91.227120255505724</v>
      </c>
      <c r="F10" s="33">
        <f>$C$30*('E Balans VL '!L14+'E Balans VL '!N14)/100/3.6*1000000</f>
        <v>3792.0556160649512</v>
      </c>
      <c r="G10" s="34"/>
      <c r="H10" s="33"/>
      <c r="I10" s="33"/>
      <c r="J10" s="33">
        <f>$C$30*('E Balans VL '!D14+'E Balans VL '!E14)/100/3.6*1000000</f>
        <v>6.2905291811474237E-2</v>
      </c>
      <c r="K10" s="33"/>
      <c r="L10" s="33"/>
      <c r="M10" s="33"/>
      <c r="N10" s="33">
        <f>$C$30*'E Balans VL '!Y14/100/3.6*1000000</f>
        <v>2273.364165742315</v>
      </c>
      <c r="O10" s="33"/>
      <c r="P10" s="33"/>
      <c r="R10" s="32"/>
    </row>
    <row r="11" spans="1:18">
      <c r="A11" s="32" t="s">
        <v>54</v>
      </c>
      <c r="B11" s="37">
        <f t="shared" si="0"/>
        <v>1192.6886105779399</v>
      </c>
      <c r="C11" s="33"/>
      <c r="D11" s="37">
        <f>IF(ISERROR(TER_onderwijs_gas_kWh/1000),0,TER_onderwijs_gas_kWh/1000)*0.903</f>
        <v>3512.0895612916916</v>
      </c>
      <c r="E11" s="33">
        <f>$C$31*'E Balans VL '!I11/100/3.6*1000000</f>
        <v>0</v>
      </c>
      <c r="F11" s="33">
        <f>$C$31*('E Balans VL '!L11+'E Balans VL '!N11)/100/3.6*1000000</f>
        <v>139.43950160486389</v>
      </c>
      <c r="G11" s="34"/>
      <c r="H11" s="33"/>
      <c r="I11" s="33"/>
      <c r="J11" s="33">
        <f>$C$31*('E Balans VL '!D11+'E Balans VL '!E11)/100/3.6*1000000</f>
        <v>0</v>
      </c>
      <c r="K11" s="33"/>
      <c r="L11" s="33"/>
      <c r="M11" s="33"/>
      <c r="N11" s="33">
        <f>$C$31*'E Balans VL '!Y11/100/3.6*1000000</f>
        <v>3.3584741695024776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20844</v>
      </c>
      <c r="C13" s="243">
        <f ca="1">'lokale energieproductie'!O39+'lokale energieproductie'!O32</f>
        <v>29777.142857142855</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-59554.28571428571</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67680.42941901728</v>
      </c>
      <c r="C16" s="21">
        <f t="shared" ca="1" si="1"/>
        <v>29777.142857142855</v>
      </c>
      <c r="D16" s="21">
        <f t="shared" ca="1" si="1"/>
        <v>43746.278965664373</v>
      </c>
      <c r="E16" s="21">
        <f t="shared" si="1"/>
        <v>146.62158489183952</v>
      </c>
      <c r="F16" s="21">
        <f t="shared" ca="1" si="1"/>
        <v>7763.2146626166741</v>
      </c>
      <c r="G16" s="21">
        <f t="shared" si="1"/>
        <v>0</v>
      </c>
      <c r="H16" s="21">
        <f t="shared" si="1"/>
        <v>0</v>
      </c>
      <c r="I16" s="21">
        <f t="shared" si="1"/>
        <v>0</v>
      </c>
      <c r="J16" s="21">
        <f t="shared" si="1"/>
        <v>6.2905291811474237E-2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0.16353782279437196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11068.310072974247</v>
      </c>
      <c r="C20" s="23">
        <f t="shared" ref="C20:P20" ca="1" si="2">C16*C18</f>
        <v>0</v>
      </c>
      <c r="D20" s="23">
        <f t="shared" ca="1" si="2"/>
        <v>8836.7483510642032</v>
      </c>
      <c r="E20" s="23">
        <f t="shared" si="2"/>
        <v>33.283099770447571</v>
      </c>
      <c r="F20" s="23">
        <f t="shared" ca="1" si="2"/>
        <v>2072.7783149186521</v>
      </c>
      <c r="G20" s="23">
        <f t="shared" si="2"/>
        <v>0</v>
      </c>
      <c r="H20" s="23">
        <f t="shared" si="2"/>
        <v>0</v>
      </c>
      <c r="I20" s="23">
        <f t="shared" si="2"/>
        <v>0</v>
      </c>
      <c r="J20" s="23">
        <f t="shared" si="2"/>
        <v>2.226847330126188E-2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14296.235674006601</v>
      </c>
      <c r="C26" s="39">
        <f>IF(ISERROR(B26*3.6/1000000/'E Balans VL '!Z12*100),0,B26*3.6/1000000/'E Balans VL '!Z12*100)</f>
        <v>0.40319170435582591</v>
      </c>
      <c r="D26" s="233" t="s">
        <v>685</v>
      </c>
      <c r="F26" s="6"/>
    </row>
    <row r="27" spans="1:18">
      <c r="A27" s="228" t="s">
        <v>52</v>
      </c>
      <c r="B27" s="33">
        <f>IF(ISERROR(TER_horeca_ele_kWh/1000),0,TER_horeca_ele_kWh/1000)</f>
        <v>3108.7014773586602</v>
      </c>
      <c r="C27" s="39">
        <f>IF(ISERROR(B27*3.6/1000000/'E Balans VL '!Z9*100),0,B27*3.6/1000000/'E Balans VL '!Z9*100)</f>
        <v>0.23047202515188997</v>
      </c>
      <c r="D27" s="233" t="s">
        <v>685</v>
      </c>
      <c r="F27" s="6"/>
    </row>
    <row r="28" spans="1:18">
      <c r="A28" s="168" t="s">
        <v>51</v>
      </c>
      <c r="B28" s="33">
        <f>IF(ISERROR(TER_handel_ele_kWh/1000),0,TER_handel_ele_kWh/1000)</f>
        <v>14787.342376321099</v>
      </c>
      <c r="C28" s="39">
        <f>IF(ISERROR(B28*3.6/1000000/'E Balans VL '!Z13*100),0,B28*3.6/1000000/'E Balans VL '!Z13*100)</f>
        <v>0.44299361937542014</v>
      </c>
      <c r="D28" s="233" t="s">
        <v>685</v>
      </c>
      <c r="F28" s="6"/>
    </row>
    <row r="29" spans="1:18">
      <c r="A29" s="228" t="s">
        <v>50</v>
      </c>
      <c r="B29" s="33">
        <f>IF(ISERROR(TER_gezond_ele_kWh/1000),0,TER_gezond_ele_kWh/1000)</f>
        <v>7081.8341379711101</v>
      </c>
      <c r="C29" s="39">
        <f>IF(ISERROR(B29*3.6/1000000/'E Balans VL '!Z10*100),0,B29*3.6/1000000/'E Balans VL '!Z10*100)</f>
        <v>0.70025453527410253</v>
      </c>
      <c r="D29" s="233" t="s">
        <v>685</v>
      </c>
      <c r="F29" s="6"/>
    </row>
    <row r="30" spans="1:18">
      <c r="A30" s="228" t="s">
        <v>49</v>
      </c>
      <c r="B30" s="33">
        <f>IF(ISERROR(TER_ander_ele_kWh/1000),0,TER_ander_ele_kWh/1000)</f>
        <v>6369.6271427818601</v>
      </c>
      <c r="C30" s="39">
        <f>IF(ISERROR(B30*3.6/1000000/'E Balans VL '!Z14*100),0,B30*3.6/1000000/'E Balans VL '!Z14*100)</f>
        <v>0.25763259444972386</v>
      </c>
      <c r="D30" s="233" t="s">
        <v>685</v>
      </c>
      <c r="F30" s="6"/>
    </row>
    <row r="31" spans="1:18">
      <c r="A31" s="228" t="s">
        <v>54</v>
      </c>
      <c r="B31" s="33">
        <f>IF(ISERROR(TER_onderwijs_ele_kWh/1000),0,TER_onderwijs_ele_kWh/1000)</f>
        <v>1192.6886105779399</v>
      </c>
      <c r="C31" s="39">
        <f>IF(ISERROR(B31*3.6/1000000/'E Balans VL '!Z11*100),0,B31*3.6/1000000/'E Balans VL '!Z11*100)</f>
        <v>0.32768372312805094</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2</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47463.404504929211</v>
      </c>
      <c r="C5" s="17">
        <f>IF(ISERROR('Eigen informatie GS &amp; warmtenet'!B61),0,'Eigen informatie GS &amp; warmtenet'!B61)</f>
        <v>0</v>
      </c>
      <c r="D5" s="30">
        <f>SUM(D6:D15)</f>
        <v>66429.473051743349</v>
      </c>
      <c r="E5" s="17">
        <f>SUM(E6:E15)</f>
        <v>638.1034095183619</v>
      </c>
      <c r="F5" s="17">
        <f>SUM(F6:F15)</f>
        <v>14743.372589550831</v>
      </c>
      <c r="G5" s="18"/>
      <c r="H5" s="17"/>
      <c r="I5" s="17"/>
      <c r="J5" s="17">
        <f>SUM(J6:J15)</f>
        <v>2.4644527679606245</v>
      </c>
      <c r="K5" s="17"/>
      <c r="L5" s="17"/>
      <c r="M5" s="17"/>
      <c r="N5" s="17">
        <f>SUM(N6:N15)</f>
        <v>1517.3738829161523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2753.8712832893302</v>
      </c>
      <c r="C8" s="33"/>
      <c r="D8" s="37">
        <f>IF( ISERROR(IND_metaal_Gas_kWH/1000),0,IND_metaal_Gas_kWH/1000)*0.903</f>
        <v>4400.4910822368001</v>
      </c>
      <c r="E8" s="33">
        <f>C30*'E Balans VL '!I18/100/3.6*1000000</f>
        <v>13.885499503949676</v>
      </c>
      <c r="F8" s="33">
        <f>C30*'E Balans VL '!L18/100/3.6*1000000+C30*'E Balans VL '!N18/100/3.6*1000000</f>
        <v>188.15011347542969</v>
      </c>
      <c r="G8" s="34"/>
      <c r="H8" s="33"/>
      <c r="I8" s="33"/>
      <c r="J8" s="40">
        <f>C30*'E Balans VL '!D18/100/3.6*1000000+C30*'E Balans VL '!E18/100/3.6*1000000</f>
        <v>2.4415418008826562</v>
      </c>
      <c r="K8" s="33"/>
      <c r="L8" s="33"/>
      <c r="M8" s="33"/>
      <c r="N8" s="33">
        <f>C30*'E Balans VL '!Y18/100/3.6*1000000</f>
        <v>36.598965697839489</v>
      </c>
      <c r="O8" s="33"/>
      <c r="P8" s="33"/>
      <c r="R8" s="32"/>
    </row>
    <row r="9" spans="1:18">
      <c r="A9" s="6" t="s">
        <v>32</v>
      </c>
      <c r="B9" s="37">
        <f t="shared" si="0"/>
        <v>23313.415120655398</v>
      </c>
      <c r="C9" s="33"/>
      <c r="D9" s="37">
        <f>IF( ISERROR(IND_andere_gas_kWh/1000),0,IND_andere_gas_kWh/1000)*0.903</f>
        <v>11494.182838242861</v>
      </c>
      <c r="E9" s="33">
        <f>C31*'E Balans VL '!I19/100/3.6*1000000</f>
        <v>73.489394429898411</v>
      </c>
      <c r="F9" s="33">
        <f>C31*'E Balans VL '!L19/100/3.6*1000000+C31*'E Balans VL '!N19/100/3.6*1000000</f>
        <v>14271.492204666793</v>
      </c>
      <c r="G9" s="34"/>
      <c r="H9" s="33"/>
      <c r="I9" s="33"/>
      <c r="J9" s="40">
        <f>C31*'E Balans VL '!D19/100/3.6*1000000+C31*'E Balans VL '!E19/100/3.6*1000000</f>
        <v>0</v>
      </c>
      <c r="K9" s="33"/>
      <c r="L9" s="33"/>
      <c r="M9" s="33"/>
      <c r="N9" s="33">
        <f>C31*'E Balans VL '!Y19/100/3.6*1000000</f>
        <v>977.56315145053122</v>
      </c>
      <c r="O9" s="33"/>
      <c r="P9" s="33"/>
      <c r="R9" s="32"/>
    </row>
    <row r="10" spans="1:18">
      <c r="A10" s="6" t="s">
        <v>40</v>
      </c>
      <c r="B10" s="37">
        <f t="shared" si="0"/>
        <v>9836.9169261112002</v>
      </c>
      <c r="C10" s="33"/>
      <c r="D10" s="37">
        <f>IF( ISERROR(IND_voed_gas_kWh/1000),0,IND_voed_gas_kWh/1000)*0.903</f>
        <v>12603.116450628664</v>
      </c>
      <c r="E10" s="33">
        <f>C32*'E Balans VL '!I20/100/3.6*1000000</f>
        <v>15.677282948937297</v>
      </c>
      <c r="F10" s="33">
        <f>C32*'E Balans VL '!L20/100/3.6*1000000+C32*'E Balans VL '!N20/100/3.6*1000000</f>
        <v>159.8260034693177</v>
      </c>
      <c r="G10" s="34"/>
      <c r="H10" s="33"/>
      <c r="I10" s="33"/>
      <c r="J10" s="40">
        <f>C32*'E Balans VL '!D20/100/3.6*1000000+C32*'E Balans VL '!E20/100/3.6*1000000</f>
        <v>0</v>
      </c>
      <c r="K10" s="33"/>
      <c r="L10" s="33"/>
      <c r="M10" s="33"/>
      <c r="N10" s="33">
        <f>C32*'E Balans VL '!Y20/100/3.6*1000000</f>
        <v>310.69896574828044</v>
      </c>
      <c r="O10" s="33"/>
      <c r="P10" s="33"/>
      <c r="R10" s="32"/>
    </row>
    <row r="11" spans="1:18">
      <c r="A11" s="6" t="s">
        <v>39</v>
      </c>
      <c r="B11" s="37">
        <f t="shared" si="0"/>
        <v>1856.1435076954199</v>
      </c>
      <c r="C11" s="33"/>
      <c r="D11" s="37">
        <f>IF( ISERROR(IND_textiel_gas_kWh/1000),0,IND_textiel_gas_kWh/1000)*0.903</f>
        <v>908.42859764393938</v>
      </c>
      <c r="E11" s="33">
        <f>C33*'E Balans VL '!I21/100/3.6*1000000</f>
        <v>2.6929250590812233</v>
      </c>
      <c r="F11" s="33">
        <f>C33*'E Balans VL '!L21/100/3.6*1000000+C33*'E Balans VL '!N21/100/3.6*1000000</f>
        <v>36.325921049657609</v>
      </c>
      <c r="G11" s="34"/>
      <c r="H11" s="33"/>
      <c r="I11" s="33"/>
      <c r="J11" s="40">
        <f>C33*'E Balans VL '!D21/100/3.6*1000000+C33*'E Balans VL '!E21/100/3.6*1000000</f>
        <v>0</v>
      </c>
      <c r="K11" s="33"/>
      <c r="L11" s="33"/>
      <c r="M11" s="33"/>
      <c r="N11" s="33">
        <f>C33*'E Balans VL '!Y21/100/3.6*1000000</f>
        <v>90.427099097319299</v>
      </c>
      <c r="O11" s="33"/>
      <c r="P11" s="33"/>
      <c r="R11" s="32"/>
    </row>
    <row r="12" spans="1:18">
      <c r="A12" s="6" t="s">
        <v>36</v>
      </c>
      <c r="B12" s="37">
        <f t="shared" si="0"/>
        <v>593.84142597731397</v>
      </c>
      <c r="C12" s="33"/>
      <c r="D12" s="37">
        <f>IF( ISERROR(IND_min_gas_kWh/1000),0,IND_min_gas_kWh/1000)*0.903</f>
        <v>0</v>
      </c>
      <c r="E12" s="33">
        <f>C34*'E Balans VL '!I22/100/3.6*1000000</f>
        <v>2.5697126531073029</v>
      </c>
      <c r="F12" s="33">
        <f>C34*'E Balans VL '!L22/100/3.6*1000000+C34*'E Balans VL '!N22/100/3.6*1000000</f>
        <v>22.673598699097564</v>
      </c>
      <c r="G12" s="34"/>
      <c r="H12" s="33"/>
      <c r="I12" s="33"/>
      <c r="J12" s="40">
        <f>C34*'E Balans VL '!D22/100/3.6*1000000+C34*'E Balans VL '!E22/100/3.6*1000000</f>
        <v>0</v>
      </c>
      <c r="K12" s="33"/>
      <c r="L12" s="33"/>
      <c r="M12" s="33"/>
      <c r="N12" s="33">
        <f>C34*'E Balans VL '!Y22/100/3.6*1000000</f>
        <v>101.29597014678593</v>
      </c>
      <c r="O12" s="33"/>
      <c r="P12" s="33"/>
      <c r="R12" s="32"/>
    </row>
    <row r="13" spans="1:18">
      <c r="A13" s="6" t="s">
        <v>38</v>
      </c>
      <c r="B13" s="37">
        <f t="shared" si="0"/>
        <v>44.355322936578396</v>
      </c>
      <c r="C13" s="33"/>
      <c r="D13" s="37">
        <f>IF( ISERROR(IND_papier_gas_kWh/1000),0,IND_papier_gas_kWh/1000)*0.903</f>
        <v>71.944819113092976</v>
      </c>
      <c r="E13" s="33">
        <f>C35*'E Balans VL '!I23/100/3.6*1000000</f>
        <v>0</v>
      </c>
      <c r="F13" s="33">
        <f>C35*'E Balans VL '!L23/100/3.6*1000000+C35*'E Balans VL '!N23/100/3.6*1000000</f>
        <v>1.9216788365353954E-3</v>
      </c>
      <c r="G13" s="34"/>
      <c r="H13" s="33"/>
      <c r="I13" s="33"/>
      <c r="J13" s="40">
        <f>C35*'E Balans VL '!D23/100/3.6*1000000+C35*'E Balans VL '!E23/100/3.6*1000000</f>
        <v>1.2222006890609562E-3</v>
      </c>
      <c r="K13" s="33"/>
      <c r="L13" s="33"/>
      <c r="M13" s="33"/>
      <c r="N13" s="33">
        <f>C35*'E Balans VL '!Y23/100/3.6*1000000</f>
        <v>0</v>
      </c>
      <c r="O13" s="33"/>
      <c r="P13" s="33"/>
      <c r="R13" s="32"/>
    </row>
    <row r="14" spans="1:18">
      <c r="A14" s="6" t="s">
        <v>33</v>
      </c>
      <c r="B14" s="37">
        <f t="shared" si="0"/>
        <v>9054.2372908439593</v>
      </c>
      <c r="C14" s="33"/>
      <c r="D14" s="37">
        <f>IF( ISERROR(IND_chemie_gas_kWh/1000),0,IND_chemie_gas_kWh/1000)*0.903</f>
        <v>36690.399067213344</v>
      </c>
      <c r="E14" s="33">
        <f>C36*'E Balans VL '!I24/100/3.6*1000000</f>
        <v>529.52081804478223</v>
      </c>
      <c r="F14" s="33">
        <f>C36*'E Balans VL '!L24/100/3.6*1000000+C36*'E Balans VL '!N24/100/3.6*1000000</f>
        <v>64.040386421238097</v>
      </c>
      <c r="G14" s="34"/>
      <c r="H14" s="33"/>
      <c r="I14" s="33"/>
      <c r="J14" s="40">
        <f>C36*'E Balans VL '!D24/100/3.6*1000000+C36*'E Balans VL '!E24/100/3.6*1000000</f>
        <v>0</v>
      </c>
      <c r="K14" s="33"/>
      <c r="L14" s="33"/>
      <c r="M14" s="33"/>
      <c r="N14" s="33">
        <f>C36*'E Balans VL '!Y24/100/3.6*1000000</f>
        <v>0.61022059729920675</v>
      </c>
      <c r="O14" s="33"/>
      <c r="P14" s="33"/>
      <c r="R14" s="32"/>
    </row>
    <row r="15" spans="1:18">
      <c r="A15" s="6" t="s">
        <v>259</v>
      </c>
      <c r="B15" s="37">
        <f t="shared" si="0"/>
        <v>10.6236274200156</v>
      </c>
      <c r="C15" s="33"/>
      <c r="D15" s="37">
        <f>IF( ISERROR(IND_rest_gas_kWh/1000),0,IND_rest_gas_kWh/1000)*0.903</f>
        <v>260.91019666464547</v>
      </c>
      <c r="E15" s="33">
        <f>C37*'E Balans VL '!I15/100/3.6*1000000</f>
        <v>0.26777687860581023</v>
      </c>
      <c r="F15" s="33">
        <f>C37*'E Balans VL '!L15/100/3.6*1000000+C37*'E Balans VL '!N15/100/3.6*1000000</f>
        <v>0.86244009046044989</v>
      </c>
      <c r="G15" s="34"/>
      <c r="H15" s="33"/>
      <c r="I15" s="33"/>
      <c r="J15" s="40">
        <f>C37*'E Balans VL '!D15/100/3.6*1000000+C37*'E Balans VL '!E15/100/3.6*1000000</f>
        <v>2.1688766388907606E-2</v>
      </c>
      <c r="K15" s="33"/>
      <c r="L15" s="33"/>
      <c r="M15" s="33"/>
      <c r="N15" s="33">
        <f>C37*'E Balans VL '!Y15/100/3.6*1000000</f>
        <v>0.17951017809658226</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47463.404504929211</v>
      </c>
      <c r="C18" s="21">
        <f>C5+C16</f>
        <v>0</v>
      </c>
      <c r="D18" s="21">
        <f>MAX((D5+D16),0)</f>
        <v>66429.473051743349</v>
      </c>
      <c r="E18" s="21">
        <f>MAX((E5+E16),0)</f>
        <v>638.1034095183619</v>
      </c>
      <c r="F18" s="21">
        <f>MAX((F5+F16),0)</f>
        <v>14743.372589550831</v>
      </c>
      <c r="G18" s="21"/>
      <c r="H18" s="21"/>
      <c r="I18" s="21"/>
      <c r="J18" s="21">
        <f>MAX((J5+J16),0)</f>
        <v>2.4644527679606245</v>
      </c>
      <c r="K18" s="21"/>
      <c r="L18" s="21">
        <f>MAX((L5+L16),0)</f>
        <v>0</v>
      </c>
      <c r="M18" s="21"/>
      <c r="N18" s="21">
        <f>MAX((N5+N16),0)</f>
        <v>1517.3738829161523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0.16353782279437196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7762.0618351447092</v>
      </c>
      <c r="C22" s="23">
        <f ca="1">C18*C20</f>
        <v>0</v>
      </c>
      <c r="D22" s="23">
        <f>D18*D20</f>
        <v>13418.753556452157</v>
      </c>
      <c r="E22" s="23">
        <f>E18*E20</f>
        <v>144.84947396066815</v>
      </c>
      <c r="F22" s="23">
        <f>F18*F20</f>
        <v>3936.4804814100721</v>
      </c>
      <c r="G22" s="23"/>
      <c r="H22" s="23"/>
      <c r="I22" s="23"/>
      <c r="J22" s="23">
        <f>J18*J20</f>
        <v>0.87241627985806103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2753.8712832893302</v>
      </c>
      <c r="C30" s="39">
        <f>IF(ISERROR(B30*3.6/1000000/'E Balans VL '!Z18*100),0,B30*3.6/1000000/'E Balans VL '!Z18*100)</f>
        <v>0.13669596396854644</v>
      </c>
      <c r="D30" s="233" t="s">
        <v>685</v>
      </c>
    </row>
    <row r="31" spans="1:18">
      <c r="A31" s="6" t="s">
        <v>32</v>
      </c>
      <c r="B31" s="37">
        <f>IF( ISERROR(IND_ander_ele_kWh/1000),0,IND_ander_ele_kWh/1000)</f>
        <v>23313.415120655398</v>
      </c>
      <c r="C31" s="39">
        <f>IF(ISERROR(B31*3.6/1000000/'E Balans VL '!Z19*100),0,B31*3.6/1000000/'E Balans VL '!Z19*100)</f>
        <v>0.78670829499112149</v>
      </c>
      <c r="D31" s="233" t="s">
        <v>685</v>
      </c>
    </row>
    <row r="32" spans="1:18">
      <c r="A32" s="168" t="s">
        <v>40</v>
      </c>
      <c r="B32" s="37">
        <f>IF( ISERROR(IND_voed_ele_kWh/1000),0,IND_voed_ele_kWh/1000)</f>
        <v>9836.9169261112002</v>
      </c>
      <c r="C32" s="39">
        <f>IF(ISERROR(B32*3.6/1000000/'E Balans VL '!Z20*100),0,B32*3.6/1000000/'E Balans VL '!Z20*100)</f>
        <v>0.23101323683756181</v>
      </c>
      <c r="D32" s="233" t="s">
        <v>685</v>
      </c>
    </row>
    <row r="33" spans="1:5">
      <c r="A33" s="168" t="s">
        <v>39</v>
      </c>
      <c r="B33" s="37">
        <f>IF( ISERROR(IND_textiel_ele_kWh/1000),0,IND_textiel_ele_kWh/1000)</f>
        <v>1856.1435076954199</v>
      </c>
      <c r="C33" s="39">
        <f>IF(ISERROR(B33*3.6/1000000/'E Balans VL '!Z21*100),0,B33*3.6/1000000/'E Balans VL '!Z21*100)</f>
        <v>0.20370939719883177</v>
      </c>
      <c r="D33" s="233" t="s">
        <v>685</v>
      </c>
    </row>
    <row r="34" spans="1:5">
      <c r="A34" s="168" t="s">
        <v>36</v>
      </c>
      <c r="B34" s="37">
        <f>IF( ISERROR(IND_min_ele_kWh/1000),0,IND_min_ele_kWh/1000)</f>
        <v>593.84142597731397</v>
      </c>
      <c r="C34" s="39">
        <f>IF(ISERROR(B34*3.6/1000000/'E Balans VL '!Z22*100),0,B34*3.6/1000000/'E Balans VL '!Z22*100)</f>
        <v>8.4248733561202147E-2</v>
      </c>
      <c r="D34" s="233" t="s">
        <v>685</v>
      </c>
    </row>
    <row r="35" spans="1:5">
      <c r="A35" s="168" t="s">
        <v>38</v>
      </c>
      <c r="B35" s="37">
        <f>IF( ISERROR(IND_papier_ele_kWh/1000),0,IND_papier_ele_kWh/1000)</f>
        <v>44.355322936578396</v>
      </c>
      <c r="C35" s="39">
        <f>IF(ISERROR(B35*3.6/1000000/'E Balans VL '!Z22*100),0,B35*3.6/1000000/'E Balans VL '!Z22*100)</f>
        <v>6.2927233106967991E-3</v>
      </c>
      <c r="D35" s="233" t="s">
        <v>685</v>
      </c>
    </row>
    <row r="36" spans="1:5">
      <c r="A36" s="168" t="s">
        <v>33</v>
      </c>
      <c r="B36" s="37">
        <f>IF( ISERROR(IND_chemie_ele_kWh/1000),0,IND_chemie_ele_kWh/1000)</f>
        <v>9054.2372908439593</v>
      </c>
      <c r="C36" s="39">
        <f>IF(ISERROR(B36*3.6/1000000/'E Balans VL '!Z24*100),0,B36*3.6/1000000/'E Balans VL '!Z24*100)</f>
        <v>8.2679493800418807E-2</v>
      </c>
      <c r="D36" s="233" t="s">
        <v>685</v>
      </c>
    </row>
    <row r="37" spans="1:5">
      <c r="A37" s="168" t="s">
        <v>259</v>
      </c>
      <c r="B37" s="37">
        <f>IF( ISERROR(IND_rest_ele_kWh/1000),0,IND_rest_ele_kWh/1000)</f>
        <v>10.6236274200156</v>
      </c>
      <c r="C37" s="39">
        <f>IF(ISERROR(B37*3.6/1000000/'E Balans VL '!Z15*100),0,B37*3.6/1000000/'E Balans VL '!Z15*100)</f>
        <v>3.9812353994998846E-5</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1209.88922650425</v>
      </c>
      <c r="C5" s="17">
        <f>'Eigen informatie GS &amp; warmtenet'!B62</f>
        <v>0</v>
      </c>
      <c r="D5" s="30">
        <f>IF(ISERROR(SUM(LB_lb_gas_kWh,LB_rest_gas_kWh)/1000),0,SUM(LB_lb_gas_kWh,LB_rest_gas_kWh)/1000)*0.903</f>
        <v>498.76771670432572</v>
      </c>
      <c r="E5" s="17">
        <f>B17*'E Balans VL '!I25/3.6*1000000/100</f>
        <v>45.120470043488822</v>
      </c>
      <c r="F5" s="17">
        <f>B17*('E Balans VL '!L25/3.6*1000000+'E Balans VL '!N25/3.6*1000000)/100</f>
        <v>3925.3481703799112</v>
      </c>
      <c r="G5" s="18"/>
      <c r="H5" s="17"/>
      <c r="I5" s="17"/>
      <c r="J5" s="17">
        <f>('E Balans VL '!D25+'E Balans VL '!E25)/3.6*1000000*landbouw!B17/100</f>
        <v>317.60189506811878</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1209.88922650425</v>
      </c>
      <c r="C8" s="21">
        <f>C5+C6</f>
        <v>0</v>
      </c>
      <c r="D8" s="21">
        <f>MAX((D5+D6),0)</f>
        <v>498.76771670432572</v>
      </c>
      <c r="E8" s="21">
        <f>MAX((E5+E6),0)</f>
        <v>45.120470043488822</v>
      </c>
      <c r="F8" s="21">
        <f>MAX((F5+F6),0)</f>
        <v>3925.3481703799112</v>
      </c>
      <c r="G8" s="21"/>
      <c r="H8" s="21"/>
      <c r="I8" s="21"/>
      <c r="J8" s="21">
        <f>MAX((J5+J6),0)</f>
        <v>317.60189506811878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0.16353782279437196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197.86264992487179</v>
      </c>
      <c r="C12" s="23">
        <f ca="1">C8*C10</f>
        <v>0</v>
      </c>
      <c r="D12" s="23">
        <f>D8*D10</f>
        <v>100.75107877427381</v>
      </c>
      <c r="E12" s="23">
        <f>E8*E10</f>
        <v>10.242346699871963</v>
      </c>
      <c r="F12" s="23">
        <f>F8*F10</f>
        <v>1048.0679614914363</v>
      </c>
      <c r="G12" s="23"/>
      <c r="H12" s="23"/>
      <c r="I12" s="23"/>
      <c r="J12" s="23">
        <f>J8*J10</f>
        <v>112.43107085411404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0.16617512803221576</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156.34838042302474</v>
      </c>
      <c r="C26" s="243">
        <f>B26*'GWP N2O_CH4'!B5</f>
        <v>3283.3159888835194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74.648342111980213</v>
      </c>
      <c r="C27" s="243">
        <f>B27*'GWP N2O_CH4'!B5</f>
        <v>1567.6151843515845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2.365813367750548</v>
      </c>
      <c r="C28" s="243">
        <f>B28*'GWP N2O_CH4'!B4</f>
        <v>733.40214400266984</v>
      </c>
      <c r="D28" s="50"/>
    </row>
    <row r="29" spans="1:4">
      <c r="A29" s="41" t="s">
        <v>266</v>
      </c>
      <c r="B29" s="243">
        <f>B34*'ha_N2O bodem landbouw'!B4</f>
        <v>9.4419681389584547</v>
      </c>
      <c r="C29" s="243">
        <f>B29*'GWP N2O_CH4'!B4</f>
        <v>2927.0101230771211</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2.1518515033533774E-3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1.1209687189544779E-3</v>
      </c>
      <c r="C5" s="432" t="s">
        <v>204</v>
      </c>
      <c r="D5" s="417">
        <f>SUM(D6:D11)</f>
        <v>1.8797582794493916E-3</v>
      </c>
      <c r="E5" s="417">
        <f>SUM(E6:E11)</f>
        <v>1.1156354832458472E-3</v>
      </c>
      <c r="F5" s="430" t="s">
        <v>204</v>
      </c>
      <c r="G5" s="417">
        <f>SUM(G6:G11)</f>
        <v>0.55055981676894472</v>
      </c>
      <c r="H5" s="417">
        <f>SUM(H6:H11)</f>
        <v>0.11615025770372639</v>
      </c>
      <c r="I5" s="432" t="s">
        <v>204</v>
      </c>
      <c r="J5" s="432" t="s">
        <v>204</v>
      </c>
      <c r="K5" s="432" t="s">
        <v>204</v>
      </c>
      <c r="L5" s="432" t="s">
        <v>204</v>
      </c>
      <c r="M5" s="417">
        <f>SUM(M6:M11)</f>
        <v>3.9071593959672357E-2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4.5188975406835531E-4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7.8524231005425193E-4</v>
      </c>
      <c r="E6" s="883">
        <f>vkm_GW_PW*SUMIFS(TableVerdeelsleutelVkm[LPG],TableVerdeelsleutelVkm[Voertuigtype],"Lichte voertuigen")*SUMIFS(TableECFTransport[EnergieConsumptieFactor (PJ per km)],TableECFTransport[Index],CONCATENATE($A6,"_LPG_LPG"))</f>
        <v>4.3664594816629178E-4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0.13121625902877573</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4.7841886701780113E-2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1.0713491442512598E-2</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1.6154796281515963E-6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6.6860659561873467E-2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6.8018463659767992E-7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3.7643582126231341E-3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1.9208874181327436E-4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4.285772884397792E-4</v>
      </c>
      <c r="E8" s="420">
        <f>vkm_NGW_PW*SUMIFS(TableVerdeelsleutelVkm[LPG],TableVerdeelsleutelVkm[Voertuigtype],"Lichte voertuigen")*SUMIFS(TableECFTransport[EnergieConsumptieFactor (PJ per km)],TableECFTransport[Index],CONCATENATE($A8,"_LPG_LPG"))</f>
        <v>2.2825937577620903E-4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6.3127170707172414E-2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2.5791894846868942E-2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5.3471318168846517E-3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2.470345028021756E-7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1.3166310400596924E-2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1.2554499196841192E-7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7.4128299027220517E-4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4.7121329990973691E-4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6.6593868095536049E-4</v>
      </c>
      <c r="E10" s="420">
        <f>vkm_SW_PW*SUMIFS(TableVerdeelsleutelVkm[LPG],TableVerdeelsleutelVkm[Voertuigtype],"Lichte voertuigen")*SUMIFS(TableECFTransport[EnergieConsumptieFactor (PJ per km)],TableECFTransport[Index],CONCATENATE($A10,"_LPG_LPG"))</f>
        <v>4.5073015930334644E-4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0.12313743406652214</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4.251397405000662E-2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9.8882572059502457E-3</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3.9144090321575844E-6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0.15305198300400413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1.6963754421394274E-6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8.6170722914295228E-3</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311.3801997095772</v>
      </c>
      <c r="C14" s="21"/>
      <c r="D14" s="21">
        <f t="shared" ref="D14:M14" si="0">((D5)*10^9/3600)+D12</f>
        <v>522.15507762483105</v>
      </c>
      <c r="E14" s="21">
        <f t="shared" si="0"/>
        <v>309.89874534606867</v>
      </c>
      <c r="F14" s="21"/>
      <c r="G14" s="21">
        <f t="shared" si="0"/>
        <v>152933.28243581799</v>
      </c>
      <c r="H14" s="21">
        <f t="shared" si="0"/>
        <v>32263.960473257332</v>
      </c>
      <c r="I14" s="21"/>
      <c r="J14" s="21"/>
      <c r="K14" s="21"/>
      <c r="L14" s="21"/>
      <c r="M14" s="21">
        <f t="shared" si="0"/>
        <v>10853.220544353431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0.16353782279437196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50.922439921780985</v>
      </c>
      <c r="C18" s="23"/>
      <c r="D18" s="23">
        <f t="shared" ref="D18:M18" si="1">D14*D16</f>
        <v>105.47532568021587</v>
      </c>
      <c r="E18" s="23">
        <f t="shared" si="1"/>
        <v>70.347015193557596</v>
      </c>
      <c r="F18" s="23"/>
      <c r="G18" s="23">
        <f t="shared" si="1"/>
        <v>40833.186410363407</v>
      </c>
      <c r="H18" s="23">
        <f t="shared" si="1"/>
        <v>8033.7261578410753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1.028895685243891E-4</v>
      </c>
      <c r="C50" s="315">
        <f t="shared" ref="C50:P50" si="2">SUM(C51:C52)</f>
        <v>0</v>
      </c>
      <c r="D50" s="315">
        <f t="shared" si="2"/>
        <v>0</v>
      </c>
      <c r="E50" s="315">
        <f t="shared" si="2"/>
        <v>0</v>
      </c>
      <c r="F50" s="315">
        <f t="shared" si="2"/>
        <v>0</v>
      </c>
      <c r="G50" s="315">
        <f t="shared" si="2"/>
        <v>7.3440719158833368E-3</v>
      </c>
      <c r="H50" s="315">
        <f t="shared" si="2"/>
        <v>0</v>
      </c>
      <c r="I50" s="315">
        <f t="shared" si="2"/>
        <v>0</v>
      </c>
      <c r="J50" s="315">
        <f t="shared" si="2"/>
        <v>0</v>
      </c>
      <c r="K50" s="315">
        <f t="shared" si="2"/>
        <v>0</v>
      </c>
      <c r="L50" s="315">
        <f t="shared" si="2"/>
        <v>0</v>
      </c>
      <c r="M50" s="315">
        <f t="shared" si="2"/>
        <v>4.0552932431019172E-4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1.028895685243891E-4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7.3440719158833368E-3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4.0552932431019172E-4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28.580435701219194</v>
      </c>
      <c r="C54" s="21">
        <f t="shared" ref="C54:P54" si="3">(C50)*10^9/3600</f>
        <v>0</v>
      </c>
      <c r="D54" s="21">
        <f t="shared" si="3"/>
        <v>0</v>
      </c>
      <c r="E54" s="21">
        <f t="shared" si="3"/>
        <v>0</v>
      </c>
      <c r="F54" s="21">
        <f t="shared" si="3"/>
        <v>0</v>
      </c>
      <c r="G54" s="21">
        <f t="shared" si="3"/>
        <v>2040.0199766342603</v>
      </c>
      <c r="H54" s="21">
        <f t="shared" si="3"/>
        <v>0</v>
      </c>
      <c r="I54" s="21">
        <f t="shared" si="3"/>
        <v>0</v>
      </c>
      <c r="J54" s="21">
        <f t="shared" si="3"/>
        <v>0</v>
      </c>
      <c r="K54" s="21">
        <f t="shared" si="3"/>
        <v>0</v>
      </c>
      <c r="L54" s="21">
        <f t="shared" si="3"/>
        <v>0</v>
      </c>
      <c r="M54" s="21">
        <f t="shared" si="3"/>
        <v>112.64703453060882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0.16353782279437196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4.6739822290919264</v>
      </c>
      <c r="C58" s="23">
        <f t="shared" ref="C58:P58" ca="1" si="4">C54*C56</f>
        <v>0</v>
      </c>
      <c r="D58" s="23">
        <f t="shared" si="4"/>
        <v>0</v>
      </c>
      <c r="E58" s="23">
        <f t="shared" si="4"/>
        <v>0</v>
      </c>
      <c r="F58" s="23">
        <f t="shared" si="4"/>
        <v>0</v>
      </c>
      <c r="G58" s="23">
        <f t="shared" si="4"/>
        <v>544.68533376134758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8579.3340203983898</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14253.887029125626</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N30</f>
        <v>20844</v>
      </c>
      <c r="C8" s="542">
        <f>B49</f>
        <v>0</v>
      </c>
      <c r="D8" s="543"/>
      <c r="E8" s="543">
        <f>E49</f>
        <v>0</v>
      </c>
      <c r="F8" s="544"/>
      <c r="G8" s="545"/>
      <c r="H8" s="543">
        <f>I49</f>
        <v>0</v>
      </c>
      <c r="I8" s="543">
        <f>G49+F49</f>
        <v>0</v>
      </c>
      <c r="J8" s="543">
        <f>H49+D49+C49</f>
        <v>24522.352941176472</v>
      </c>
      <c r="K8" s="543"/>
      <c r="L8" s="543"/>
      <c r="M8" s="543"/>
      <c r="N8" s="546"/>
      <c r="O8" s="547">
        <f>C8*$C$12+D8*$D$12+E8*$E$12+F8*$F$12+G8*$G$12+H8*$H$12+I8*$I$12+J8*$J$12</f>
        <v>0</v>
      </c>
      <c r="P8" s="1278"/>
      <c r="Q8" s="1279"/>
      <c r="S8" s="537"/>
      <c r="T8" s="1275"/>
      <c r="U8" s="1275"/>
    </row>
    <row r="9" spans="1:21" s="528" customFormat="1" ht="17.45" customHeight="1" thickBot="1">
      <c r="A9" s="548" t="s">
        <v>237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43677.221049524014</v>
      </c>
      <c r="C10" s="557">
        <f t="shared" ref="C10:L10" si="0">SUM(C8:C9)</f>
        <v>0</v>
      </c>
      <c r="D10" s="557">
        <f t="shared" si="0"/>
        <v>0</v>
      </c>
      <c r="E10" s="557">
        <f t="shared" si="0"/>
        <v>0</v>
      </c>
      <c r="F10" s="557">
        <f t="shared" si="0"/>
        <v>0</v>
      </c>
      <c r="G10" s="557">
        <f t="shared" si="0"/>
        <v>0</v>
      </c>
      <c r="H10" s="557">
        <f t="shared" si="0"/>
        <v>0</v>
      </c>
      <c r="I10" s="557">
        <f t="shared" si="0"/>
        <v>0</v>
      </c>
      <c r="J10" s="557">
        <f t="shared" si="0"/>
        <v>24522.352941176472</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O30</f>
        <v>29777.142857142855</v>
      </c>
      <c r="C17" s="573">
        <f>B50</f>
        <v>0</v>
      </c>
      <c r="D17" s="574"/>
      <c r="E17" s="574">
        <f>E50</f>
        <v>0</v>
      </c>
      <c r="F17" s="575"/>
      <c r="G17" s="576"/>
      <c r="H17" s="573">
        <f>I50</f>
        <v>0</v>
      </c>
      <c r="I17" s="574">
        <f>G50+F50</f>
        <v>0</v>
      </c>
      <c r="J17" s="574">
        <f>H50+D50+C50</f>
        <v>35031.932773109242</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29777.142857142855</v>
      </c>
      <c r="C20" s="556">
        <f>SUM(C17:C19)</f>
        <v>0</v>
      </c>
      <c r="D20" s="556">
        <f t="shared" ref="D20:L20" si="1">SUM(D17:D19)</f>
        <v>0</v>
      </c>
      <c r="E20" s="556">
        <f t="shared" si="1"/>
        <v>0</v>
      </c>
      <c r="F20" s="556">
        <f t="shared" si="1"/>
        <v>0</v>
      </c>
      <c r="G20" s="556">
        <f t="shared" si="1"/>
        <v>0</v>
      </c>
      <c r="H20" s="556">
        <f t="shared" si="1"/>
        <v>0</v>
      </c>
      <c r="I20" s="556">
        <f t="shared" si="1"/>
        <v>0</v>
      </c>
      <c r="J20" s="556">
        <f t="shared" si="1"/>
        <v>35031.932773109242</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63.75" hidden="1">
      <c r="A28" s="586"/>
      <c r="B28" s="784">
        <v>34027</v>
      </c>
      <c r="C28" s="784">
        <v>8930</v>
      </c>
      <c r="D28" s="634"/>
      <c r="E28" s="633"/>
      <c r="F28" s="633"/>
      <c r="G28" s="633" t="s">
        <v>877</v>
      </c>
      <c r="H28" s="633" t="s">
        <v>878</v>
      </c>
      <c r="I28" s="633"/>
      <c r="J28" s="783"/>
      <c r="K28" s="783"/>
      <c r="L28" s="633" t="s">
        <v>879</v>
      </c>
      <c r="M28" s="633">
        <v>3132</v>
      </c>
      <c r="N28" s="633">
        <v>14094</v>
      </c>
      <c r="O28" s="633">
        <v>20134.285714285714</v>
      </c>
      <c r="P28" s="633">
        <v>0</v>
      </c>
      <c r="Q28" s="633">
        <v>40268.571428571428</v>
      </c>
      <c r="R28" s="633">
        <v>0</v>
      </c>
      <c r="S28" s="633">
        <v>0</v>
      </c>
      <c r="T28" s="633">
        <v>0</v>
      </c>
      <c r="U28" s="633">
        <v>0</v>
      </c>
      <c r="V28" s="633">
        <v>0</v>
      </c>
      <c r="W28" s="633">
        <v>0</v>
      </c>
      <c r="X28" s="633">
        <v>1600</v>
      </c>
      <c r="Y28" s="633" t="s">
        <v>49</v>
      </c>
      <c r="Z28" s="635" t="s">
        <v>149</v>
      </c>
    </row>
    <row r="29" spans="1:26" s="587" customFormat="1" ht="63.75" hidden="1">
      <c r="A29" s="586"/>
      <c r="B29" s="784">
        <v>34027</v>
      </c>
      <c r="C29" s="784">
        <v>8930</v>
      </c>
      <c r="D29" s="634"/>
      <c r="E29" s="633"/>
      <c r="F29" s="633"/>
      <c r="G29" s="633" t="s">
        <v>880</v>
      </c>
      <c r="H29" s="633" t="s">
        <v>878</v>
      </c>
      <c r="I29" s="633"/>
      <c r="J29" s="783"/>
      <c r="K29" s="783"/>
      <c r="L29" s="633" t="s">
        <v>881</v>
      </c>
      <c r="M29" s="633">
        <v>1500</v>
      </c>
      <c r="N29" s="633">
        <v>6750</v>
      </c>
      <c r="O29" s="633">
        <v>9642.8571428571431</v>
      </c>
      <c r="P29" s="633">
        <v>0</v>
      </c>
      <c r="Q29" s="633">
        <v>19285.714285714286</v>
      </c>
      <c r="R29" s="633">
        <v>0</v>
      </c>
      <c r="S29" s="633">
        <v>0</v>
      </c>
      <c r="T29" s="633">
        <v>0</v>
      </c>
      <c r="U29" s="633">
        <v>0</v>
      </c>
      <c r="V29" s="633">
        <v>0</v>
      </c>
      <c r="W29" s="633">
        <v>0</v>
      </c>
      <c r="X29" s="633">
        <v>1600</v>
      </c>
      <c r="Y29" s="633" t="s">
        <v>49</v>
      </c>
      <c r="Z29" s="635" t="s">
        <v>149</v>
      </c>
    </row>
    <row r="30" spans="1:26" s="567" customFormat="1" hidden="1">
      <c r="A30" s="589" t="s">
        <v>269</v>
      </c>
      <c r="B30" s="590"/>
      <c r="C30" s="590"/>
      <c r="D30" s="590"/>
      <c r="E30" s="590"/>
      <c r="F30" s="590"/>
      <c r="G30" s="590"/>
      <c r="H30" s="590"/>
      <c r="I30" s="590"/>
      <c r="J30" s="590"/>
      <c r="K30" s="590"/>
      <c r="L30" s="591"/>
      <c r="M30" s="591">
        <f>SUM(M28:M29)</f>
        <v>4632</v>
      </c>
      <c r="N30" s="591">
        <f>SUM(N28:N29)</f>
        <v>20844</v>
      </c>
      <c r="O30" s="591">
        <f>SUM(O28:O29)</f>
        <v>29777.142857142855</v>
      </c>
      <c r="P30" s="591">
        <f>SUM(P28:P29)</f>
        <v>0</v>
      </c>
      <c r="Q30" s="591">
        <f>SUM(Q28:Q29)</f>
        <v>59554.28571428571</v>
      </c>
      <c r="R30" s="591">
        <f>SUM(R28:R29)</f>
        <v>0</v>
      </c>
      <c r="S30" s="591">
        <f>SUM(S28:S29)</f>
        <v>0</v>
      </c>
      <c r="T30" s="591">
        <f>SUM(T28:T29)</f>
        <v>0</v>
      </c>
      <c r="U30" s="591">
        <f>SUM(U28:U29)</f>
        <v>0</v>
      </c>
      <c r="V30" s="591">
        <f>SUM(V28:V29)</f>
        <v>0</v>
      </c>
      <c r="W30" s="591">
        <f>SUM(W28:W29)</f>
        <v>0</v>
      </c>
      <c r="X30" s="592"/>
      <c r="Y30" s="592"/>
      <c r="Z30" s="593"/>
    </row>
    <row r="31" spans="1:26" s="567" customFormat="1">
      <c r="A31" s="589" t="s">
        <v>276</v>
      </c>
      <c r="B31" s="590"/>
      <c r="C31" s="590"/>
      <c r="D31" s="590"/>
      <c r="E31" s="590"/>
      <c r="F31" s="590"/>
      <c r="G31" s="590"/>
      <c r="H31" s="590"/>
      <c r="I31" s="590"/>
      <c r="J31" s="590"/>
      <c r="K31" s="590"/>
      <c r="L31" s="591"/>
      <c r="M31" s="591">
        <f>SUMIF($Z$28:$Z$29,"industrie",M28:M29)</f>
        <v>0</v>
      </c>
      <c r="N31" s="591">
        <f>SUMIF($Z$28:$Z$29,"industrie",N28:N29)</f>
        <v>0</v>
      </c>
      <c r="O31" s="591">
        <f>SUMIF($Z$28:$Z$29,"industrie",O28:O29)</f>
        <v>0</v>
      </c>
      <c r="P31" s="591">
        <f>SUMIF($Z$28:$Z$29,"industrie",P28:P29)</f>
        <v>0</v>
      </c>
      <c r="Q31" s="591">
        <f>SUMIF($Z$28:$Z$29,"industrie",Q28:Q29)</f>
        <v>0</v>
      </c>
      <c r="R31" s="591">
        <f>SUMIF($Z$28:$Z$29,"industrie",R28:R29)</f>
        <v>0</v>
      </c>
      <c r="S31" s="591">
        <f>SUMIF($Z$28:$Z$29,"industrie",S28:S29)</f>
        <v>0</v>
      </c>
      <c r="T31" s="591">
        <f>SUMIF($Z$28:$Z$29,"industrie",T28:T29)</f>
        <v>0</v>
      </c>
      <c r="U31" s="591">
        <f>SUMIF($Z$28:$Z$29,"industrie",U28:U29)</f>
        <v>0</v>
      </c>
      <c r="V31" s="591">
        <f>SUMIF($Z$28:$Z$29,"industrie",V28:V29)</f>
        <v>0</v>
      </c>
      <c r="W31" s="591">
        <f>SUMIF($Z$28:$Z$29,"industrie",W28:W29)</f>
        <v>0</v>
      </c>
      <c r="X31" s="592"/>
      <c r="Y31" s="592"/>
      <c r="Z31" s="593"/>
    </row>
    <row r="32" spans="1:26" s="567" customFormat="1">
      <c r="A32" s="589" t="s">
        <v>277</v>
      </c>
      <c r="B32" s="590"/>
      <c r="C32" s="590"/>
      <c r="D32" s="590"/>
      <c r="E32" s="590"/>
      <c r="F32" s="590"/>
      <c r="G32" s="590"/>
      <c r="H32" s="590"/>
      <c r="I32" s="590"/>
      <c r="J32" s="590"/>
      <c r="K32" s="590"/>
      <c r="L32" s="591"/>
      <c r="M32" s="591">
        <f ca="1">SUMIF($Z$28:AC29,"tertiair",M28:M29)</f>
        <v>4632</v>
      </c>
      <c r="N32" s="591">
        <f ca="1">SUMIF($Z$28:AD29,"tertiair",N28:N29)</f>
        <v>20844</v>
      </c>
      <c r="O32" s="591">
        <f ca="1">SUMIF($Z$28:AE29,"tertiair",O28:O29)</f>
        <v>29777.142857142855</v>
      </c>
      <c r="P32" s="591">
        <f ca="1">SUMIF($Z$28:AF29,"tertiair",P28:P29)</f>
        <v>0</v>
      </c>
      <c r="Q32" s="591">
        <f ca="1">SUMIF($Z$28:AG29,"tertiair",Q28:Q29)</f>
        <v>59554.28571428571</v>
      </c>
      <c r="R32" s="591">
        <f ca="1">SUMIF($Z$28:AH29,"tertiair",R28:R29)</f>
        <v>0</v>
      </c>
      <c r="S32" s="591">
        <f ca="1">SUMIF($Z$28:AI29,"tertiair",S28:S29)</f>
        <v>0</v>
      </c>
      <c r="T32" s="591">
        <f ca="1">SUMIF($Z$28:AJ29,"tertiair",T28:T29)</f>
        <v>0</v>
      </c>
      <c r="U32" s="591">
        <f ca="1">SUMIF($Z$28:AK29,"tertiair",U28:U29)</f>
        <v>0</v>
      </c>
      <c r="V32" s="591">
        <f ca="1">SUMIF($Z$28:AL29,"tertiair",V28:V29)</f>
        <v>0</v>
      </c>
      <c r="W32" s="591">
        <f ca="1">SUMIF($Z$28:AM29,"tertiair",W28:W29)</f>
        <v>0</v>
      </c>
      <c r="X32" s="592"/>
      <c r="Y32" s="592"/>
      <c r="Z32" s="593"/>
    </row>
    <row r="33" spans="1:27" s="567" customFormat="1" ht="15.75" thickBot="1">
      <c r="A33" s="594" t="s">
        <v>278</v>
      </c>
      <c r="B33" s="595"/>
      <c r="C33" s="595"/>
      <c r="D33" s="595"/>
      <c r="E33" s="595"/>
      <c r="F33" s="595"/>
      <c r="G33" s="595"/>
      <c r="H33" s="595"/>
      <c r="I33" s="595"/>
      <c r="J33" s="595"/>
      <c r="K33" s="595"/>
      <c r="L33" s="596"/>
      <c r="M33" s="596">
        <f>SUMIF($Z$28:$Z$29,"landbouw",M28:M29)</f>
        <v>0</v>
      </c>
      <c r="N33" s="596">
        <f>SUMIF($Z$28:$Z$29,"landbouw",N28:N29)</f>
        <v>0</v>
      </c>
      <c r="O33" s="596">
        <f>SUMIF($Z$28:$Z$29,"landbouw",O28:O29)</f>
        <v>0</v>
      </c>
      <c r="P33" s="596">
        <f>SUMIF($Z$28:$Z$29,"landbouw",P28:P29)</f>
        <v>0</v>
      </c>
      <c r="Q33" s="596">
        <f>SUMIF($Z$28:$Z$29,"landbouw",Q28:Q29)</f>
        <v>0</v>
      </c>
      <c r="R33" s="596">
        <f>SUMIF($Z$28:$Z$29,"landbouw",R28:R29)</f>
        <v>0</v>
      </c>
      <c r="S33" s="596">
        <f>SUMIF($Z$28:$Z$29,"landbouw",S28:S29)</f>
        <v>0</v>
      </c>
      <c r="T33" s="596">
        <f>SUMIF($Z$28:$Z$29,"landbouw",T28:T29)</f>
        <v>0</v>
      </c>
      <c r="U33" s="596">
        <f>SUMIF($Z$28:$Z$29,"landbouw",U28:U29)</f>
        <v>0</v>
      </c>
      <c r="V33" s="596">
        <f>SUMIF($Z$28:$Z$29,"landbouw",V28:V29)</f>
        <v>0</v>
      </c>
      <c r="W33" s="596">
        <f>SUMIF($Z$28:$Z$29,"landbouw",W28:W29)</f>
        <v>0</v>
      </c>
      <c r="X33" s="597"/>
      <c r="Y33" s="597"/>
      <c r="Z33" s="598"/>
    </row>
    <row r="34" spans="1:27" s="528" customFormat="1" ht="15.75" thickBot="1">
      <c r="A34" s="599"/>
      <c r="B34" s="600"/>
      <c r="C34" s="600"/>
      <c r="D34" s="600"/>
      <c r="E34" s="600"/>
      <c r="F34" s="600"/>
      <c r="G34" s="600"/>
      <c r="H34" s="600"/>
      <c r="I34" s="600"/>
      <c r="J34" s="600"/>
      <c r="K34" s="600"/>
      <c r="L34" s="583"/>
      <c r="M34" s="583"/>
      <c r="N34" s="583"/>
      <c r="O34" s="584"/>
      <c r="P34" s="584"/>
    </row>
    <row r="35" spans="1:27" s="528" customFormat="1" ht="45">
      <c r="A35" s="601" t="s">
        <v>270</v>
      </c>
      <c r="B35" s="630" t="s">
        <v>89</v>
      </c>
      <c r="C35" s="630" t="s">
        <v>90</v>
      </c>
      <c r="D35" s="630"/>
      <c r="E35" s="630"/>
      <c r="F35" s="630"/>
      <c r="G35" s="630" t="s">
        <v>91</v>
      </c>
      <c r="H35" s="630" t="s">
        <v>92</v>
      </c>
      <c r="I35" s="630"/>
      <c r="J35" s="630"/>
      <c r="K35" s="630"/>
      <c r="L35" s="630" t="s">
        <v>93</v>
      </c>
      <c r="M35" s="631" t="s">
        <v>287</v>
      </c>
      <c r="N35" s="631" t="s">
        <v>94</v>
      </c>
      <c r="O35" s="631" t="s">
        <v>95</v>
      </c>
      <c r="P35" s="631" t="s">
        <v>512</v>
      </c>
      <c r="Q35" s="631" t="s">
        <v>96</v>
      </c>
      <c r="R35" s="631" t="s">
        <v>97</v>
      </c>
      <c r="S35" s="631" t="s">
        <v>98</v>
      </c>
      <c r="T35" s="631" t="s">
        <v>99</v>
      </c>
      <c r="U35" s="631" t="s">
        <v>100</v>
      </c>
      <c r="V35" s="631" t="s">
        <v>101</v>
      </c>
      <c r="W35" s="630" t="s">
        <v>102</v>
      </c>
      <c r="X35" s="630" t="s">
        <v>288</v>
      </c>
      <c r="Y35" s="630" t="s">
        <v>103</v>
      </c>
      <c r="Z35" s="632" t="s">
        <v>289</v>
      </c>
    </row>
    <row r="36" spans="1:27" s="602" customFormat="1" ht="12.75" hidden="1">
      <c r="A36" s="588"/>
      <c r="B36" s="784"/>
      <c r="C36" s="784"/>
      <c r="D36" s="636"/>
      <c r="E36" s="636"/>
      <c r="F36" s="636"/>
      <c r="G36" s="636"/>
      <c r="H36" s="636"/>
      <c r="I36" s="636"/>
      <c r="J36" s="783"/>
      <c r="K36" s="783"/>
      <c r="L36" s="636"/>
      <c r="M36" s="636"/>
      <c r="N36" s="636"/>
      <c r="O36" s="636"/>
      <c r="P36" s="636"/>
      <c r="Q36" s="636"/>
      <c r="R36" s="636"/>
      <c r="S36" s="636"/>
      <c r="T36" s="636"/>
      <c r="U36" s="636"/>
      <c r="V36" s="636"/>
      <c r="W36" s="636"/>
      <c r="X36" s="636"/>
      <c r="Y36" s="636"/>
      <c r="Z36" s="637"/>
    </row>
    <row r="37" spans="1:27" s="567" customFormat="1" hidden="1">
      <c r="A37" s="589" t="s">
        <v>269</v>
      </c>
      <c r="B37" s="590"/>
      <c r="C37" s="590"/>
      <c r="D37" s="590"/>
      <c r="E37" s="590"/>
      <c r="F37" s="590"/>
      <c r="G37" s="590"/>
      <c r="H37" s="590"/>
      <c r="I37" s="590"/>
      <c r="J37" s="590"/>
      <c r="K37" s="590"/>
      <c r="L37" s="591"/>
      <c r="M37" s="591">
        <f>SUM(M36:M36)</f>
        <v>0</v>
      </c>
      <c r="N37" s="591">
        <f>SUM(N36:N36)</f>
        <v>0</v>
      </c>
      <c r="O37" s="591">
        <f>SUM(O36:O36)</f>
        <v>0</v>
      </c>
      <c r="P37" s="591">
        <f>SUM(P36:P36)</f>
        <v>0</v>
      </c>
      <c r="Q37" s="591">
        <f>SUM(Q36:Q36)</f>
        <v>0</v>
      </c>
      <c r="R37" s="591">
        <f>SUM(R36:R36)</f>
        <v>0</v>
      </c>
      <c r="S37" s="591">
        <f>SUM(S36:S36)</f>
        <v>0</v>
      </c>
      <c r="T37" s="591">
        <f>SUM(T36:T36)</f>
        <v>0</v>
      </c>
      <c r="U37" s="591">
        <f>SUM(U36:U36)</f>
        <v>0</v>
      </c>
      <c r="V37" s="591">
        <f>SUM(V36:V36)</f>
        <v>0</v>
      </c>
      <c r="W37" s="591">
        <f>SUM(W36:W36)</f>
        <v>0</v>
      </c>
      <c r="X37" s="592"/>
      <c r="Y37" s="592"/>
      <c r="Z37" s="593"/>
    </row>
    <row r="38" spans="1:27" s="567" customFormat="1">
      <c r="A38" s="589" t="s">
        <v>276</v>
      </c>
      <c r="B38" s="590"/>
      <c r="C38" s="590"/>
      <c r="D38" s="590"/>
      <c r="E38" s="590"/>
      <c r="F38" s="590"/>
      <c r="G38" s="590"/>
      <c r="H38" s="590"/>
      <c r="I38" s="590"/>
      <c r="J38" s="590"/>
      <c r="K38" s="590"/>
      <c r="L38" s="591"/>
      <c r="M38" s="591">
        <f>SUMIF($Z$36:$Z$36,"industrie",M36:M36)</f>
        <v>0</v>
      </c>
      <c r="N38" s="591">
        <f>SUMIF($Z$36:$Z$36,"industrie",N36:N36)</f>
        <v>0</v>
      </c>
      <c r="O38" s="591">
        <f>SUMIF($Z$36:$Z$36,"industrie",O36:O36)</f>
        <v>0</v>
      </c>
      <c r="P38" s="591">
        <f>SUMIF($Z$36:$Z$36,"industrie",P36:P36)</f>
        <v>0</v>
      </c>
      <c r="Q38" s="591">
        <f>SUMIF($Z$36:$Z$36,"industrie",Q36:Q36)</f>
        <v>0</v>
      </c>
      <c r="R38" s="591">
        <f>SUMIF($Z$36:$Z$36,"industrie",R36:R36)</f>
        <v>0</v>
      </c>
      <c r="S38" s="591">
        <f>SUMIF($Z$36:$Z$36,"industrie",S36:S36)</f>
        <v>0</v>
      </c>
      <c r="T38" s="591">
        <f>SUMIF($Z$36:$Z$36,"industrie",T36:T36)</f>
        <v>0</v>
      </c>
      <c r="U38" s="591">
        <f>SUMIF($Z$36:$Z$36,"industrie",U36:U36)</f>
        <v>0</v>
      </c>
      <c r="V38" s="591">
        <f>SUMIF($Z$36:$Z$36,"industrie",V36:V36)</f>
        <v>0</v>
      </c>
      <c r="W38" s="591">
        <f>SUMIF($Z$36:$Z$36,"industrie",W36:W36)</f>
        <v>0</v>
      </c>
      <c r="X38" s="592"/>
      <c r="Y38" s="592"/>
      <c r="Z38" s="593"/>
    </row>
    <row r="39" spans="1:27" s="567" customFormat="1">
      <c r="A39" s="589" t="s">
        <v>277</v>
      </c>
      <c r="B39" s="590"/>
      <c r="C39" s="590"/>
      <c r="D39" s="590"/>
      <c r="E39" s="590"/>
      <c r="F39" s="590"/>
      <c r="G39" s="590"/>
      <c r="H39" s="590"/>
      <c r="I39" s="590"/>
      <c r="J39" s="590"/>
      <c r="K39" s="590"/>
      <c r="L39" s="591"/>
      <c r="M39" s="591">
        <f>SUMIF($Z$36:$Z$37,"tertiair",M36:M37)</f>
        <v>0</v>
      </c>
      <c r="N39" s="591">
        <f>SUMIF($Z$36:$Z$37,"tertiair",N36:N37)</f>
        <v>0</v>
      </c>
      <c r="O39" s="591">
        <f>SUMIF($Z$36:$Z$37,"tertiair",O36:O37)</f>
        <v>0</v>
      </c>
      <c r="P39" s="591">
        <f>SUMIF($Z$36:$Z$37,"tertiair",P36:P37)</f>
        <v>0</v>
      </c>
      <c r="Q39" s="591">
        <f>SUMIF($Z$36:$Z$37,"tertiair",Q36:Q37)</f>
        <v>0</v>
      </c>
      <c r="R39" s="591">
        <f>SUMIF($Z$36:$Z$37,"tertiair",R36:R37)</f>
        <v>0</v>
      </c>
      <c r="S39" s="591">
        <f>SUMIF($Z$36:$Z$37,"tertiair",S36:S37)</f>
        <v>0</v>
      </c>
      <c r="T39" s="591">
        <f>SUMIF($Z$36:$Z$37,"tertiair",T36:T37)</f>
        <v>0</v>
      </c>
      <c r="U39" s="591">
        <f>SUMIF($Z$36:$Z$37,"tertiair",U36:U37)</f>
        <v>0</v>
      </c>
      <c r="V39" s="591">
        <f>SUMIF($Z$36:$Z$37,"tertiair",V36:V37)</f>
        <v>0</v>
      </c>
      <c r="W39" s="591">
        <f>SUMIF($Z$36:$Z$37,"tertiair",W36:W37)</f>
        <v>0</v>
      </c>
      <c r="X39" s="592"/>
      <c r="Y39" s="592"/>
      <c r="Z39" s="593"/>
    </row>
    <row r="40" spans="1:27" s="567" customFormat="1" ht="15.75" thickBot="1">
      <c r="A40" s="594" t="s">
        <v>278</v>
      </c>
      <c r="B40" s="595"/>
      <c r="C40" s="595"/>
      <c r="D40" s="595"/>
      <c r="E40" s="595"/>
      <c r="F40" s="595"/>
      <c r="G40" s="595"/>
      <c r="H40" s="595"/>
      <c r="I40" s="595"/>
      <c r="J40" s="595"/>
      <c r="K40" s="595"/>
      <c r="L40" s="596"/>
      <c r="M40" s="596">
        <f>SUMIF($Z$36:$Z$38,"landbouw",M36:M38)</f>
        <v>0</v>
      </c>
      <c r="N40" s="596">
        <f>SUMIF($Z$36:$Z$38,"landbouw",N36:N38)</f>
        <v>0</v>
      </c>
      <c r="O40" s="596">
        <f>SUMIF($Z$36:$Z$38,"landbouw",O36:O38)</f>
        <v>0</v>
      </c>
      <c r="P40" s="596">
        <f>SUMIF($Z$36:$Z$38,"landbouw",P36:P38)</f>
        <v>0</v>
      </c>
      <c r="Q40" s="596">
        <f>SUMIF($Z$36:$Z$38,"landbouw",Q36:Q38)</f>
        <v>0</v>
      </c>
      <c r="R40" s="596">
        <f>SUMIF($Z$36:$Z$38,"landbouw",R36:R38)</f>
        <v>0</v>
      </c>
      <c r="S40" s="596">
        <f>SUMIF($Z$36:$Z$38,"landbouw",S36:S38)</f>
        <v>0</v>
      </c>
      <c r="T40" s="596">
        <f>SUMIF($Z$36:$Z$38,"landbouw",T36:T38)</f>
        <v>0</v>
      </c>
      <c r="U40" s="596">
        <f>SUMIF($Z$36:$Z$38,"landbouw",U36:U38)</f>
        <v>0</v>
      </c>
      <c r="V40" s="596">
        <f>SUMIF($Z$36:$Z$38,"landbouw",V36:V38)</f>
        <v>0</v>
      </c>
      <c r="W40" s="596">
        <f>SUMIF($Z$36:$Z$38,"landbouw",W36:W38)</f>
        <v>0</v>
      </c>
      <c r="X40" s="597"/>
      <c r="Y40" s="597"/>
      <c r="Z40" s="598"/>
    </row>
    <row r="41" spans="1:27" s="603" customForma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row>
    <row r="42" spans="1:27" s="603" customFormat="1" ht="15.75" thickBot="1">
      <c r="A42" s="599"/>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row>
    <row r="43" spans="1:27">
      <c r="A43" s="604" t="s">
        <v>271</v>
      </c>
      <c r="B43" s="605"/>
      <c r="C43" s="605"/>
      <c r="D43" s="605"/>
      <c r="E43" s="605"/>
      <c r="F43" s="605"/>
      <c r="G43" s="605"/>
      <c r="H43" s="605"/>
      <c r="I43" s="606"/>
      <c r="J43" s="607"/>
      <c r="K43" s="607"/>
      <c r="L43" s="608"/>
      <c r="M43" s="608"/>
      <c r="N43" s="608"/>
      <c r="O43" s="608"/>
      <c r="P43" s="608"/>
    </row>
    <row r="44" spans="1:27">
      <c r="A44" s="610"/>
      <c r="B44" s="600"/>
      <c r="C44" s="600"/>
      <c r="D44" s="600"/>
      <c r="E44" s="600"/>
      <c r="F44" s="600"/>
      <c r="G44" s="600"/>
      <c r="H44" s="600"/>
      <c r="I44" s="611"/>
      <c r="J44" s="600"/>
      <c r="K44" s="600"/>
      <c r="L44" s="608"/>
      <c r="M44" s="608"/>
      <c r="N44" s="608"/>
      <c r="O44" s="608"/>
      <c r="P44" s="608"/>
    </row>
    <row r="45" spans="1:27">
      <c r="A45" s="612"/>
      <c r="B45" s="613" t="s">
        <v>272</v>
      </c>
      <c r="C45" s="613" t="s">
        <v>273</v>
      </c>
      <c r="D45" s="613"/>
      <c r="E45" s="613"/>
      <c r="F45" s="613"/>
      <c r="G45" s="613"/>
      <c r="H45" s="613"/>
      <c r="I45" s="614"/>
      <c r="J45" s="613"/>
      <c r="K45" s="613"/>
      <c r="L45" s="613"/>
      <c r="M45" s="613"/>
      <c r="N45" s="613"/>
      <c r="O45" s="613"/>
      <c r="P45" s="608"/>
    </row>
    <row r="46" spans="1:27">
      <c r="A46" s="610" t="s">
        <v>269</v>
      </c>
      <c r="B46" s="615">
        <f>IF(ISERROR(O30/(O30+N30)),0,O30/(O30+N30))</f>
        <v>0.58823529411764708</v>
      </c>
      <c r="C46" s="616">
        <f>IF(ISERROR(N30/(O30+N30)),0,N30/(N30+O30))</f>
        <v>0.41176470588235298</v>
      </c>
      <c r="D46" s="583"/>
      <c r="E46" s="583"/>
      <c r="F46" s="583"/>
      <c r="G46" s="583"/>
      <c r="H46" s="583"/>
      <c r="I46" s="617"/>
      <c r="J46" s="583"/>
      <c r="K46" s="583"/>
      <c r="L46" s="618"/>
      <c r="M46" s="618"/>
      <c r="N46" s="618"/>
      <c r="O46" s="618"/>
      <c r="P46" s="608"/>
    </row>
    <row r="47" spans="1:27">
      <c r="A47" s="610"/>
      <c r="B47" s="619"/>
      <c r="C47" s="619"/>
      <c r="D47" s="619"/>
      <c r="E47" s="619"/>
      <c r="F47" s="619"/>
      <c r="G47" s="619"/>
      <c r="H47" s="619"/>
      <c r="I47" s="620"/>
      <c r="J47" s="619"/>
      <c r="K47" s="619"/>
      <c r="L47" s="621"/>
      <c r="M47" s="621"/>
      <c r="N47" s="621"/>
      <c r="O47" s="621"/>
      <c r="P47" s="608"/>
    </row>
    <row r="48" spans="1:27" ht="30">
      <c r="A48" s="622"/>
      <c r="B48" s="623" t="s">
        <v>512</v>
      </c>
      <c r="C48" s="623" t="s">
        <v>96</v>
      </c>
      <c r="D48" s="623" t="s">
        <v>97</v>
      </c>
      <c r="E48" s="623" t="s">
        <v>98</v>
      </c>
      <c r="F48" s="623" t="s">
        <v>99</v>
      </c>
      <c r="G48" s="623" t="s">
        <v>100</v>
      </c>
      <c r="H48" s="623" t="s">
        <v>101</v>
      </c>
      <c r="I48" s="624" t="s">
        <v>102</v>
      </c>
      <c r="J48" s="613"/>
      <c r="K48" s="613"/>
      <c r="L48" s="621"/>
      <c r="M48" s="621"/>
      <c r="N48" s="621"/>
      <c r="O48" s="608"/>
      <c r="P48" s="608"/>
    </row>
    <row r="49" spans="1:16">
      <c r="A49" s="612" t="s">
        <v>274</v>
      </c>
      <c r="B49" s="625">
        <f t="shared" ref="B49:I49" si="2">$C$46*P30</f>
        <v>0</v>
      </c>
      <c r="C49" s="625">
        <f t="shared" si="2"/>
        <v>24522.352941176472</v>
      </c>
      <c r="D49" s="625">
        <f t="shared" si="2"/>
        <v>0</v>
      </c>
      <c r="E49" s="625">
        <f t="shared" si="2"/>
        <v>0</v>
      </c>
      <c r="F49" s="625">
        <f t="shared" si="2"/>
        <v>0</v>
      </c>
      <c r="G49" s="625">
        <f t="shared" si="2"/>
        <v>0</v>
      </c>
      <c r="H49" s="625">
        <f t="shared" si="2"/>
        <v>0</v>
      </c>
      <c r="I49" s="626">
        <f t="shared" si="2"/>
        <v>0</v>
      </c>
      <c r="J49" s="583"/>
      <c r="K49" s="583"/>
      <c r="L49" s="621"/>
      <c r="M49" s="621"/>
      <c r="N49" s="621"/>
      <c r="O49" s="608"/>
      <c r="P49" s="608"/>
    </row>
    <row r="50" spans="1:16" ht="15.75" thickBot="1">
      <c r="A50" s="627" t="s">
        <v>275</v>
      </c>
      <c r="B50" s="628">
        <f t="shared" ref="B50:I50" si="3">$B$46*P30</f>
        <v>0</v>
      </c>
      <c r="C50" s="628">
        <f t="shared" si="3"/>
        <v>35031.932773109242</v>
      </c>
      <c r="D50" s="628">
        <f t="shared" si="3"/>
        <v>0</v>
      </c>
      <c r="E50" s="628">
        <f t="shared" si="3"/>
        <v>0</v>
      </c>
      <c r="F50" s="628">
        <f t="shared" si="3"/>
        <v>0</v>
      </c>
      <c r="G50" s="628">
        <f t="shared" si="3"/>
        <v>0</v>
      </c>
      <c r="H50" s="628">
        <f t="shared" si="3"/>
        <v>0</v>
      </c>
      <c r="I50" s="629">
        <f t="shared" si="3"/>
        <v>0</v>
      </c>
      <c r="J50" s="583"/>
      <c r="K50" s="583"/>
      <c r="L50" s="621"/>
      <c r="M50" s="621"/>
      <c r="N50" s="621"/>
      <c r="O50" s="608"/>
      <c r="P50" s="608"/>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2021-11-11T12:29:12Z</dcterms:modified>
</cp:coreProperties>
</file>