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83475454-0069-41B7-882D-7B04CF1BAF7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2" i="13"/>
  <c r="B35" i="13"/>
  <c r="B34"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<sst xmlns="http://schemas.openxmlformats.org/spreadsheetml/2006/main" count="2441" uniqueCount="880">
  <si>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</si>
  <si>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</si>
  <si>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</si>
  <si>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</si>
  <si>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</si>
  <si>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</si>
  <si>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</si>
  <si>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</si>
  <si>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</si>
  <si>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</si>
  <si>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</si>
  <si>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</si>
  <si>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</si>
  <si>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</si>
  <si>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</si>
  <si>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</si>
  <si>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</si>
  <si>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</si>
  <si>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</si>
  <si>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</si>
  <si>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</si>
  <si>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</si>
  <si>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</si>
  <si>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</si>
  <si>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</si>
  <si>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</si>
  <si>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</si>
  <si>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</si>
  <si>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</si>
  <si>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</si>
  <si>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</si>
  <si>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</si>
  <si>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</si>
  <si>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</si>
  <si>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</si>
  <si>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</si>
  <si>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</si>
  <si>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</si>
  <si>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</si>
  <si>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</si>
  <si>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</si>
  <si>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</si>
  <si>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</si>
  <si>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</si>
  <si>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</si>
  <si>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</si>
  <si>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</si>
  <si>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</si>
  <si>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</si>
  <si>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</si>
  <si>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</si>
  <si>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</si>
  <si>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</si>
  <si>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</si>
  <si>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</si>
  <si>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</si>
  <si>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</si>
  <si>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</si>
  <si>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</si>
  <si>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</si>
  <si>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</si>
  <si>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</si>
  <si>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</si>
  <si>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</si>
  <si>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</si>
  <si>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</si>
  <si>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</si>
  <si>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</si>
  <si>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</si>
  <si>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</si>
  <si>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</si>
  <si>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</si>
  <si>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</si>
  <si>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</si>
  <si>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</si>
  <si>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</si>
  <si>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</si>
  <si>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</si>
  <si>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</si>
  <si>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</si>
  <si>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</si>
  <si>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</si>
  <si>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</si>
  <si>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</si>
  <si>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</si>
  <si>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</si>
  <si>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</si>
  <si>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</si>
  <si>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</si>
  <si>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</si>
  <si>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</si>
  <si>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</si>
  <si>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</si>
  <si>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</si>
  <si>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</si>
  <si>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</si>
  <si>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</si>
  <si>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</si>
  <si>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</si>
  <si>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</si>
  <si>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</si>
  <si>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</si>
  <si>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</si>
  <si>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</si>
  <si>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</si>
  <si>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</si>
  <si>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</si>
  <si>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</si>
  <si>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</si>
  <si>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</si>
  <si>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</si>
  <si>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</si>
  <si>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</si>
  <si>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</si>
  <si>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</si>
  <si>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</si>
  <si>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</si>
  <si>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</si>
  <si>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</si>
  <si>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</si>
  <si>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</si>
  <si>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</si>
  <si>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</si>
  <si>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</si>
  <si>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</si>
  <si>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</si>
  <si>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</si>
  <si>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</si>
  <si>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</si>
  <si>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</si>
  <si>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</si>
  <si>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</si>
  <si>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</si>
  <si>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</si>
  <si>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</si>
  <si>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</si>
  <si>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</si>
  <si>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</si>
  <si>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</si>
  <si>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</si>
  <si>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</si>
  <si>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</si>
  <si>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</si>
  <si>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</si>
  <si>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</si>
  <si>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</si>
  <si>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</si>
  <si>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</si>
  <si>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</si>
  <si>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</si>
  <si>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</si>
  <si>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</si>
  <si>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</si>
  <si>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</si>
  <si>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</si>
  <si>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</si>
  <si>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</si>
  <si>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</si>
  <si>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</si>
  <si>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</si>
  <si>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</si>
  <si>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</si>
  <si>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</si>
  <si>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</si>
  <si>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</si>
  <si>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</si>
  <si>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</si>
  <si>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</si>
  <si>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</si>
  <si>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</si>
  <si>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</si>
  <si>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</si>
  <si>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</si>
  <si>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</si>
  <si>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</si>
  <si>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</si>
  <si>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</si>
  <si>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</si>
  <si>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</si>
  <si>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</si>
  <si>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</si>
  <si>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</si>
  <si>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</si>
  <si>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</si>
  <si>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</si>
  <si>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</si>
  <si>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</si>
  <si>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</si>
  <si>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</si>
  <si>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</si>
  <si>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</si>
  <si>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</si>
  <si>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</si>
  <si>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</si>
  <si>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</si>
  <si>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</si>
  <si>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</si>
  <si>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</si>
  <si>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</si>
  <si>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</si>
  <si>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</si>
  <si>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</si>
  <si>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</si>
  <si>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</si>
  <si>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</si>
  <si>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</si>
  <si>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</si>
  <si>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</si>
  <si>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</si>
  <si>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</si>
  <si>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</si>
  <si>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</si>
  <si>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</si>
  <si>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</si>
  <si>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</si>
  <si>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</si>
  <si>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</si>
  <si>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</si>
  <si>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</si>
  <si>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</si>
  <si>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</si>
  <si>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</si>
  <si>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</si>
  <si>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</si>
  <si>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</si>
  <si>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</si>
  <si>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</si>
  <si>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</si>
  <si>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</si>
  <si>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</si>
  <si>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</si>
  <si>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</si>
  <si>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</si>
  <si>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</si>
  <si>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</si>
  <si>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</si>
  <si>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</si>
  <si>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</si>
  <si>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</si>
  <si>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</si>
  <si>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</si>
  <si>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</si>
  <si>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</si>
  <si>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</si>
  <si>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</si>
  <si>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</si>
  <si>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</si>
  <si>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</si>
  <si>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</si>
  <si>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</si>
  <si>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</si>
  <si>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</si>
  <si>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</si>
  <si>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</si>
  <si>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</si>
  <si>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</si>
  <si>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</si>
  <si>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</si>
  <si>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</si>
  <si>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</si>
  <si>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</si>
  <si>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</si>
  <si>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</si>
  <si>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</si>
  <si>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</si>
  <si>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</si>
  <si>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</si>
  <si>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</si>
  <si>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</si>
  <si>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</si>
  <si>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</si>
  <si>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</si>
  <si>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</si>
  <si>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</si>
  <si>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</si>
  <si>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</si>
  <si>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</si>
  <si>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</si>
  <si>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</si>
  <si>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</si>
  <si>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</si>
  <si>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</si>
  <si>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</si>
  <si>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</si>
  <si>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</si>
  <si>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</si>
  <si>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</si>
  <si>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</si>
  <si>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</si>
  <si>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</si>
  <si>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</si>
  <si>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</si>
  <si>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</si>
  <si>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</si>
  <si>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</si>
  <si>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</si>
  <si>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</si>
  <si>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</si>
  <si>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</si>
  <si>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</si>
  <si>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</si>
  <si>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</si>
  <si>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</si>
  <si>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</si>
  <si>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</si>
  <si>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</si>
  <si>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</si>
  <si>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</si>
  <si>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</si>
  <si>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</si>
  <si>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</si>
  <si>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</si>
  <si>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</si>
  <si>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</si>
  <si>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</si>
  <si>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</si>
  <si>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</si>
  <si>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</si>
  <si>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</si>
  <si>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</si>
  <si>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</si>
  <si>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</si>
  <si>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</si>
  <si>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</si>
  <si>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</si>
  <si>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</si>
  <si>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</si>
  <si>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</si>
  <si>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</si>
  <si>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</si>
  <si>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</si>
  <si>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</si>
  <si>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</si>
  <si>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</si>
  <si>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</si>
  <si>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</si>
  <si>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</si>
  <si>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</si>
  <si>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</si>
  <si>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</si>
  <si>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</si>
  <si>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</si>
  <si>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</si>
  <si>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</si>
  <si>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</si>
  <si>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</si>
  <si>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</si>
  <si>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</si>
  <si>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</si>
  <si>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</si>
  <si>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</si>
  <si>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</si>
  <si>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</si>
  <si>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</si>
  <si>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</si>
  <si>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</si>
  <si>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</si>
  <si>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</si>
  <si>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</si>
  <si>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</si>
  <si>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</si>
  <si>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</si>
  <si>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</si>
  <si>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</si>
  <si>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</si>
  <si>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</si>
  <si>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</si>
  <si>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</si>
  <si>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</si>
  <si>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</si>
  <si>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</si>
  <si>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</si>
  <si>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</si>
  <si>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</si>
  <si>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</si>
  <si>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</si>
  <si>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</si>
  <si>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</si>
  <si>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</si>
  <si>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</si>
  <si>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</si>
  <si>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</si>
  <si>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</si>
  <si>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</si>
  <si>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</si>
  <si>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</si>
  <si>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</si>
  <si>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</si>
  <si>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</si>
  <si>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</si>
  <si>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</si>
  <si>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</si>
  <si>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</si>
  <si>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</si>
  <si>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</si>
  <si>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</si>
  <si>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</si>
  <si>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</si>
  <si>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</si>
  <si>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</si>
  <si>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</si>
  <si>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</si>
  <si>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</si>
  <si>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</si>
  <si>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</si>
  <si>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</si>
  <si>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</si>
  <si>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</si>
  <si>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</si>
  <si>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</si>
  <si>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</si>
  <si>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</si>
  <si>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</si>
  <si>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</si>
  <si>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</si>
  <si>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</si>
  <si>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</si>
  <si>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</si>
  <si>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</si>
  <si>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</si>
  <si>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</si>
  <si>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</si>
  <si>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</si>
  <si>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</si>
  <si>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</si>
  <si>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</si>
  <si>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</si>
  <si>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</si>
  <si>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</si>
  <si>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</si>
  <si>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</si>
  <si>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</si>
  <si>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</si>
  <si>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</si>
  <si>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</si>
  <si>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</si>
  <si>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</si>
  <si>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</si>
  <si>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</si>
  <si>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</si>
  <si>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</si>
  <si>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</si>
  <si>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</si>
  <si>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</si>
  <si>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</si>
  <si>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</si>
  <si>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</si>
  <si>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</si>
  <si>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</si>
  <si>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</si>
  <si>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</si>
  <si>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</si>
  <si>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</si>
  <si>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</si>
  <si>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</si>
  <si>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</si>
  <si>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</si>
  <si>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</si>
  <si>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</si>
  <si>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</si>
  <si>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</si>
  <si>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</si>
  <si>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</si>
  <si>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</si>
  <si>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</si>
  <si>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</si>
  <si>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</si>
  <si>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</si>
  <si>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</si>
  <si>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</si>
  <si>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</si>
  <si>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</si>
  <si>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</si>
  <si>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</si>
  <si>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</si>
  <si>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</si>
  <si>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</si>
  <si>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</si>
  <si>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</si>
  <si>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</si>
  <si>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</si>
  <si>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</si>
  <si>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</si>
  <si>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</si>
  <si>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</si>
  <si>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</si>
  <si>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</si>
  <si>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</si>
  <si>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</si>
  <si>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</si>
  <si>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</si>
  <si>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</si>
  <si>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</si>
  <si>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</si>
  <si>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</si>
  <si>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</si>
  <si>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</si>
  <si>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</si>
  <si>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</si>
  <si>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</si>
  <si>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</si>
  <si>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</si>
  <si>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</si>
  <si>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</si>
  <si>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</si>
  <si>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</si>
  <si>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</si>
  <si>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</si>
  <si>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</si>
  <si>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</si>
  <si>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</si>
  <si>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</si>
  <si>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</si>
  <si>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</si>
  <si>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</si>
  <si>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</si>
  <si>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</si>
  <si>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</si>
  <si>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</si>
  <si>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</si>
  <si>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</si>
  <si>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</si>
  <si>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</si>
  <si>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</si>
  <si>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</si>
  <si>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</si>
  <si>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</si>
  <si>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</si>
  <si>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</si>
  <si>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</si>
  <si>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</si>
  <si>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</si>
  <si>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</si>
  <si>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</si>
  <si>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</si>
  <si>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</si>
  <si>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</si>
  <si>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</si>
  <si>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</si>
  <si>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</si>
  <si>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</si>
  <si>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</si>
  <si>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</si>
  <si>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</si>
  <si>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</si>
  <si>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</si>
  <si>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</si>
  <si>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</si>
  <si>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</si>
  <si>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</si>
  <si>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</si>
  <si>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</si>
  <si>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</si>
  <si>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</si>
  <si>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</si>
  <si>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</si>
  <si>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</si>
  <si>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</si>
  <si>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</si>
  <si>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</si>
  <si>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</si>
  <si>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</si>
  <si>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</si>
  <si>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</si>
  <si>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</si>
  <si>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</si>
  <si>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</si>
  <si>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</si>
  <si>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</si>
  <si>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</si>
  <si>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</si>
  <si>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</si>
  <si>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</si>
  <si>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</si>
  <si>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</si>
  <si>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</si>
  <si>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</si>
  <si>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</si>
  <si>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</si>
  <si>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</si>
  <si>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</si>
  <si>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</si>
  <si>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</si>
  <si>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</si>
  <si>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</si>
  <si>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</si>
  <si>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</si>
  <si>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</si>
  <si>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</si>
  <si>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</si>
  <si>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</si>
  <si>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</si>
  <si>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</si>
  <si>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</si>
  <si>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</si>
  <si>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</si>
  <si>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</si>
  <si>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</si>
  <si>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</si>
  <si>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</si>
  <si>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</si>
  <si>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</si>
  <si>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</si>
  <si>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</si>
  <si>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</si>
  <si>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</si>
  <si>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</si>
  <si>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</si>
  <si>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</si>
  <si>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</si>
  <si>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</si>
  <si>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</si>
  <si>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</si>
  <si>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</si>
  <si>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</si>
  <si>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</si>
  <si>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</si>
  <si>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</si>
  <si>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</si>
  <si>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</si>
  <si>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</si>
  <si>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</si>
  <si>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</si>
  <si>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</si>
  <si>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</si>
  <si>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</si>
  <si>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</si>
  <si>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</si>
  <si>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</si>
  <si>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</si>
  <si>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</si>
  <si>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</si>
  <si>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</si>
  <si>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</si>
  <si>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</si>
  <si>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</si>
  <si>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</si>
  <si>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</si>
  <si>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</si>
  <si>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</si>
  <si>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</si>
  <si>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</si>
  <si>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</si>
  <si>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</si>
  <si>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</si>
  <si>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</si>
  <si>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</si>
  <si>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</si>
  <si>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</si>
  <si>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</si>
  <si>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</si>
  <si>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</si>
  <si>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</si>
  <si>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</si>
  <si>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</si>
  <si>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</si>
  <si>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</si>
  <si>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</si>
  <si>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</si>
  <si>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</si>
  <si>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</si>
  <si>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</si>
  <si>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</si>
  <si>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</si>
  <si>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</si>
  <si>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</si>
  <si>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</si>
  <si>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</si>
  <si>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</si>
  <si>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</si>
  <si>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</si>
  <si>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</si>
  <si>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</si>
  <si>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</si>
  <si>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</si>
  <si>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</si>
  <si>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</si>
  <si>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</si>
  <si>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</si>
  <si>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</si>
  <si>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</si>
  <si>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</si>
  <si>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</si>
  <si>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</si>
  <si>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</si>
  <si>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</si>
  <si>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</si>
  <si>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</si>
  <si>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</si>
  <si>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</si>
  <si>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</si>
  <si>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</si>
  <si>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</si>
  <si>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</si>
  <si>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</si>
  <si>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</si>
  <si>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</si>
  <si>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</si>
  <si>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</si>
  <si>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</si>
  <si>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</si>
  <si>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</si>
  <si>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</si>
  <si>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</si>
  <si>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</si>
  <si>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</si>
  <si>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</si>
  <si>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</si>
  <si>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</si>
  <si>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</si>
  <si>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</si>
  <si>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</si>
  <si>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</si>
  <si>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</si>
  <si>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</si>
  <si>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</si>
  <si>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</si>
  <si>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</si>
  <si>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</si>
  <si>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</si>
  <si>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</si>
  <si>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</si>
  <si>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</si>
  <si>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</si>
  <si>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</si>
  <si>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</si>
  <si>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</si>
  <si>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</si>
  <si>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</si>
  <si>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</si>
  <si>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</si>
  <si>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</si>
  <si>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</si>
  <si>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</si>
  <si>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</si>
  <si>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</si>
  <si>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</si>
  <si>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</si>
  <si>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</si>
  <si>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</si>
  <si>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</si>
  <si>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</si>
  <si>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</si>
  <si>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</si>
  <si>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</si>
  <si>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</si>
  <si>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</si>
  <si>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</si>
  <si>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</si>
  <si>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</si>
  <si>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</si>
  <si>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</si>
  <si>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</si>
  <si>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</si>
  <si>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</si>
  <si>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</si>
  <si>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</si>
  <si>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</si>
  <si>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</si>
  <si>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</si>
  <si>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</si>
  <si>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</si>
  <si>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</si>
  <si>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</si>
  <si>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</si>
  <si>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</si>
  <si>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</si>
  <si>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</si>
  <si>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</si>
  <si>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</si>
  <si>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</si>
  <si>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</si>
  <si>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</si>
  <si>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</si>
  <si>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</si>
  <si>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</si>
  <si>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</si>
  <si>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</si>
  <si>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</si>
  <si>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</si>
  <si>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</si>
  <si>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</si>
  <si>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</si>
  <si>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</si>
  <si>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</si>
  <si>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</si>
  <si>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</si>
  <si>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</si>
  <si>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</si>
  <si>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</si>
  <si>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</si>
  <si>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</si>
  <si>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</si>
  <si>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</si>
  <si>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</si>
  <si>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</si>
  <si>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</si>
  <si>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</si>
  <si>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</si>
  <si>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</si>
  <si>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</si>
  <si>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</si>
  <si>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</si>
  <si>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</si>
  <si>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</si>
  <si>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</si>
  <si>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</si>
  <si>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</si>
  <si>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</si>
  <si>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</si>
  <si>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</si>
  <si>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</si>
  <si>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</si>
  <si>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</si>
  <si>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</si>
  <si>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</si>
  <si>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</si>
  <si>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</si>
  <si>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</si>
  <si>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</si>
  <si>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</si>
  <si>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</si>
  <si>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</si>
  <si>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</si>
  <si>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</si>
  <si>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</si>
  <si>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</si>
  <si>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</si>
  <si>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</si>
  <si>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</si>
  <si>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</si>
  <si>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</si>
  <si>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</si>
  <si>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</si>
  <si>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</si>
  <si>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</si>
  <si>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</si>
  <si>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</si>
  <si>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</si>
  <si>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</si>
  <si>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</si>
  <si>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</si>
  <si>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</si>
  <si>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</si>
  <si>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</si>
  <si>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</si>
  <si>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</si>
  <si>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</si>
  <si>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</si>
  <si>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</si>
  <si>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</si>
  <si>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</si>
  <si>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</si>
  <si>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</si>
  <si>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</si>
  <si>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</si>
  <si>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</si>
  <si>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</si>
  <si>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</si>
  <si>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</si>
  <si>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</si>
  <si>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</si>
  <si>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</si>
  <si>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</si>
  <si>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</si>
  <si>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</si>
  <si>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</si>
  <si>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</si>
  <si>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</si>
  <si>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</si>
  <si>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</si>
  <si>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</si>
  <si>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</si>
  <si>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13031</t>
  </si>
  <si>
    <t>OUD-TURNHOUT</t>
  </si>
  <si>
    <t>referentietaak LNE (2017); Jaarverslag De Lijn</t>
  </si>
  <si>
    <t>waterkracht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</si>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</sst>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924AD930-47ED-4239-A302-16EDC1F5FAD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127575.50210733862</c:v>
                </c:pt>
                <c:pt idx="1">
                  <c:v>33881.167339264415</c:v>
                </c:pt>
                <c:pt idx="2">
                  <c:v>703.25599999999997</c:v>
                </c:pt>
                <c:pt idx="3">
                  <c:v>26953.866715857959</c:v>
                </c:pt>
                <c:pt idx="4">
                  <c:v>4833.5469471524839</c:v>
                </c:pt>
                <c:pt idx="5">
                  <c:v>138232.76985847537</c:v>
                </c:pt>
                <c:pt idx="6">
                  <c:v>1285.6398382332306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127575.50210733862</c:v>
                </c:pt>
                <c:pt idx="1">
                  <c:v>33881.167339264415</c:v>
                </c:pt>
                <c:pt idx="2">
                  <c:v>703.25599999999997</c:v>
                </c:pt>
                <c:pt idx="3">
                  <c:v>26953.866715857959</c:v>
                </c:pt>
                <c:pt idx="4">
                  <c:v>4833.5469471524839</c:v>
                </c:pt>
                <c:pt idx="5">
                  <c:v>138232.76985847537</c:v>
                </c:pt>
                <c:pt idx="6">
                  <c:v>1285.6398382332306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24760.388621771657</c:v>
                </c:pt>
                <c:pt idx="1">
                  <c:v>6370.5437609356886</c:v>
                </c:pt>
                <c:pt idx="2">
                  <c:v>121.64341677575268</c:v>
                </c:pt>
                <c:pt idx="3">
                  <c:v>6535.421738540429</c:v>
                </c:pt>
                <c:pt idx="4">
                  <c:v>939.47449042798814</c:v>
                </c:pt>
                <c:pt idx="5">
                  <c:v>34482.778429461905</c:v>
                </c:pt>
                <c:pt idx="6">
                  <c:v>323.95447134664084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24760.388621771657</c:v>
                </c:pt>
                <c:pt idx="1">
                  <c:v>6370.5437609356886</c:v>
                </c:pt>
                <c:pt idx="2">
                  <c:v>121.64341677575268</c:v>
                </c:pt>
                <c:pt idx="3">
                  <c:v>6535.421738540429</c:v>
                </c:pt>
                <c:pt idx="4">
                  <c:v>939.47449042798814</c:v>
                </c:pt>
                <c:pt idx="5">
                  <c:v>34482.778429461905</c:v>
                </c:pt>
                <c:pt idx="6">
                  <c:v>323.95447134664084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13031</v>
      </c>
      <c r="B6" s="384"/>
      <c r="C6" s="385"/>
    </row>
    <row r="7" spans="1:7" s="382" customFormat="1" ht="15.75" customHeight="1">
      <c r="A7" s="386" t="str">
        <f>txtMunicipality</f>
        <v>OUD-TURNHOUT</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13850.791421354976</v>
      </c>
      <c r="D10" s="680">
        <f ca="1">tertiair!C16</f>
        <v>0</v>
      </c>
      <c r="E10" s="680">
        <f ca="1">tertiair!D16</f>
        <v>16098.71445576059</v>
      </c>
      <c r="F10" s="680">
        <f>tertiair!E16</f>
        <v>66.549619158971765</v>
      </c>
      <c r="G10" s="680">
        <f ca="1">tertiair!F16</f>
        <v>3106.1106683380672</v>
      </c>
      <c r="H10" s="680">
        <f>tertiair!G16</f>
        <v>0</v>
      </c>
      <c r="I10" s="680">
        <f>tertiair!H16</f>
        <v>0</v>
      </c>
      <c r="J10" s="680">
        <f>tertiair!I16</f>
        <v>0</v>
      </c>
      <c r="K10" s="680">
        <f>tertiair!J16</f>
        <v>3.6717987985791477E-2</v>
      </c>
      <c r="L10" s="680">
        <f>tertiair!K16</f>
        <v>0</v>
      </c>
      <c r="M10" s="680">
        <f ca="1">tertiair!L16</f>
        <v>0</v>
      </c>
      <c r="N10" s="680">
        <f>tertiair!M16</f>
        <v>0</v>
      </c>
      <c r="O10" s="680">
        <f ca="1">tertiair!N16</f>
        <v>1337.5531369874625</v>
      </c>
      <c r="P10" s="680">
        <f>tertiair!O16</f>
        <v>19.589043063364617</v>
      </c>
      <c r="Q10" s="681">
        <f>tertiair!P16</f>
        <v>105.07827661299004</v>
      </c>
      <c r="R10" s="683">
        <f ca="1">SUM(C10:Q10)</f>
        <v>34584.423339264409</v>
      </c>
      <c r="S10" s="67"/>
    </row>
    <row r="11" spans="1:19" s="443" customFormat="1">
      <c r="A11" s="801" t="s">
        <v>214</v>
      </c>
      <c r="B11" s="806"/>
      <c r="C11" s="680">
        <f>huishoudens!B8</f>
        <v>24830.192856406771</v>
      </c>
      <c r="D11" s="680">
        <f>huishoudens!C8</f>
        <v>0</v>
      </c>
      <c r="E11" s="680">
        <f>huishoudens!D8</f>
        <v>73094.865556530014</v>
      </c>
      <c r="F11" s="680">
        <f>huishoudens!E8</f>
        <v>900.26134735027699</v>
      </c>
      <c r="G11" s="680">
        <f>huishoudens!F8</f>
        <v>20448.428757532074</v>
      </c>
      <c r="H11" s="680">
        <f>huishoudens!G8</f>
        <v>0</v>
      </c>
      <c r="I11" s="680">
        <f>huishoudens!H8</f>
        <v>0</v>
      </c>
      <c r="J11" s="680">
        <f>huishoudens!I8</f>
        <v>0</v>
      </c>
      <c r="K11" s="680">
        <f>huishoudens!J8</f>
        <v>102.30003902788891</v>
      </c>
      <c r="L11" s="680">
        <f>huishoudens!K8</f>
        <v>0</v>
      </c>
      <c r="M11" s="680">
        <f>huishoudens!L8</f>
        <v>0</v>
      </c>
      <c r="N11" s="680">
        <f>huishoudens!M8</f>
        <v>0</v>
      </c>
      <c r="O11" s="680">
        <f>huishoudens!N8</f>
        <v>7126.6460062901069</v>
      </c>
      <c r="P11" s="680">
        <f>huishoudens!O8</f>
        <v>367.03227058660087</v>
      </c>
      <c r="Q11" s="681">
        <f>huishoudens!P8</f>
        <v>705.77527361489661</v>
      </c>
      <c r="R11" s="683">
        <f>SUM(C11:Q11)</f>
        <v>127575.50210733862</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1944.3823335228294</v>
      </c>
      <c r="D13" s="680">
        <f>industrie!C18</f>
        <v>0</v>
      </c>
      <c r="E13" s="680">
        <f>industrie!D18</f>
        <v>2311.5488274295626</v>
      </c>
      <c r="F13" s="680">
        <f>industrie!E18</f>
        <v>4.8932780457410336</v>
      </c>
      <c r="G13" s="680">
        <f>industrie!F18</f>
        <v>505.80636536220675</v>
      </c>
      <c r="H13" s="680">
        <f>industrie!G18</f>
        <v>0</v>
      </c>
      <c r="I13" s="680">
        <f>industrie!H18</f>
        <v>0</v>
      </c>
      <c r="J13" s="680">
        <f>industrie!I18</f>
        <v>0</v>
      </c>
      <c r="K13" s="680">
        <f>industrie!J18</f>
        <v>0.16200692000974096</v>
      </c>
      <c r="L13" s="680">
        <f>industrie!K18</f>
        <v>0</v>
      </c>
      <c r="M13" s="680">
        <f>industrie!L18</f>
        <v>0</v>
      </c>
      <c r="N13" s="680">
        <f>industrie!M18</f>
        <v>0</v>
      </c>
      <c r="O13" s="680">
        <f>industrie!N18</f>
        <v>66.754135872134725</v>
      </c>
      <c r="P13" s="680">
        <f>industrie!O18</f>
        <v>0</v>
      </c>
      <c r="Q13" s="681">
        <f>industrie!P18</f>
        <v>0</v>
      </c>
      <c r="R13" s="683">
        <f>SUM(C13:Q13)</f>
        <v>4833.5469471524839</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40625.366611284575</v>
      </c>
      <c r="D16" s="716">
        <f t="shared" ref="D16:R16" ca="1" si="0">SUM(D9:D15)</f>
        <v>0</v>
      </c>
      <c r="E16" s="716">
        <f t="shared" ca="1" si="0"/>
        <v>91505.128839720172</v>
      </c>
      <c r="F16" s="716">
        <f t="shared" si="0"/>
        <v>971.70424455498971</v>
      </c>
      <c r="G16" s="716">
        <f t="shared" ca="1" si="0"/>
        <v>24060.34579123235</v>
      </c>
      <c r="H16" s="716">
        <f t="shared" si="0"/>
        <v>0</v>
      </c>
      <c r="I16" s="716">
        <f t="shared" si="0"/>
        <v>0</v>
      </c>
      <c r="J16" s="716">
        <f t="shared" si="0"/>
        <v>0</v>
      </c>
      <c r="K16" s="716">
        <f t="shared" si="0"/>
        <v>102.49876393588445</v>
      </c>
      <c r="L16" s="716">
        <f t="shared" si="0"/>
        <v>0</v>
      </c>
      <c r="M16" s="716">
        <f t="shared" ca="1" si="0"/>
        <v>0</v>
      </c>
      <c r="N16" s="716">
        <f t="shared" si="0"/>
        <v>0</v>
      </c>
      <c r="O16" s="716">
        <f t="shared" ca="1" si="0"/>
        <v>8530.953279149704</v>
      </c>
      <c r="P16" s="716">
        <f t="shared" si="0"/>
        <v>386.62131364996549</v>
      </c>
      <c r="Q16" s="716">
        <f t="shared" si="0"/>
        <v>810.85355022788667</v>
      </c>
      <c r="R16" s="716">
        <f t="shared" ca="1" si="0"/>
        <v>166993.47239375551</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16.845473806441777</v>
      </c>
      <c r="D19" s="680">
        <f>transport!C54</f>
        <v>0</v>
      </c>
      <c r="E19" s="680">
        <f>transport!D54</f>
        <v>0</v>
      </c>
      <c r="F19" s="680">
        <f>transport!E54</f>
        <v>0</v>
      </c>
      <c r="G19" s="680">
        <f>transport!F54</f>
        <v>0</v>
      </c>
      <c r="H19" s="680">
        <f>transport!G54</f>
        <v>1202.3995519265104</v>
      </c>
      <c r="I19" s="680">
        <f>transport!H54</f>
        <v>0</v>
      </c>
      <c r="J19" s="680">
        <f>transport!I54</f>
        <v>0</v>
      </c>
      <c r="K19" s="680">
        <f>transport!J54</f>
        <v>0</v>
      </c>
      <c r="L19" s="680">
        <f>transport!K54</f>
        <v>0</v>
      </c>
      <c r="M19" s="680">
        <f>transport!L54</f>
        <v>0</v>
      </c>
      <c r="N19" s="680">
        <f>transport!M54</f>
        <v>66.394812500278476</v>
      </c>
      <c r="O19" s="680">
        <f>transport!N54</f>
        <v>0</v>
      </c>
      <c r="P19" s="680">
        <f>transport!O54</f>
        <v>0</v>
      </c>
      <c r="Q19" s="681">
        <f>transport!P54</f>
        <v>0</v>
      </c>
      <c r="R19" s="683">
        <f>SUM(C19:Q19)</f>
        <v>1285.6398382332306</v>
      </c>
      <c r="S19" s="67"/>
    </row>
    <row r="20" spans="1:19" s="443" customFormat="1">
      <c r="A20" s="801" t="s">
        <v>296</v>
      </c>
      <c r="B20" s="806"/>
      <c r="C20" s="680">
        <f>transport!B14</f>
        <v>196.52176401495294</v>
      </c>
      <c r="D20" s="680">
        <f>transport!C14</f>
        <v>0</v>
      </c>
      <c r="E20" s="680">
        <f>transport!D14</f>
        <v>317.39833839887177</v>
      </c>
      <c r="F20" s="680">
        <f>transport!E14</f>
        <v>193.80898505872281</v>
      </c>
      <c r="G20" s="680">
        <f>transport!F14</f>
        <v>0</v>
      </c>
      <c r="H20" s="680">
        <f>transport!G14</f>
        <v>110203.01022993411</v>
      </c>
      <c r="I20" s="680">
        <f>transport!H14</f>
        <v>19744.871011467141</v>
      </c>
      <c r="J20" s="680">
        <f>transport!I14</f>
        <v>0</v>
      </c>
      <c r="K20" s="680">
        <f>transport!J14</f>
        <v>0</v>
      </c>
      <c r="L20" s="680">
        <f>transport!K14</f>
        <v>0</v>
      </c>
      <c r="M20" s="680">
        <f>transport!L14</f>
        <v>0</v>
      </c>
      <c r="N20" s="680">
        <f>transport!M14</f>
        <v>7577.1595296015794</v>
      </c>
      <c r="O20" s="680">
        <f>transport!N14</f>
        <v>0</v>
      </c>
      <c r="P20" s="680">
        <f>transport!O14</f>
        <v>0</v>
      </c>
      <c r="Q20" s="681">
        <f>transport!P14</f>
        <v>0</v>
      </c>
      <c r="R20" s="683">
        <f>SUM(C20:Q20)</f>
        <v>138232.76985847537</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213.36723782139472</v>
      </c>
      <c r="D22" s="804">
        <f t="shared" ref="D22:R22" si="1">SUM(D18:D21)</f>
        <v>0</v>
      </c>
      <c r="E22" s="804">
        <f t="shared" si="1"/>
        <v>317.39833839887177</v>
      </c>
      <c r="F22" s="804">
        <f t="shared" si="1"/>
        <v>193.80898505872281</v>
      </c>
      <c r="G22" s="804">
        <f t="shared" si="1"/>
        <v>0</v>
      </c>
      <c r="H22" s="804">
        <f t="shared" si="1"/>
        <v>111405.40978186062</v>
      </c>
      <c r="I22" s="804">
        <f t="shared" si="1"/>
        <v>19744.871011467141</v>
      </c>
      <c r="J22" s="804">
        <f t="shared" si="1"/>
        <v>0</v>
      </c>
      <c r="K22" s="804">
        <f t="shared" si="1"/>
        <v>0</v>
      </c>
      <c r="L22" s="804">
        <f t="shared" si="1"/>
        <v>0</v>
      </c>
      <c r="M22" s="804">
        <f t="shared" si="1"/>
        <v>0</v>
      </c>
      <c r="N22" s="804">
        <f t="shared" si="1"/>
        <v>7643.5543421018574</v>
      </c>
      <c r="O22" s="804">
        <f t="shared" si="1"/>
        <v>0</v>
      </c>
      <c r="P22" s="804">
        <f t="shared" si="1"/>
        <v>0</v>
      </c>
      <c r="Q22" s="804">
        <f t="shared" si="1"/>
        <v>0</v>
      </c>
      <c r="R22" s="804">
        <f t="shared" si="1"/>
        <v>139518.40969670861</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2140.1629880952901</v>
      </c>
      <c r="D24" s="680">
        <f>+landbouw!C8</f>
        <v>17228.571428571428</v>
      </c>
      <c r="E24" s="680">
        <f>+landbouw!D8</f>
        <v>0</v>
      </c>
      <c r="F24" s="680">
        <f>+landbouw!E8</f>
        <v>79.813224117669137</v>
      </c>
      <c r="G24" s="680">
        <f>+landbouw!F8</f>
        <v>6943.5157249126405</v>
      </c>
      <c r="H24" s="680">
        <f>+landbouw!G8</f>
        <v>0</v>
      </c>
      <c r="I24" s="680">
        <f>+landbouw!H8</f>
        <v>0</v>
      </c>
      <c r="J24" s="680">
        <f>+landbouw!I8</f>
        <v>0</v>
      </c>
      <c r="K24" s="680">
        <f>+landbouw!J8</f>
        <v>561.80335016093659</v>
      </c>
      <c r="L24" s="680">
        <f>+landbouw!K8</f>
        <v>0</v>
      </c>
      <c r="M24" s="680">
        <f>+landbouw!L8</f>
        <v>0</v>
      </c>
      <c r="N24" s="680">
        <f>+landbouw!M8</f>
        <v>0</v>
      </c>
      <c r="O24" s="680">
        <f>+landbouw!N8</f>
        <v>0</v>
      </c>
      <c r="P24" s="680">
        <f>+landbouw!O8</f>
        <v>0</v>
      </c>
      <c r="Q24" s="681">
        <f>+landbouw!P8</f>
        <v>0</v>
      </c>
      <c r="R24" s="683">
        <f>SUM(C24:Q24)</f>
        <v>26953.866715857959</v>
      </c>
      <c r="S24" s="67"/>
    </row>
    <row r="25" spans="1:19" s="443" customFormat="1" ht="15" thickBot="1">
      <c r="A25" s="823" t="s">
        <v>697</v>
      </c>
      <c r="B25" s="936"/>
      <c r="C25" s="937">
        <f>IF(Onbekend_ele_kWh="---",0,Onbekend_ele_kWh)/1000+IF(REST_rest_ele_kWh="---",0,REST_rest_ele_kWh)/1000</f>
        <v>666.47565393975401</v>
      </c>
      <c r="D25" s="937"/>
      <c r="E25" s="937">
        <f>IF(onbekend_gas_kWh="---",0,onbekend_gas_kWh)/1000+IF(REST_rest_gas_kWh="---",0,REST_rest_gas_kWh)/1000</f>
        <v>1621.7095159363901</v>
      </c>
      <c r="F25" s="937"/>
      <c r="G25" s="937"/>
      <c r="H25" s="937"/>
      <c r="I25" s="937"/>
      <c r="J25" s="937"/>
      <c r="K25" s="937"/>
      <c r="L25" s="937"/>
      <c r="M25" s="937"/>
      <c r="N25" s="937"/>
      <c r="O25" s="937"/>
      <c r="P25" s="937"/>
      <c r="Q25" s="938"/>
      <c r="R25" s="683">
        <f>SUM(C25:Q25)</f>
        <v>2288.1851698761438</v>
      </c>
      <c r="S25" s="67"/>
    </row>
    <row r="26" spans="1:19" s="443" customFormat="1" ht="15.75" thickBot="1">
      <c r="A26" s="688" t="s">
        <v>698</v>
      </c>
      <c r="B26" s="809"/>
      <c r="C26" s="804">
        <f>SUM(C24:C25)</f>
        <v>2806.6386420350441</v>
      </c>
      <c r="D26" s="804">
        <f t="shared" ref="D26:R26" si="2">SUM(D24:D25)</f>
        <v>17228.571428571428</v>
      </c>
      <c r="E26" s="804">
        <f t="shared" si="2"/>
        <v>1621.7095159363901</v>
      </c>
      <c r="F26" s="804">
        <f t="shared" si="2"/>
        <v>79.813224117669137</v>
      </c>
      <c r="G26" s="804">
        <f t="shared" si="2"/>
        <v>6943.5157249126405</v>
      </c>
      <c r="H26" s="804">
        <f t="shared" si="2"/>
        <v>0</v>
      </c>
      <c r="I26" s="804">
        <f t="shared" si="2"/>
        <v>0</v>
      </c>
      <c r="J26" s="804">
        <f t="shared" si="2"/>
        <v>0</v>
      </c>
      <c r="K26" s="804">
        <f t="shared" si="2"/>
        <v>561.80335016093659</v>
      </c>
      <c r="L26" s="804">
        <f t="shared" si="2"/>
        <v>0</v>
      </c>
      <c r="M26" s="804">
        <f t="shared" si="2"/>
        <v>0</v>
      </c>
      <c r="N26" s="804">
        <f t="shared" si="2"/>
        <v>0</v>
      </c>
      <c r="O26" s="804">
        <f t="shared" si="2"/>
        <v>0</v>
      </c>
      <c r="P26" s="804">
        <f t="shared" si="2"/>
        <v>0</v>
      </c>
      <c r="Q26" s="804">
        <f t="shared" si="2"/>
        <v>0</v>
      </c>
      <c r="R26" s="804">
        <f t="shared" si="2"/>
        <v>29242.051885734101</v>
      </c>
      <c r="S26" s="67"/>
    </row>
    <row r="27" spans="1:19" s="443" customFormat="1" ht="17.25" thickTop="1" thickBot="1">
      <c r="A27" s="689" t="s">
        <v>109</v>
      </c>
      <c r="B27" s="796"/>
      <c r="C27" s="690">
        <f ca="1">C22+C16+C26</f>
        <v>43645.372491141017</v>
      </c>
      <c r="D27" s="690">
        <f t="shared" ref="D27:R27" ca="1" si="3">D22+D16+D26</f>
        <v>17228.571428571428</v>
      </c>
      <c r="E27" s="690">
        <f t="shared" ca="1" si="3"/>
        <v>93444.236694055435</v>
      </c>
      <c r="F27" s="690">
        <f t="shared" si="3"/>
        <v>1245.3264537313817</v>
      </c>
      <c r="G27" s="690">
        <f t="shared" ca="1" si="3"/>
        <v>31003.861516144992</v>
      </c>
      <c r="H27" s="690">
        <f t="shared" si="3"/>
        <v>111405.40978186062</v>
      </c>
      <c r="I27" s="690">
        <f t="shared" si="3"/>
        <v>19744.871011467141</v>
      </c>
      <c r="J27" s="690">
        <f t="shared" si="3"/>
        <v>0</v>
      </c>
      <c r="K27" s="690">
        <f t="shared" si="3"/>
        <v>664.30211409682101</v>
      </c>
      <c r="L27" s="690">
        <f t="shared" si="3"/>
        <v>0</v>
      </c>
      <c r="M27" s="690">
        <f t="shared" ca="1" si="3"/>
        <v>0</v>
      </c>
      <c r="N27" s="690">
        <f t="shared" si="3"/>
        <v>7643.5543421018574</v>
      </c>
      <c r="O27" s="690">
        <f t="shared" ca="1" si="3"/>
        <v>8530.953279149704</v>
      </c>
      <c r="P27" s="690">
        <f t="shared" si="3"/>
        <v>386.62131364996549</v>
      </c>
      <c r="Q27" s="690">
        <f t="shared" si="3"/>
        <v>810.85355022788667</v>
      </c>
      <c r="R27" s="690">
        <f t="shared" ca="1" si="3"/>
        <v>335753.9339761982</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2395.7955474847045</v>
      </c>
      <c r="D40" s="680">
        <f ca="1">tertiair!C20</f>
        <v>0</v>
      </c>
      <c r="E40" s="680">
        <f ca="1">tertiair!D20</f>
        <v>3251.9403200636393</v>
      </c>
      <c r="F40" s="680">
        <f>tertiair!E20</f>
        <v>15.10676354908659</v>
      </c>
      <c r="G40" s="680">
        <f ca="1">tertiair!F20</f>
        <v>829.33154844626404</v>
      </c>
      <c r="H40" s="680">
        <f>tertiair!G20</f>
        <v>0</v>
      </c>
      <c r="I40" s="680">
        <f>tertiair!H20</f>
        <v>0</v>
      </c>
      <c r="J40" s="680">
        <f>tertiair!I20</f>
        <v>0</v>
      </c>
      <c r="K40" s="680">
        <f>tertiair!J20</f>
        <v>1.2998167746970182E-2</v>
      </c>
      <c r="L40" s="680">
        <f>tertiair!K20</f>
        <v>0</v>
      </c>
      <c r="M40" s="680">
        <f ca="1">tertiair!L20</f>
        <v>0</v>
      </c>
      <c r="N40" s="680">
        <f>tertiair!M20</f>
        <v>0</v>
      </c>
      <c r="O40" s="680">
        <f ca="1">tertiair!N20</f>
        <v>0</v>
      </c>
      <c r="P40" s="680">
        <f>tertiair!O20</f>
        <v>0</v>
      </c>
      <c r="Q40" s="763">
        <f>tertiair!P20</f>
        <v>0</v>
      </c>
      <c r="R40" s="842">
        <f t="shared" ca="1" si="4"/>
        <v>6492.1871777114411</v>
      </c>
    </row>
    <row r="41" spans="1:18">
      <c r="A41" s="814" t="s">
        <v>214</v>
      </c>
      <c r="B41" s="821"/>
      <c r="C41" s="680">
        <f ca="1">huishoudens!B12</f>
        <v>4294.921761427142</v>
      </c>
      <c r="D41" s="680">
        <f ca="1">huishoudens!C12</f>
        <v>0</v>
      </c>
      <c r="E41" s="680">
        <f>huishoudens!D12</f>
        <v>14765.162842419064</v>
      </c>
      <c r="F41" s="680">
        <f>huishoudens!E12</f>
        <v>204.3593258485129</v>
      </c>
      <c r="G41" s="680">
        <f>huishoudens!F12</f>
        <v>5459.7304782610645</v>
      </c>
      <c r="H41" s="680">
        <f>huishoudens!G12</f>
        <v>0</v>
      </c>
      <c r="I41" s="680">
        <f>huishoudens!H12</f>
        <v>0</v>
      </c>
      <c r="J41" s="680">
        <f>huishoudens!I12</f>
        <v>0</v>
      </c>
      <c r="K41" s="680">
        <f>huishoudens!J12</f>
        <v>36.214213815872675</v>
      </c>
      <c r="L41" s="680">
        <f>huishoudens!K12</f>
        <v>0</v>
      </c>
      <c r="M41" s="680">
        <f>huishoudens!L12</f>
        <v>0</v>
      </c>
      <c r="N41" s="680">
        <f>huishoudens!M12</f>
        <v>0</v>
      </c>
      <c r="O41" s="680">
        <f>huishoudens!N12</f>
        <v>0</v>
      </c>
      <c r="P41" s="680">
        <f>huishoudens!O12</f>
        <v>0</v>
      </c>
      <c r="Q41" s="763">
        <f>huishoudens!P12</f>
        <v>0</v>
      </c>
      <c r="R41" s="842">
        <f t="shared" ca="1" si="4"/>
        <v>24760.388621771657</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336.3232031694406</v>
      </c>
      <c r="D43" s="680">
        <f ca="1">industrie!C22</f>
        <v>0</v>
      </c>
      <c r="E43" s="680">
        <f>industrie!D22</f>
        <v>466.9328631407717</v>
      </c>
      <c r="F43" s="680">
        <f>industrie!E22</f>
        <v>1.1107741163832148</v>
      </c>
      <c r="G43" s="680">
        <f>industrie!F22</f>
        <v>135.0502995517092</v>
      </c>
      <c r="H43" s="680">
        <f>industrie!G22</f>
        <v>0</v>
      </c>
      <c r="I43" s="680">
        <f>industrie!H22</f>
        <v>0</v>
      </c>
      <c r="J43" s="680">
        <f>industrie!I22</f>
        <v>0</v>
      </c>
      <c r="K43" s="680">
        <f>industrie!J22</f>
        <v>5.7350449683448296E-2</v>
      </c>
      <c r="L43" s="680">
        <f>industrie!K22</f>
        <v>0</v>
      </c>
      <c r="M43" s="680">
        <f>industrie!L22</f>
        <v>0</v>
      </c>
      <c r="N43" s="680">
        <f>industrie!M22</f>
        <v>0</v>
      </c>
      <c r="O43" s="680">
        <f>industrie!N22</f>
        <v>0</v>
      </c>
      <c r="P43" s="680">
        <f>industrie!O22</f>
        <v>0</v>
      </c>
      <c r="Q43" s="763">
        <f>industrie!P22</f>
        <v>0</v>
      </c>
      <c r="R43" s="841">
        <f t="shared" ca="1" si="4"/>
        <v>939.47449042798814</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7027.0405120812866</v>
      </c>
      <c r="D46" s="716">
        <f t="shared" ref="D46:Q46" ca="1" si="5">SUM(D39:D45)</f>
        <v>0</v>
      </c>
      <c r="E46" s="716">
        <f t="shared" ca="1" si="5"/>
        <v>18484.036025623478</v>
      </c>
      <c r="F46" s="716">
        <f t="shared" si="5"/>
        <v>220.57686351398272</v>
      </c>
      <c r="G46" s="716">
        <f t="shared" ca="1" si="5"/>
        <v>6424.1123262590372</v>
      </c>
      <c r="H46" s="716">
        <f t="shared" si="5"/>
        <v>0</v>
      </c>
      <c r="I46" s="716">
        <f t="shared" si="5"/>
        <v>0</v>
      </c>
      <c r="J46" s="716">
        <f t="shared" si="5"/>
        <v>0</v>
      </c>
      <c r="K46" s="716">
        <f t="shared" si="5"/>
        <v>36.284562433303094</v>
      </c>
      <c r="L46" s="716">
        <f t="shared" si="5"/>
        <v>0</v>
      </c>
      <c r="M46" s="716">
        <f t="shared" ca="1" si="5"/>
        <v>0</v>
      </c>
      <c r="N46" s="716">
        <f t="shared" si="5"/>
        <v>0</v>
      </c>
      <c r="O46" s="716">
        <f t="shared" ca="1" si="5"/>
        <v>0</v>
      </c>
      <c r="P46" s="716">
        <f t="shared" si="5"/>
        <v>0</v>
      </c>
      <c r="Q46" s="716">
        <f t="shared" si="5"/>
        <v>0</v>
      </c>
      <c r="R46" s="716">
        <f ca="1">SUM(R39:R45)</f>
        <v>32192.050289911087</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2.9137909822625363</v>
      </c>
      <c r="D49" s="680">
        <f ca="1">transport!C58</f>
        <v>0</v>
      </c>
      <c r="E49" s="680">
        <f>transport!D58</f>
        <v>0</v>
      </c>
      <c r="F49" s="680">
        <f>transport!E58</f>
        <v>0</v>
      </c>
      <c r="G49" s="680">
        <f>transport!F58</f>
        <v>0</v>
      </c>
      <c r="H49" s="680">
        <f>transport!G58</f>
        <v>321.04068036437832</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323.95447134664084</v>
      </c>
    </row>
    <row r="50" spans="1:18">
      <c r="A50" s="817" t="s">
        <v>296</v>
      </c>
      <c r="B50" s="827"/>
      <c r="C50" s="686">
        <f ca="1">transport!B18</f>
        <v>33.992712249276273</v>
      </c>
      <c r="D50" s="686">
        <f>transport!C18</f>
        <v>0</v>
      </c>
      <c r="E50" s="686">
        <f>transport!D18</f>
        <v>64.1144643565721</v>
      </c>
      <c r="F50" s="686">
        <f>transport!E18</f>
        <v>43.994639608330083</v>
      </c>
      <c r="G50" s="686">
        <f>transport!F18</f>
        <v>0</v>
      </c>
      <c r="H50" s="686">
        <f>transport!G18</f>
        <v>29424.203731392408</v>
      </c>
      <c r="I50" s="686">
        <f>transport!H18</f>
        <v>4916.4728818553185</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34482.778429461905</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36.906503231538807</v>
      </c>
      <c r="D52" s="716">
        <f t="shared" ref="D52:Q52" ca="1" si="6">SUM(D48:D51)</f>
        <v>0</v>
      </c>
      <c r="E52" s="716">
        <f t="shared" si="6"/>
        <v>64.1144643565721</v>
      </c>
      <c r="F52" s="716">
        <f t="shared" si="6"/>
        <v>43.994639608330083</v>
      </c>
      <c r="G52" s="716">
        <f t="shared" si="6"/>
        <v>0</v>
      </c>
      <c r="H52" s="716">
        <f t="shared" si="6"/>
        <v>29745.244411756787</v>
      </c>
      <c r="I52" s="716">
        <f t="shared" si="6"/>
        <v>4916.4728818553185</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34806.732900808543</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370.18772442597805</v>
      </c>
      <c r="D54" s="686">
        <f ca="1">+landbouw!C12</f>
        <v>4094.3193277310938</v>
      </c>
      <c r="E54" s="686">
        <f>+landbouw!D12</f>
        <v>0</v>
      </c>
      <c r="F54" s="686">
        <f>+landbouw!E12</f>
        <v>18.117601874710896</v>
      </c>
      <c r="G54" s="686">
        <f>+landbouw!F12</f>
        <v>1853.9186985516751</v>
      </c>
      <c r="H54" s="686">
        <f>+landbouw!G12</f>
        <v>0</v>
      </c>
      <c r="I54" s="686">
        <f>+landbouw!H12</f>
        <v>0</v>
      </c>
      <c r="J54" s="686">
        <f>+landbouw!I12</f>
        <v>0</v>
      </c>
      <c r="K54" s="686">
        <f>+landbouw!J12</f>
        <v>198.87838595697156</v>
      </c>
      <c r="L54" s="686">
        <f>+landbouw!K12</f>
        <v>0</v>
      </c>
      <c r="M54" s="686">
        <f>+landbouw!L12</f>
        <v>0</v>
      </c>
      <c r="N54" s="686">
        <f>+landbouw!M12</f>
        <v>0</v>
      </c>
      <c r="O54" s="686">
        <f>+landbouw!N12</f>
        <v>0</v>
      </c>
      <c r="P54" s="686">
        <f>+landbouw!O12</f>
        <v>0</v>
      </c>
      <c r="Q54" s="687">
        <f>+landbouw!P12</f>
        <v>0</v>
      </c>
      <c r="R54" s="715">
        <f ca="1">SUM(C54:Q54)</f>
        <v>6535.421738540429</v>
      </c>
    </row>
    <row r="55" spans="1:18" ht="15" thickBot="1">
      <c r="A55" s="817" t="s">
        <v>697</v>
      </c>
      <c r="B55" s="827"/>
      <c r="C55" s="686">
        <f ca="1">C25*'EF ele_warmte'!B12</f>
        <v>115.28145617397621</v>
      </c>
      <c r="D55" s="686"/>
      <c r="E55" s="686">
        <f>E25*EF_CO2_aardgas</f>
        <v>327.58532221915084</v>
      </c>
      <c r="F55" s="686"/>
      <c r="G55" s="686"/>
      <c r="H55" s="686"/>
      <c r="I55" s="686"/>
      <c r="J55" s="686"/>
      <c r="K55" s="686"/>
      <c r="L55" s="686"/>
      <c r="M55" s="686"/>
      <c r="N55" s="686"/>
      <c r="O55" s="686"/>
      <c r="P55" s="686"/>
      <c r="Q55" s="687"/>
      <c r="R55" s="715">
        <f ca="1">SUM(C55:Q55)</f>
        <v>442.86677839312705</v>
      </c>
    </row>
    <row r="56" spans="1:18" ht="15.75" thickBot="1">
      <c r="A56" s="815" t="s">
        <v>698</v>
      </c>
      <c r="B56" s="828"/>
      <c r="C56" s="716">
        <f ca="1">SUM(C54:C55)</f>
        <v>485.46918059995426</v>
      </c>
      <c r="D56" s="716">
        <f t="shared" ref="D56:Q56" ca="1" si="7">SUM(D54:D55)</f>
        <v>4094.3193277310938</v>
      </c>
      <c r="E56" s="716">
        <f t="shared" si="7"/>
        <v>327.58532221915084</v>
      </c>
      <c r="F56" s="716">
        <f t="shared" si="7"/>
        <v>18.117601874710896</v>
      </c>
      <c r="G56" s="716">
        <f t="shared" si="7"/>
        <v>1853.9186985516751</v>
      </c>
      <c r="H56" s="716">
        <f t="shared" si="7"/>
        <v>0</v>
      </c>
      <c r="I56" s="716">
        <f t="shared" si="7"/>
        <v>0</v>
      </c>
      <c r="J56" s="716">
        <f t="shared" si="7"/>
        <v>0</v>
      </c>
      <c r="K56" s="716">
        <f t="shared" si="7"/>
        <v>198.87838595697156</v>
      </c>
      <c r="L56" s="716">
        <f t="shared" si="7"/>
        <v>0</v>
      </c>
      <c r="M56" s="716">
        <f t="shared" si="7"/>
        <v>0</v>
      </c>
      <c r="N56" s="716">
        <f t="shared" si="7"/>
        <v>0</v>
      </c>
      <c r="O56" s="716">
        <f t="shared" si="7"/>
        <v>0</v>
      </c>
      <c r="P56" s="716">
        <f t="shared" si="7"/>
        <v>0</v>
      </c>
      <c r="Q56" s="717">
        <f t="shared" si="7"/>
        <v>0</v>
      </c>
      <c r="R56" s="718">
        <f ca="1">SUM(R54:R55)</f>
        <v>6978.2885169335559</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7549.4161959127796</v>
      </c>
      <c r="D61" s="724">
        <f t="shared" ref="D61:Q61" ca="1" si="8">D46+D52+D56</f>
        <v>4094.3193277310938</v>
      </c>
      <c r="E61" s="724">
        <f t="shared" ca="1" si="8"/>
        <v>18875.7358121992</v>
      </c>
      <c r="F61" s="724">
        <f t="shared" si="8"/>
        <v>282.68910499702366</v>
      </c>
      <c r="G61" s="724">
        <f t="shared" ca="1" si="8"/>
        <v>8278.0310248107126</v>
      </c>
      <c r="H61" s="724">
        <f t="shared" si="8"/>
        <v>29745.244411756787</v>
      </c>
      <c r="I61" s="724">
        <f t="shared" si="8"/>
        <v>4916.4728818553185</v>
      </c>
      <c r="J61" s="724">
        <f t="shared" si="8"/>
        <v>0</v>
      </c>
      <c r="K61" s="724">
        <f t="shared" si="8"/>
        <v>235.16294839027466</v>
      </c>
      <c r="L61" s="724">
        <f t="shared" si="8"/>
        <v>0</v>
      </c>
      <c r="M61" s="724">
        <f t="shared" ca="1" si="8"/>
        <v>0</v>
      </c>
      <c r="N61" s="724">
        <f t="shared" si="8"/>
        <v>0</v>
      </c>
      <c r="O61" s="724">
        <f t="shared" ca="1" si="8"/>
        <v>0</v>
      </c>
      <c r="P61" s="724">
        <f t="shared" si="8"/>
        <v>0</v>
      </c>
      <c r="Q61" s="724">
        <f t="shared" si="8"/>
        <v>0</v>
      </c>
      <c r="R61" s="724">
        <f ca="1">R46+R52+R56</f>
        <v>73977.071707653187</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0.17297174396770548</v>
      </c>
      <c r="D63" s="770">
        <f t="shared" ca="1" si="9"/>
        <v>0.23764705882352952</v>
      </c>
      <c r="E63" s="962">
        <f t="shared" ca="1" si="9"/>
        <v>0.20200000000000001</v>
      </c>
      <c r="F63" s="770">
        <f t="shared" si="9"/>
        <v>0.22700000000000001</v>
      </c>
      <c r="G63" s="770">
        <f t="shared" ca="1" si="9"/>
        <v>0.26699999999999996</v>
      </c>
      <c r="H63" s="770">
        <f t="shared" si="9"/>
        <v>0.26700000000000002</v>
      </c>
      <c r="I63" s="770">
        <f t="shared" si="9"/>
        <v>0.24900000000000003</v>
      </c>
      <c r="J63" s="770">
        <f t="shared" si="9"/>
        <v>0</v>
      </c>
      <c r="K63" s="770">
        <f t="shared" si="9"/>
        <v>0.35400000000000004</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4289.6670101991949</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6103.8834605752427</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12060</v>
      </c>
      <c r="D76" s="945">
        <f>'lokale energieproductie'!C8</f>
        <v>14188.23529411765</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2866.0235294117656</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10393.550470774437</v>
      </c>
      <c r="C78" s="742">
        <f>SUM(C72:C77)</f>
        <v>12060</v>
      </c>
      <c r="D78" s="743">
        <f t="shared" ref="D78:H78" si="10">SUM(D76:D77)</f>
        <v>14188.23529411765</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2866.0235294117656</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17228.571428571428</v>
      </c>
      <c r="D87" s="766">
        <f>'lokale energieproductie'!C17</f>
        <v>20268.907563025215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4094.3193277310938</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17228.571428571428</v>
      </c>
      <c r="D90" s="742">
        <f t="shared" ref="D90:H90" si="12">SUM(D87:D89)</f>
        <v>20268.907563025215</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4094.3193277310938</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24830.192856406771</v>
      </c>
      <c r="C4" s="447">
        <f>huishoudens!C8</f>
        <v>0</v>
      </c>
      <c r="D4" s="447">
        <f>huishoudens!D8</f>
        <v>73094.865556530014</v>
      </c>
      <c r="E4" s="447">
        <f>huishoudens!E8</f>
        <v>900.26134735027699</v>
      </c>
      <c r="F4" s="447">
        <f>huishoudens!F8</f>
        <v>20448.428757532074</v>
      </c>
      <c r="G4" s="447">
        <f>huishoudens!G8</f>
        <v>0</v>
      </c>
      <c r="H4" s="447">
        <f>huishoudens!H8</f>
        <v>0</v>
      </c>
      <c r="I4" s="447">
        <f>huishoudens!I8</f>
        <v>0</v>
      </c>
      <c r="J4" s="447">
        <f>huishoudens!J8</f>
        <v>102.30003902788891</v>
      </c>
      <c r="K4" s="447">
        <f>huishoudens!K8</f>
        <v>0</v>
      </c>
      <c r="L4" s="447">
        <f>huishoudens!L8</f>
        <v>0</v>
      </c>
      <c r="M4" s="447">
        <f>huishoudens!M8</f>
        <v>0</v>
      </c>
      <c r="N4" s="447">
        <f>huishoudens!N8</f>
        <v>7126.6460062901069</v>
      </c>
      <c r="O4" s="447">
        <f>huishoudens!O8</f>
        <v>367.03227058660087</v>
      </c>
      <c r="P4" s="448">
        <f>huishoudens!P8</f>
        <v>705.77527361489661</v>
      </c>
      <c r="Q4" s="449">
        <f>SUM(B4:P4)</f>
        <v>127575.50210733862</v>
      </c>
    </row>
    <row r="5" spans="1:17">
      <c r="A5" s="446" t="s">
        <v>149</v>
      </c>
      <c r="B5" s="447">
        <f ca="1">tertiair!B16</f>
        <v>13147.535421354976</v>
      </c>
      <c r="C5" s="447">
        <f ca="1">tertiair!C16</f>
        <v>0</v>
      </c>
      <c r="D5" s="447">
        <f ca="1">tertiair!D16</f>
        <v>16098.71445576059</v>
      </c>
      <c r="E5" s="447">
        <f>tertiair!E16</f>
        <v>66.549619158971765</v>
      </c>
      <c r="F5" s="447">
        <f ca="1">tertiair!F16</f>
        <v>3106.1106683380672</v>
      </c>
      <c r="G5" s="447">
        <f>tertiair!G16</f>
        <v>0</v>
      </c>
      <c r="H5" s="447">
        <f>tertiair!H16</f>
        <v>0</v>
      </c>
      <c r="I5" s="447">
        <f>tertiair!I16</f>
        <v>0</v>
      </c>
      <c r="J5" s="447">
        <f>tertiair!J16</f>
        <v>3.6717987985791477E-2</v>
      </c>
      <c r="K5" s="447">
        <f>tertiair!K16</f>
        <v>0</v>
      </c>
      <c r="L5" s="447">
        <f ca="1">tertiair!L16</f>
        <v>0</v>
      </c>
      <c r="M5" s="447">
        <f>tertiair!M16</f>
        <v>0</v>
      </c>
      <c r="N5" s="447">
        <f ca="1">tertiair!N16</f>
        <v>1337.5531369874625</v>
      </c>
      <c r="O5" s="447">
        <f>tertiair!O16</f>
        <v>19.589043063364617</v>
      </c>
      <c r="P5" s="448">
        <f>tertiair!P16</f>
        <v>105.07827661299004</v>
      </c>
      <c r="Q5" s="446">
        <f t="shared" ref="Q5:Q14" ca="1" si="0">SUM(B5:P5)</f>
        <v>33881.167339264415</v>
      </c>
    </row>
    <row r="6" spans="1:17">
      <c r="A6" s="446" t="s">
        <v>187</v>
      </c>
      <c r="B6" s="447">
        <f>'openbare verlichting'!B8</f>
        <v>703.25599999999997</v>
      </c>
      <c r="C6" s="447"/>
      <c r="D6" s="447"/>
      <c r="E6" s="447"/>
      <c r="F6" s="447"/>
      <c r="G6" s="447"/>
      <c r="H6" s="447"/>
      <c r="I6" s="447"/>
      <c r="J6" s="447"/>
      <c r="K6" s="447"/>
      <c r="L6" s="447"/>
      <c r="M6" s="447"/>
      <c r="N6" s="447"/>
      <c r="O6" s="447"/>
      <c r="P6" s="448"/>
      <c r="Q6" s="446">
        <f t="shared" si="0"/>
        <v>703.25599999999997</v>
      </c>
    </row>
    <row r="7" spans="1:17">
      <c r="A7" s="446" t="s">
        <v>105</v>
      </c>
      <c r="B7" s="447">
        <f>landbouw!B8</f>
        <v>2140.1629880952901</v>
      </c>
      <c r="C7" s="447">
        <f>landbouw!C8</f>
        <v>17228.571428571428</v>
      </c>
      <c r="D7" s="447">
        <f>landbouw!D8</f>
        <v>0</v>
      </c>
      <c r="E7" s="447">
        <f>landbouw!E8</f>
        <v>79.813224117669137</v>
      </c>
      <c r="F7" s="447">
        <f>landbouw!F8</f>
        <v>6943.5157249126405</v>
      </c>
      <c r="G7" s="447">
        <f>landbouw!G8</f>
        <v>0</v>
      </c>
      <c r="H7" s="447">
        <f>landbouw!H8</f>
        <v>0</v>
      </c>
      <c r="I7" s="447">
        <f>landbouw!I8</f>
        <v>0</v>
      </c>
      <c r="J7" s="447">
        <f>landbouw!J8</f>
        <v>561.80335016093659</v>
      </c>
      <c r="K7" s="447">
        <f>landbouw!K8</f>
        <v>0</v>
      </c>
      <c r="L7" s="447">
        <f>landbouw!L8</f>
        <v>0</v>
      </c>
      <c r="M7" s="447">
        <f>landbouw!M8</f>
        <v>0</v>
      </c>
      <c r="N7" s="447">
        <f>landbouw!N8</f>
        <v>0</v>
      </c>
      <c r="O7" s="447">
        <f>landbouw!O8</f>
        <v>0</v>
      </c>
      <c r="P7" s="448">
        <f>landbouw!P8</f>
        <v>0</v>
      </c>
      <c r="Q7" s="446">
        <f t="shared" si="0"/>
        <v>26953.866715857959</v>
      </c>
    </row>
    <row r="8" spans="1:17">
      <c r="A8" s="446" t="s">
        <v>612</v>
      </c>
      <c r="B8" s="447">
        <f>industrie!B18</f>
        <v>1944.3823335228294</v>
      </c>
      <c r="C8" s="447">
        <f>industrie!C18</f>
        <v>0</v>
      </c>
      <c r="D8" s="447">
        <f>industrie!D18</f>
        <v>2311.5488274295626</v>
      </c>
      <c r="E8" s="447">
        <f>industrie!E18</f>
        <v>4.8932780457410336</v>
      </c>
      <c r="F8" s="447">
        <f>industrie!F18</f>
        <v>505.80636536220675</v>
      </c>
      <c r="G8" s="447">
        <f>industrie!G18</f>
        <v>0</v>
      </c>
      <c r="H8" s="447">
        <f>industrie!H18</f>
        <v>0</v>
      </c>
      <c r="I8" s="447">
        <f>industrie!I18</f>
        <v>0</v>
      </c>
      <c r="J8" s="447">
        <f>industrie!J18</f>
        <v>0.16200692000974096</v>
      </c>
      <c r="K8" s="447">
        <f>industrie!K18</f>
        <v>0</v>
      </c>
      <c r="L8" s="447">
        <f>industrie!L18</f>
        <v>0</v>
      </c>
      <c r="M8" s="447">
        <f>industrie!M18</f>
        <v>0</v>
      </c>
      <c r="N8" s="447">
        <f>industrie!N18</f>
        <v>66.754135872134725</v>
      </c>
      <c r="O8" s="447">
        <f>industrie!O18</f>
        <v>0</v>
      </c>
      <c r="P8" s="448">
        <f>industrie!P18</f>
        <v>0</v>
      </c>
      <c r="Q8" s="446">
        <f t="shared" si="0"/>
        <v>4833.5469471524839</v>
      </c>
    </row>
    <row r="9" spans="1:17" s="452" customFormat="1">
      <c r="A9" s="450" t="s">
        <v>538</v>
      </c>
      <c r="B9" s="451">
        <f>transport!B14</f>
        <v>196.52176401495294</v>
      </c>
      <c r="C9" s="451">
        <f>transport!C14</f>
        <v>0</v>
      </c>
      <c r="D9" s="451">
        <f>transport!D14</f>
        <v>317.39833839887177</v>
      </c>
      <c r="E9" s="451">
        <f>transport!E14</f>
        <v>193.80898505872281</v>
      </c>
      <c r="F9" s="451">
        <f>transport!F14</f>
        <v>0</v>
      </c>
      <c r="G9" s="451">
        <f>transport!G14</f>
        <v>110203.01022993411</v>
      </c>
      <c r="H9" s="451">
        <f>transport!H14</f>
        <v>19744.871011467141</v>
      </c>
      <c r="I9" s="451">
        <f>transport!I14</f>
        <v>0</v>
      </c>
      <c r="J9" s="451">
        <f>transport!J14</f>
        <v>0</v>
      </c>
      <c r="K9" s="451">
        <f>transport!K14</f>
        <v>0</v>
      </c>
      <c r="L9" s="451">
        <f>transport!L14</f>
        <v>0</v>
      </c>
      <c r="M9" s="451">
        <f>transport!M14</f>
        <v>7577.1595296015794</v>
      </c>
      <c r="N9" s="451">
        <f>transport!N14</f>
        <v>0</v>
      </c>
      <c r="O9" s="451">
        <f>transport!O14</f>
        <v>0</v>
      </c>
      <c r="P9" s="451">
        <f>transport!P14</f>
        <v>0</v>
      </c>
      <c r="Q9" s="450">
        <f>SUM(B9:P9)</f>
        <v>138232.76985847537</v>
      </c>
    </row>
    <row r="10" spans="1:17">
      <c r="A10" s="446" t="s">
        <v>528</v>
      </c>
      <c r="B10" s="447">
        <f>transport!B54</f>
        <v>16.845473806441777</v>
      </c>
      <c r="C10" s="447">
        <f>transport!C54</f>
        <v>0</v>
      </c>
      <c r="D10" s="447">
        <f>transport!D54</f>
        <v>0</v>
      </c>
      <c r="E10" s="447">
        <f>transport!E54</f>
        <v>0</v>
      </c>
      <c r="F10" s="447">
        <f>transport!F54</f>
        <v>0</v>
      </c>
      <c r="G10" s="447">
        <f>transport!G54</f>
        <v>1202.3995519265104</v>
      </c>
      <c r="H10" s="447">
        <f>transport!H54</f>
        <v>0</v>
      </c>
      <c r="I10" s="447">
        <f>transport!I54</f>
        <v>0</v>
      </c>
      <c r="J10" s="447">
        <f>transport!J54</f>
        <v>0</v>
      </c>
      <c r="K10" s="447">
        <f>transport!K54</f>
        <v>0</v>
      </c>
      <c r="L10" s="447">
        <f>transport!L54</f>
        <v>0</v>
      </c>
      <c r="M10" s="447">
        <f>transport!M54</f>
        <v>66.394812500278476</v>
      </c>
      <c r="N10" s="447">
        <f>transport!N54</f>
        <v>0</v>
      </c>
      <c r="O10" s="447">
        <f>transport!O54</f>
        <v>0</v>
      </c>
      <c r="P10" s="448">
        <f>transport!P54</f>
        <v>0</v>
      </c>
      <c r="Q10" s="446">
        <f t="shared" si="0"/>
        <v>1285.6398382332306</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666.47565393975401</v>
      </c>
      <c r="C14" s="454"/>
      <c r="D14" s="454">
        <f>'SEAP template'!E25</f>
        <v>1621.7095159363901</v>
      </c>
      <c r="E14" s="454"/>
      <c r="F14" s="454"/>
      <c r="G14" s="454"/>
      <c r="H14" s="454"/>
      <c r="I14" s="454"/>
      <c r="J14" s="454"/>
      <c r="K14" s="454"/>
      <c r="L14" s="454"/>
      <c r="M14" s="454"/>
      <c r="N14" s="454"/>
      <c r="O14" s="454"/>
      <c r="P14" s="455"/>
      <c r="Q14" s="446">
        <f t="shared" si="0"/>
        <v>2288.1851698761438</v>
      </c>
    </row>
    <row r="15" spans="1:17" s="458" customFormat="1">
      <c r="A15" s="456" t="s">
        <v>532</v>
      </c>
      <c r="B15" s="457">
        <f ca="1">SUM(B4:B14)</f>
        <v>43645.372491141017</v>
      </c>
      <c r="C15" s="457">
        <f t="shared" ref="C15:Q15" ca="1" si="1">SUM(C4:C14)</f>
        <v>17228.571428571428</v>
      </c>
      <c r="D15" s="457">
        <f t="shared" ca="1" si="1"/>
        <v>93444.236694055435</v>
      </c>
      <c r="E15" s="457">
        <f t="shared" si="1"/>
        <v>1245.3264537313817</v>
      </c>
      <c r="F15" s="457">
        <f t="shared" ca="1" si="1"/>
        <v>31003.861516144992</v>
      </c>
      <c r="G15" s="457">
        <f t="shared" si="1"/>
        <v>111405.40978186062</v>
      </c>
      <c r="H15" s="457">
        <f t="shared" si="1"/>
        <v>19744.871011467141</v>
      </c>
      <c r="I15" s="457">
        <f t="shared" si="1"/>
        <v>0</v>
      </c>
      <c r="J15" s="457">
        <f t="shared" si="1"/>
        <v>664.30211409682101</v>
      </c>
      <c r="K15" s="457">
        <f t="shared" si="1"/>
        <v>0</v>
      </c>
      <c r="L15" s="457">
        <f t="shared" ca="1" si="1"/>
        <v>0</v>
      </c>
      <c r="M15" s="457">
        <f t="shared" si="1"/>
        <v>7643.5543421018574</v>
      </c>
      <c r="N15" s="457">
        <f t="shared" ca="1" si="1"/>
        <v>8530.953279149704</v>
      </c>
      <c r="O15" s="457">
        <f t="shared" si="1"/>
        <v>386.62131364996549</v>
      </c>
      <c r="P15" s="457">
        <f t="shared" si="1"/>
        <v>810.85355022788667</v>
      </c>
      <c r="Q15" s="457">
        <f t="shared" ca="1" si="1"/>
        <v>335753.93397619826</v>
      </c>
    </row>
    <row r="17" spans="1:17">
      <c r="A17" s="459" t="s">
        <v>533</v>
      </c>
      <c r="B17" s="775">
        <f ca="1">huishoudens!B10</f>
        <v>0.17297174396770548</v>
      </c>
      <c r="C17" s="775">
        <f ca="1">huishoudens!C10</f>
        <v>0.23764705882352952</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4294.921761427142</v>
      </c>
      <c r="C22" s="447">
        <f t="shared" ref="C22:C32" ca="1" si="3">C4*$C$17</f>
        <v>0</v>
      </c>
      <c r="D22" s="447">
        <f t="shared" ref="D22:D32" si="4">D4*$D$17</f>
        <v>14765.162842419064</v>
      </c>
      <c r="E22" s="447">
        <f t="shared" ref="E22:E32" si="5">E4*$E$17</f>
        <v>204.3593258485129</v>
      </c>
      <c r="F22" s="447">
        <f t="shared" ref="F22:F32" si="6">F4*$F$17</f>
        <v>5459.7304782610645</v>
      </c>
      <c r="G22" s="447">
        <f t="shared" ref="G22:G32" si="7">G4*$G$17</f>
        <v>0</v>
      </c>
      <c r="H22" s="447">
        <f t="shared" ref="H22:H32" si="8">H4*$H$17</f>
        <v>0</v>
      </c>
      <c r="I22" s="447">
        <f t="shared" ref="I22:I32" si="9">I4*$I$17</f>
        <v>0</v>
      </c>
      <c r="J22" s="447">
        <f t="shared" ref="J22:J32" si="10">J4*$J$17</f>
        <v>36.214213815872675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24760.388621771657</v>
      </c>
    </row>
    <row r="23" spans="1:17">
      <c r="A23" s="446" t="s">
        <v>149</v>
      </c>
      <c r="B23" s="447">
        <f t="shared" ca="1" si="2"/>
        <v>2274.152130708952</v>
      </c>
      <c r="C23" s="447">
        <f t="shared" ca="1" si="3"/>
        <v>0</v>
      </c>
      <c r="D23" s="447">
        <f t="shared" ca="1" si="4"/>
        <v>3251.9403200636393</v>
      </c>
      <c r="E23" s="447">
        <f t="shared" si="5"/>
        <v>15.10676354908659</v>
      </c>
      <c r="F23" s="447">
        <f t="shared" ca="1" si="6"/>
        <v>829.33154844626404</v>
      </c>
      <c r="G23" s="447">
        <f t="shared" si="7"/>
        <v>0</v>
      </c>
      <c r="H23" s="447">
        <f t="shared" si="8"/>
        <v>0</v>
      </c>
      <c r="I23" s="447">
        <f t="shared" si="9"/>
        <v>0</v>
      </c>
      <c r="J23" s="447">
        <f t="shared" si="10"/>
        <v>1.2998167746970182E-2</v>
      </c>
      <c r="K23" s="447">
        <f t="shared" si="11"/>
        <v>0</v>
      </c>
      <c r="L23" s="447">
        <f t="shared" ca="1" si="12"/>
        <v>0</v>
      </c>
      <c r="M23" s="447">
        <f t="shared" si="13"/>
        <v>0</v>
      </c>
      <c r="N23" s="447">
        <f t="shared" ca="1" si="14"/>
        <v>0</v>
      </c>
      <c r="O23" s="447">
        <f t="shared" si="15"/>
        <v>0</v>
      </c>
      <c r="P23" s="448">
        <f t="shared" si="16"/>
        <v>0</v>
      </c>
      <c r="Q23" s="446">
        <f t="shared" ref="Q23:Q31" ca="1" si="17">SUM(B23:P23)</f>
        <v>6370.5437609356886</v>
      </c>
    </row>
    <row r="24" spans="1:17">
      <c r="A24" s="446" t="s">
        <v>187</v>
      </c>
      <c r="B24" s="447">
        <f t="shared" ca="1" si="2"/>
        <v>121.64341677575268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121.64341677575268</v>
      </c>
    </row>
    <row r="25" spans="1:17">
      <c r="A25" s="446" t="s">
        <v>105</v>
      </c>
      <c r="B25" s="447">
        <f t="shared" ca="1" si="2"/>
        <v>370.18772442597805</v>
      </c>
      <c r="C25" s="447">
        <f t="shared" ca="1" si="3"/>
        <v>4094.3193277310938</v>
      </c>
      <c r="D25" s="447">
        <f t="shared" si="4"/>
        <v>0</v>
      </c>
      <c r="E25" s="447">
        <f t="shared" si="5"/>
        <v>18.117601874710896</v>
      </c>
      <c r="F25" s="447">
        <f t="shared" si="6"/>
        <v>1853.9186985516751</v>
      </c>
      <c r="G25" s="447">
        <f t="shared" si="7"/>
        <v>0</v>
      </c>
      <c r="H25" s="447">
        <f t="shared" si="8"/>
        <v>0</v>
      </c>
      <c r="I25" s="447">
        <f t="shared" si="9"/>
        <v>0</v>
      </c>
      <c r="J25" s="447">
        <f t="shared" si="10"/>
        <v>198.87838595697156</v>
      </c>
      <c r="K25" s="447">
        <f t="shared" si="11"/>
        <v>0</v>
      </c>
      <c r="L25" s="447">
        <f t="shared" si="12"/>
        <v>0</v>
      </c>
      <c r="M25" s="447">
        <f t="shared" si="13"/>
        <v>0</v>
      </c>
      <c r="N25" s="447">
        <f t="shared" si="14"/>
        <v>0</v>
      </c>
      <c r="O25" s="447">
        <f t="shared" si="15"/>
        <v>0</v>
      </c>
      <c r="P25" s="448">
        <f t="shared" si="16"/>
        <v>0</v>
      </c>
      <c r="Q25" s="446">
        <f t="shared" ca="1" si="17"/>
        <v>6535.421738540429</v>
      </c>
    </row>
    <row r="26" spans="1:17">
      <c r="A26" s="446" t="s">
        <v>612</v>
      </c>
      <c r="B26" s="447">
        <f t="shared" ca="1" si="2"/>
        <v>336.3232031694406</v>
      </c>
      <c r="C26" s="447">
        <f t="shared" ca="1" si="3"/>
        <v>0</v>
      </c>
      <c r="D26" s="447">
        <f t="shared" si="4"/>
        <v>466.9328631407717</v>
      </c>
      <c r="E26" s="447">
        <f t="shared" si="5"/>
        <v>1.1107741163832148</v>
      </c>
      <c r="F26" s="447">
        <f t="shared" si="6"/>
        <v>135.0502995517092</v>
      </c>
      <c r="G26" s="447">
        <f t="shared" si="7"/>
        <v>0</v>
      </c>
      <c r="H26" s="447">
        <f t="shared" si="8"/>
        <v>0</v>
      </c>
      <c r="I26" s="447">
        <f t="shared" si="9"/>
        <v>0</v>
      </c>
      <c r="J26" s="447">
        <f t="shared" si="10"/>
        <v>5.7350449683448296E-2</v>
      </c>
      <c r="K26" s="447">
        <f t="shared" si="11"/>
        <v>0</v>
      </c>
      <c r="L26" s="447">
        <f t="shared" si="12"/>
        <v>0</v>
      </c>
      <c r="M26" s="447">
        <f t="shared" si="13"/>
        <v>0</v>
      </c>
      <c r="N26" s="447">
        <f t="shared" si="14"/>
        <v>0</v>
      </c>
      <c r="O26" s="447">
        <f t="shared" si="15"/>
        <v>0</v>
      </c>
      <c r="P26" s="448">
        <f t="shared" si="16"/>
        <v>0</v>
      </c>
      <c r="Q26" s="446">
        <f t="shared" ca="1" si="17"/>
        <v>939.47449042798814</v>
      </c>
    </row>
    <row r="27" spans="1:17" s="452" customFormat="1">
      <c r="A27" s="450" t="s">
        <v>538</v>
      </c>
      <c r="B27" s="769">
        <f t="shared" ca="1" si="2"/>
        <v>33.992712249276273</v>
      </c>
      <c r="C27" s="451">
        <f t="shared" ca="1" si="3"/>
        <v>0</v>
      </c>
      <c r="D27" s="451">
        <f t="shared" si="4"/>
        <v>64.1144643565721</v>
      </c>
      <c r="E27" s="451">
        <f t="shared" si="5"/>
        <v>43.994639608330083</v>
      </c>
      <c r="F27" s="451">
        <f t="shared" si="6"/>
        <v>0</v>
      </c>
      <c r="G27" s="451">
        <f t="shared" si="7"/>
        <v>29424.203731392408</v>
      </c>
      <c r="H27" s="451">
        <f t="shared" si="8"/>
        <v>4916.4728818553185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34482.778429461905</v>
      </c>
    </row>
    <row r="28" spans="1:17" ht="16.5" customHeight="1">
      <c r="A28" s="446" t="s">
        <v>528</v>
      </c>
      <c r="B28" s="447">
        <f t="shared" ca="1" si="2"/>
        <v>2.9137909822625363</v>
      </c>
      <c r="C28" s="447">
        <f t="shared" ca="1" si="3"/>
        <v>0</v>
      </c>
      <c r="D28" s="447">
        <f t="shared" si="4"/>
        <v>0</v>
      </c>
      <c r="E28" s="447">
        <f t="shared" si="5"/>
        <v>0</v>
      </c>
      <c r="F28" s="447">
        <f t="shared" si="6"/>
        <v>0</v>
      </c>
      <c r="G28" s="447">
        <f t="shared" si="7"/>
        <v>321.04068036437832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323.95447134664084</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115.28145617397621</v>
      </c>
      <c r="C32" s="447">
        <f t="shared" ca="1" si="3"/>
        <v>0</v>
      </c>
      <c r="D32" s="447">
        <f t="shared" si="4"/>
        <v>327.58532221915084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442.86677839312705</v>
      </c>
    </row>
    <row r="33" spans="1:17" s="458" customFormat="1">
      <c r="A33" s="456" t="s">
        <v>532</v>
      </c>
      <c r="B33" s="457">
        <f ca="1">SUM(B22:B32)</f>
        <v>7549.4161959127796</v>
      </c>
      <c r="C33" s="457">
        <f t="shared" ref="C33:Q33" ca="1" si="19">SUM(C22:C32)</f>
        <v>4094.3193277310938</v>
      </c>
      <c r="D33" s="457">
        <f t="shared" ca="1" si="19"/>
        <v>18875.7358121992</v>
      </c>
      <c r="E33" s="457">
        <f t="shared" si="19"/>
        <v>282.68910499702366</v>
      </c>
      <c r="F33" s="457">
        <f t="shared" ca="1" si="19"/>
        <v>8278.0310248107126</v>
      </c>
      <c r="G33" s="457">
        <f t="shared" si="19"/>
        <v>29745.244411756787</v>
      </c>
      <c r="H33" s="457">
        <f t="shared" si="19"/>
        <v>4916.4728818553185</v>
      </c>
      <c r="I33" s="457">
        <f t="shared" si="19"/>
        <v>0</v>
      </c>
      <c r="J33" s="457">
        <f t="shared" si="19"/>
        <v>235.16294839027464</v>
      </c>
      <c r="K33" s="457">
        <f t="shared" si="19"/>
        <v>0</v>
      </c>
      <c r="L33" s="457">
        <f t="shared" ca="1" si="19"/>
        <v>0</v>
      </c>
      <c r="M33" s="457">
        <f t="shared" si="19"/>
        <v>0</v>
      </c>
      <c r="N33" s="457">
        <f t="shared" ca="1" si="19"/>
        <v>0</v>
      </c>
      <c r="O33" s="457">
        <f t="shared" si="19"/>
        <v>0</v>
      </c>
      <c r="P33" s="457">
        <f t="shared" si="19"/>
        <v>0</v>
      </c>
      <c r="Q33" s="457">
        <f t="shared" ca="1" si="19"/>
        <v>73977.071707653187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4289.6670101991949</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6103.8834605752427</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12060</v>
      </c>
      <c r="D8" s="1013">
        <f>'SEAP template'!D76</f>
        <v>14188.23529411765</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2866.0235294117656</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10393.550470774437</v>
      </c>
      <c r="C10" s="1015">
        <f>SUM(C4:C9)</f>
        <v>12060</v>
      </c>
      <c r="D10" s="1015">
        <f t="shared" ref="D10:H10" si="0">SUM(D8:D9)</f>
        <v>14188.23529411765</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2866.0235294117656</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0.17297174396770548</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17228.571428571428</v>
      </c>
      <c r="D17" s="1014">
        <f>'SEAP template'!D87</f>
        <v>20268.907563025215</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4094.3193277310938</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17228.571428571428</v>
      </c>
      <c r="D20" s="1015">
        <f t="shared" ref="D20:H20" si="2">SUM(D17:D19)</f>
        <v>20268.907563025215</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4094.3193277310938</v>
      </c>
    </row>
    <row r="21" spans="1:16">
      <c r="B21" s="880"/>
    </row>
    <row r="22" spans="1:16">
      <c r="A22" s="459" t="s">
        <v>756</v>
      </c>
      <c r="B22" s="775" t="s">
        <v>754</v>
      </c>
      <c r="C22" s="775">
        <f ca="1">'EF ele_warmte'!B22</f>
        <v>0.23764705882352952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0.17297174396770548</v>
      </c>
      <c r="C17" s="495">
        <f ca="1">'EF ele_warmte'!B22</f>
        <v>0.23764705882352952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0.17297174396770548</v>
      </c>
      <c r="C17" s="495">
        <f ca="1">'EF ele_warmte'!B22</f>
        <v>0.23764705882352952</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0.17297174396770548</v>
      </c>
      <c r="C29" s="496">
        <f ca="1">'EF ele_warmte'!B22</f>
        <v>0.23764705882352952</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5462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1780.25</v>
      </c>
      <c r="C14" s="326"/>
      <c r="D14" s="326"/>
      <c r="E14" s="326"/>
      <c r="F14" s="326"/>
    </row>
    <row r="15" spans="1:6">
      <c r="A15" s="1305" t="s">
        <v>177</v>
      </c>
      <c r="B15" s="1306">
        <v>2602</v>
      </c>
      <c r="C15" s="326"/>
      <c r="D15" s="326"/>
      <c r="E15" s="326"/>
      <c r="F15" s="326"/>
    </row>
    <row r="16" spans="1:6">
      <c r="A16" s="1305" t="s">
        <v>6</v>
      </c>
      <c r="B16" s="1306">
        <v>957</v>
      </c>
      <c r="C16" s="326"/>
      <c r="D16" s="326"/>
      <c r="E16" s="326"/>
      <c r="F16" s="326"/>
    </row>
    <row r="17" spans="1:6">
      <c r="A17" s="1305" t="s">
        <v>7</v>
      </c>
      <c r="B17" s="1306">
        <v>212</v>
      </c>
      <c r="C17" s="326"/>
      <c r="D17" s="326"/>
      <c r="E17" s="326"/>
      <c r="F17" s="326"/>
    </row>
    <row r="18" spans="1:6">
      <c r="A18" s="1305" t="s">
        <v>8</v>
      </c>
      <c r="B18" s="1306">
        <v>702</v>
      </c>
      <c r="C18" s="326"/>
      <c r="D18" s="326"/>
      <c r="E18" s="326"/>
      <c r="F18" s="326"/>
    </row>
    <row r="19" spans="1:6">
      <c r="A19" s="1305" t="s">
        <v>9</v>
      </c>
      <c r="B19" s="1306">
        <v>718</v>
      </c>
      <c r="C19" s="326"/>
      <c r="D19" s="326"/>
      <c r="E19" s="326"/>
      <c r="F19" s="326"/>
    </row>
    <row r="20" spans="1:6">
      <c r="A20" s="1305" t="s">
        <v>10</v>
      </c>
      <c r="B20" s="1306">
        <v>469</v>
      </c>
      <c r="C20" s="326"/>
      <c r="D20" s="326"/>
      <c r="E20" s="326"/>
      <c r="F20" s="326"/>
    </row>
    <row r="21" spans="1:6">
      <c r="A21" s="1305" t="s">
        <v>11</v>
      </c>
      <c r="B21" s="1306">
        <v>7834</v>
      </c>
      <c r="C21" s="326"/>
      <c r="D21" s="326"/>
      <c r="E21" s="326"/>
      <c r="F21" s="326"/>
    </row>
    <row r="22" spans="1:6">
      <c r="A22" s="1305" t="s">
        <v>12</v>
      </c>
      <c r="B22" s="1306">
        <v>9387</v>
      </c>
      <c r="C22" s="326"/>
      <c r="D22" s="326"/>
      <c r="E22" s="326"/>
      <c r="F22" s="326"/>
    </row>
    <row r="23" spans="1:6">
      <c r="A23" s="1305" t="s">
        <v>13</v>
      </c>
      <c r="B23" s="1306">
        <v>79</v>
      </c>
      <c r="C23" s="326"/>
      <c r="D23" s="326"/>
      <c r="E23" s="326"/>
      <c r="F23" s="326"/>
    </row>
    <row r="24" spans="1:6">
      <c r="A24" s="1305" t="s">
        <v>14</v>
      </c>
      <c r="B24" s="1306">
        <v>9</v>
      </c>
      <c r="C24" s="326"/>
      <c r="D24" s="326"/>
      <c r="E24" s="326"/>
      <c r="F24" s="326"/>
    </row>
    <row r="25" spans="1:6">
      <c r="A25" s="1305" t="s">
        <v>15</v>
      </c>
      <c r="B25" s="1306">
        <v>849</v>
      </c>
      <c r="C25" s="326"/>
      <c r="D25" s="326"/>
      <c r="E25" s="326"/>
      <c r="F25" s="326"/>
    </row>
    <row r="26" spans="1:6">
      <c r="A26" s="1305" t="s">
        <v>16</v>
      </c>
      <c r="B26" s="1306">
        <v>8</v>
      </c>
      <c r="C26" s="326"/>
      <c r="D26" s="326"/>
      <c r="E26" s="326"/>
      <c r="F26" s="326"/>
    </row>
    <row r="27" spans="1:6">
      <c r="A27" s="1305" t="s">
        <v>17</v>
      </c>
      <c r="B27" s="1306">
        <v>0</v>
      </c>
      <c r="C27" s="326"/>
      <c r="D27" s="326"/>
      <c r="E27" s="326"/>
      <c r="F27" s="326"/>
    </row>
    <row r="28" spans="1:6">
      <c r="A28" s="1305" t="s">
        <v>18</v>
      </c>
      <c r="B28" s="1307">
        <v>255316</v>
      </c>
      <c r="C28" s="326"/>
      <c r="D28" s="326"/>
      <c r="E28" s="326"/>
      <c r="F28" s="326"/>
    </row>
    <row r="29" spans="1:6">
      <c r="A29" s="1305" t="s">
        <v>682</v>
      </c>
      <c r="B29" s="1307">
        <v>56</v>
      </c>
      <c r="C29" s="326"/>
      <c r="D29" s="326"/>
      <c r="E29" s="326"/>
      <c r="F29" s="326"/>
    </row>
    <row r="30" spans="1:6">
      <c r="A30" s="1300" t="s">
        <v>683</v>
      </c>
      <c r="B30" s="1308">
        <v>12</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3</v>
      </c>
      <c r="F35" s="1306">
        <v>14323.859475978001</v>
      </c>
    </row>
    <row r="36" spans="1:6">
      <c r="A36" s="1305" t="s">
        <v>24</v>
      </c>
      <c r="B36" s="1305" t="s">
        <v>26</v>
      </c>
      <c r="C36" s="1306">
        <v>0</v>
      </c>
      <c r="D36" s="1306">
        <v>0</v>
      </c>
      <c r="E36" s="1306">
        <v>4</v>
      </c>
      <c r="F36" s="1306">
        <v>28913.953744234601</v>
      </c>
    </row>
    <row r="37" spans="1:6">
      <c r="A37" s="1305" t="s">
        <v>24</v>
      </c>
      <c r="B37" s="1305" t="s">
        <v>27</v>
      </c>
      <c r="C37" s="1306">
        <v>0</v>
      </c>
      <c r="D37" s="1306">
        <v>0</v>
      </c>
      <c r="E37" s="1306">
        <v>0</v>
      </c>
      <c r="F37" s="1306">
        <v>0</v>
      </c>
    </row>
    <row r="38" spans="1:6">
      <c r="A38" s="1305" t="s">
        <v>24</v>
      </c>
      <c r="B38" s="1305" t="s">
        <v>28</v>
      </c>
      <c r="C38" s="1306">
        <v>2</v>
      </c>
      <c r="D38" s="1306">
        <v>497722.58566379</v>
      </c>
      <c r="E38" s="1306">
        <v>0</v>
      </c>
      <c r="F38" s="1306">
        <v>0</v>
      </c>
    </row>
    <row r="39" spans="1:6">
      <c r="A39" s="1305" t="s">
        <v>29</v>
      </c>
      <c r="B39" s="1305" t="s">
        <v>30</v>
      </c>
      <c r="C39" s="1306">
        <v>4152</v>
      </c>
      <c r="D39" s="1306">
        <v>80603779.0306734</v>
      </c>
      <c r="E39" s="1306">
        <v>5373</v>
      </c>
      <c r="F39" s="1306">
        <v>19979625.808259401</v>
      </c>
    </row>
    <row r="40" spans="1:6">
      <c r="A40" s="1305" t="s">
        <v>29</v>
      </c>
      <c r="B40" s="1305" t="s">
        <v>28</v>
      </c>
      <c r="C40" s="1306">
        <v>1</v>
      </c>
      <c r="D40" s="1306">
        <v>342915.93779837003</v>
      </c>
      <c r="E40" s="1306">
        <v>1</v>
      </c>
      <c r="F40" s="1306">
        <v>73261.847188816799</v>
      </c>
    </row>
    <row r="41" spans="1:6">
      <c r="A41" s="1305" t="s">
        <v>31</v>
      </c>
      <c r="B41" s="1305" t="s">
        <v>32</v>
      </c>
      <c r="C41" s="1306">
        <v>51</v>
      </c>
      <c r="D41" s="1306">
        <v>1173406.18760574</v>
      </c>
      <c r="E41" s="1306">
        <v>102</v>
      </c>
      <c r="F41" s="1306">
        <v>780082.85366177605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142201.253322531</v>
      </c>
      <c r="E44" s="1306">
        <v>19</v>
      </c>
      <c r="F44" s="1306">
        <v>181996.65076154799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23638.9058144521</v>
      </c>
    </row>
    <row r="48" spans="1:6">
      <c r="A48" s="1305" t="s">
        <v>31</v>
      </c>
      <c r="B48" s="1305" t="s">
        <v>28</v>
      </c>
      <c r="C48" s="1306">
        <v>1</v>
      </c>
      <c r="D48" s="1306">
        <v>23601.4026763845</v>
      </c>
      <c r="E48" s="1306">
        <v>0</v>
      </c>
      <c r="F48" s="1306">
        <v>0</v>
      </c>
    </row>
    <row r="49" spans="1:6">
      <c r="A49" s="1305" t="s">
        <v>31</v>
      </c>
      <c r="B49" s="1305" t="s">
        <v>39</v>
      </c>
      <c r="C49" s="1306">
        <v>5</v>
      </c>
      <c r="D49" s="1306">
        <v>262717.09428291197</v>
      </c>
      <c r="E49" s="1306">
        <v>7</v>
      </c>
      <c r="F49" s="1306">
        <v>78567.218244339296</v>
      </c>
    </row>
    <row r="50" spans="1:6">
      <c r="A50" s="1305" t="s">
        <v>31</v>
      </c>
      <c r="B50" s="1305" t="s">
        <v>40</v>
      </c>
      <c r="C50" s="1306">
        <v>11</v>
      </c>
      <c r="D50" s="1306">
        <v>957928.79902224697</v>
      </c>
      <c r="E50" s="1306">
        <v>13</v>
      </c>
      <c r="F50" s="1306">
        <v>880096.70504071401</v>
      </c>
    </row>
    <row r="51" spans="1:6">
      <c r="A51" s="1305" t="s">
        <v>41</v>
      </c>
      <c r="B51" s="1305" t="s">
        <v>42</v>
      </c>
      <c r="C51" s="1306">
        <v>11</v>
      </c>
      <c r="D51" s="1306">
        <v>36971746.492730401</v>
      </c>
      <c r="E51" s="1306">
        <v>71</v>
      </c>
      <c r="F51" s="1306">
        <v>2140162.98809529</v>
      </c>
    </row>
    <row r="52" spans="1:6">
      <c r="A52" s="1305" t="s">
        <v>41</v>
      </c>
      <c r="B52" s="1305" t="s">
        <v>28</v>
      </c>
      <c r="C52" s="1306">
        <v>0</v>
      </c>
      <c r="D52" s="1306">
        <v>0</v>
      </c>
      <c r="E52" s="1306">
        <v>0</v>
      </c>
      <c r="F52" s="1306">
        <v>0</v>
      </c>
    </row>
    <row r="53" spans="1:6">
      <c r="A53" s="1305" t="s">
        <v>43</v>
      </c>
      <c r="B53" s="1305" t="s">
        <v>44</v>
      </c>
      <c r="C53" s="1306">
        <v>68</v>
      </c>
      <c r="D53" s="1306">
        <v>1621709.51593639</v>
      </c>
      <c r="E53" s="1306">
        <v>140</v>
      </c>
      <c r="F53" s="1306">
        <v>666475.653939754</v>
      </c>
    </row>
    <row r="54" spans="1:6">
      <c r="A54" s="1305" t="s">
        <v>45</v>
      </c>
      <c r="B54" s="1305" t="s">
        <v>46</v>
      </c>
      <c r="C54" s="1306">
        <v>0</v>
      </c>
      <c r="D54" s="1306">
        <v>0</v>
      </c>
      <c r="E54" s="1306">
        <v>1</v>
      </c>
      <c r="F54" s="1306">
        <v>703256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55</v>
      </c>
      <c r="D57" s="1306">
        <v>2867865.5728649702</v>
      </c>
      <c r="E57" s="1306">
        <v>103</v>
      </c>
      <c r="F57" s="1306">
        <v>3717968.49148349</v>
      </c>
    </row>
    <row r="58" spans="1:6">
      <c r="A58" s="1305" t="s">
        <v>48</v>
      </c>
      <c r="B58" s="1305" t="s">
        <v>50</v>
      </c>
      <c r="C58" s="1306">
        <v>34</v>
      </c>
      <c r="D58" s="1306">
        <v>1672340.49143799</v>
      </c>
      <c r="E58" s="1306">
        <v>36</v>
      </c>
      <c r="F58" s="1306">
        <v>797920.46919003199</v>
      </c>
    </row>
    <row r="59" spans="1:6">
      <c r="A59" s="1305" t="s">
        <v>48</v>
      </c>
      <c r="B59" s="1305" t="s">
        <v>51</v>
      </c>
      <c r="C59" s="1306">
        <v>101</v>
      </c>
      <c r="D59" s="1306">
        <v>4166619.8189848601</v>
      </c>
      <c r="E59" s="1306">
        <v>149</v>
      </c>
      <c r="F59" s="1306">
        <v>3600256.2121024299</v>
      </c>
    </row>
    <row r="60" spans="1:6">
      <c r="A60" s="1305" t="s">
        <v>48</v>
      </c>
      <c r="B60" s="1305" t="s">
        <v>52</v>
      </c>
      <c r="C60" s="1306">
        <v>36</v>
      </c>
      <c r="D60" s="1306">
        <v>2353038.0477618799</v>
      </c>
      <c r="E60" s="1306">
        <v>49</v>
      </c>
      <c r="F60" s="1306">
        <v>1808024.52752751</v>
      </c>
    </row>
    <row r="61" spans="1:6">
      <c r="A61" s="1305" t="s">
        <v>48</v>
      </c>
      <c r="B61" s="1305" t="s">
        <v>53</v>
      </c>
      <c r="C61" s="1306">
        <v>123</v>
      </c>
      <c r="D61" s="1306">
        <v>4726356.3492396604</v>
      </c>
      <c r="E61" s="1306">
        <v>240</v>
      </c>
      <c r="F61" s="1306">
        <v>2701315.1356359101</v>
      </c>
    </row>
    <row r="62" spans="1:6">
      <c r="A62" s="1305" t="s">
        <v>48</v>
      </c>
      <c r="B62" s="1305" t="s">
        <v>54</v>
      </c>
      <c r="C62" s="1306">
        <v>9</v>
      </c>
      <c r="D62" s="1306">
        <v>2041813.4470202599</v>
      </c>
      <c r="E62" s="1306">
        <v>8</v>
      </c>
      <c r="F62" s="1306">
        <v>522050.585415604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28854.755280599398</v>
      </c>
      <c r="E65" s="1306">
        <v>0</v>
      </c>
      <c r="F65" s="1306">
        <v>0</v>
      </c>
    </row>
    <row r="66" spans="1:6">
      <c r="A66" s="1305" t="s">
        <v>55</v>
      </c>
      <c r="B66" s="1305" t="s">
        <v>57</v>
      </c>
      <c r="C66" s="1306">
        <v>0</v>
      </c>
      <c r="D66" s="1306">
        <v>0</v>
      </c>
      <c r="E66" s="1306">
        <v>7</v>
      </c>
      <c r="F66" s="1306">
        <v>157804.03885511699</v>
      </c>
    </row>
    <row r="67" spans="1:6">
      <c r="A67" s="1305" t="s">
        <v>55</v>
      </c>
      <c r="B67" s="1305" t="s">
        <v>58</v>
      </c>
      <c r="C67" s="1306">
        <v>0</v>
      </c>
      <c r="D67" s="1306">
        <v>0</v>
      </c>
      <c r="E67" s="1306">
        <v>0</v>
      </c>
      <c r="F67" s="1306">
        <v>0</v>
      </c>
    </row>
    <row r="68" spans="1:6">
      <c r="A68" s="1300" t="s">
        <v>55</v>
      </c>
      <c r="B68" s="1300" t="s">
        <v>59</v>
      </c>
      <c r="C68" s="1308">
        <v>4</v>
      </c>
      <c r="D68" s="1308">
        <v>96264.043466672403</v>
      </c>
      <c r="E68" s="1308">
        <v>7</v>
      </c>
      <c r="F68" s="1308">
        <v>470551.895857436</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40564609</v>
      </c>
      <c r="E73" s="445"/>
      <c r="F73" s="326"/>
    </row>
    <row r="74" spans="1:6">
      <c r="A74" s="1305" t="s">
        <v>63</v>
      </c>
      <c r="B74" s="1305" t="s">
        <v>633</v>
      </c>
      <c r="C74" s="1318" t="s">
        <v>635</v>
      </c>
      <c r="D74" s="1306">
        <v>2004235.2292981124</v>
      </c>
      <c r="E74" s="445"/>
      <c r="F74" s="326"/>
    </row>
    <row r="75" spans="1:6">
      <c r="A75" s="1305" t="s">
        <v>64</v>
      </c>
      <c r="B75" s="1305" t="s">
        <v>632</v>
      </c>
      <c r="C75" s="1318" t="s">
        <v>636</v>
      </c>
      <c r="D75" s="1306">
        <v>15590923</v>
      </c>
      <c r="E75" s="445"/>
      <c r="F75" s="326"/>
    </row>
    <row r="76" spans="1:6">
      <c r="A76" s="1305" t="s">
        <v>64</v>
      </c>
      <c r="B76" s="1305" t="s">
        <v>633</v>
      </c>
      <c r="C76" s="1318" t="s">
        <v>637</v>
      </c>
      <c r="D76" s="1306">
        <v>16571.3</v>
      </c>
      <c r="E76" s="445"/>
      <c r="F76" s="326"/>
    </row>
    <row r="77" spans="1:6">
      <c r="A77" s="1305" t="s">
        <v>65</v>
      </c>
      <c r="B77" s="1305" t="s">
        <v>632</v>
      </c>
      <c r="C77" s="1318" t="s">
        <v>638</v>
      </c>
      <c r="D77" s="1306">
        <v>64310280</v>
      </c>
      <c r="E77" s="445"/>
      <c r="F77" s="326"/>
    </row>
    <row r="78" spans="1:6">
      <c r="A78" s="1300" t="s">
        <v>65</v>
      </c>
      <c r="B78" s="1300" t="s">
        <v>633</v>
      </c>
      <c r="C78" s="1300" t="s">
        <v>639</v>
      </c>
      <c r="D78" s="1308">
        <v>19993387</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356061.54140377499</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4289.6670101991949</v>
      </c>
      <c r="C90" s="326"/>
      <c r="D90" s="326"/>
      <c r="E90" s="326"/>
      <c r="F90" s="326"/>
    </row>
    <row r="91" spans="1:6">
      <c r="A91" s="1305" t="s">
        <v>67</v>
      </c>
      <c r="B91" s="1306">
        <v>4777.3052009585535</v>
      </c>
      <c r="C91" s="326"/>
      <c r="D91" s="326"/>
      <c r="E91" s="326"/>
      <c r="F91" s="326"/>
    </row>
    <row r="92" spans="1:6">
      <c r="A92" s="1300" t="s">
        <v>68</v>
      </c>
      <c r="B92" s="1301">
        <v>1326.5782596166889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2401</v>
      </c>
      <c r="C97" s="326"/>
      <c r="D97" s="326"/>
      <c r="E97" s="326"/>
      <c r="F97" s="326"/>
    </row>
    <row r="98" spans="1:6">
      <c r="A98" s="1305" t="s">
        <v>71</v>
      </c>
      <c r="B98" s="1306">
        <v>5</v>
      </c>
      <c r="C98" s="326"/>
      <c r="D98" s="326"/>
      <c r="E98" s="326"/>
      <c r="F98" s="326"/>
    </row>
    <row r="99" spans="1:6">
      <c r="A99" s="1305" t="s">
        <v>72</v>
      </c>
      <c r="B99" s="1306">
        <v>47</v>
      </c>
      <c r="C99" s="326"/>
      <c r="D99" s="326"/>
      <c r="E99" s="326"/>
      <c r="F99" s="326"/>
    </row>
    <row r="100" spans="1:6">
      <c r="A100" s="1305" t="s">
        <v>73</v>
      </c>
      <c r="B100" s="1306">
        <v>151</v>
      </c>
      <c r="C100" s="326"/>
      <c r="D100" s="326"/>
      <c r="E100" s="326"/>
      <c r="F100" s="326"/>
    </row>
    <row r="101" spans="1:6">
      <c r="A101" s="1305" t="s">
        <v>74</v>
      </c>
      <c r="B101" s="1306">
        <v>98</v>
      </c>
      <c r="C101" s="326"/>
      <c r="D101" s="326"/>
      <c r="E101" s="326"/>
      <c r="F101" s="326"/>
    </row>
    <row r="102" spans="1:6">
      <c r="A102" s="1305" t="s">
        <v>75</v>
      </c>
      <c r="B102" s="1306">
        <v>50</v>
      </c>
      <c r="C102" s="326"/>
      <c r="D102" s="326"/>
      <c r="E102" s="326"/>
      <c r="F102" s="326"/>
    </row>
    <row r="103" spans="1:6">
      <c r="A103" s="1305" t="s">
        <v>76</v>
      </c>
      <c r="B103" s="1306">
        <v>89</v>
      </c>
      <c r="C103" s="326"/>
      <c r="D103" s="326"/>
      <c r="E103" s="326"/>
      <c r="F103" s="326"/>
    </row>
    <row r="104" spans="1:6">
      <c r="A104" s="1305" t="s">
        <v>77</v>
      </c>
      <c r="B104" s="1306">
        <v>1664</v>
      </c>
      <c r="C104" s="326"/>
      <c r="D104" s="326"/>
      <c r="E104" s="326"/>
      <c r="F104" s="326"/>
    </row>
    <row r="105" spans="1:6">
      <c r="A105" s="1300" t="s">
        <v>78</v>
      </c>
      <c r="B105" s="1308">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34</v>
      </c>
      <c r="C123" s="1306">
        <v>31</v>
      </c>
      <c r="D123" s="326"/>
      <c r="E123" s="326"/>
      <c r="F123" s="326"/>
    </row>
    <row r="124" spans="1:6">
      <c r="A124" s="1305" t="s">
        <v>88</v>
      </c>
      <c r="B124" s="1306">
        <v>1</v>
      </c>
      <c r="C124" s="1306">
        <v>0</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154</v>
      </c>
      <c r="C129" s="326"/>
      <c r="D129" s="326"/>
      <c r="E129" s="326"/>
      <c r="F129" s="326"/>
    </row>
    <row r="130" spans="1:6">
      <c r="A130" s="1305" t="s">
        <v>284</v>
      </c>
      <c r="B130" s="1306">
        <v>4</v>
      </c>
      <c r="C130" s="326"/>
      <c r="D130" s="326"/>
      <c r="E130" s="326"/>
      <c r="F130" s="326"/>
    </row>
    <row r="131" spans="1:6">
      <c r="A131" s="1305" t="s">
        <v>285</v>
      </c>
      <c r="B131" s="1306">
        <v>2</v>
      </c>
      <c r="C131" s="326"/>
      <c r="D131" s="326"/>
      <c r="E131" s="326"/>
      <c r="F131" s="326"/>
    </row>
    <row r="132" spans="1:6">
      <c r="A132" s="1300" t="s">
        <v>286</v>
      </c>
      <c r="B132" s="1301">
        <v>32</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43645.372491141017</v>
      </c>
      <c r="C3" s="43" t="s">
        <v>163</v>
      </c>
      <c r="D3" s="43"/>
      <c r="E3" s="154"/>
      <c r="F3" s="43"/>
      <c r="G3" s="43"/>
      <c r="H3" s="43"/>
      <c r="I3" s="43"/>
      <c r="J3" s="43"/>
      <c r="K3" s="96"/>
    </row>
    <row r="4" spans="1:11">
      <c r="A4" s="352" t="s">
        <v>164</v>
      </c>
      <c r="B4" s="49">
        <f>IF(ISERROR('SEAP template'!B78+'SEAP template'!C78),0,'SEAP template'!B78+'SEAP template'!C78)</f>
        <v>22453.550470774437</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2866.0235294117656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0.17297174396770548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4094.3193277310938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17228.571428571428</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0.23764705882352952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703.25599999999997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703.25599999999997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0.17297174396770548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121.64341677575268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20052.887655448216</v>
      </c>
      <c r="C5" s="17">
        <f>IF(ISERROR('Eigen informatie GS &amp; warmtenet'!B59),0,'Eigen informatie GS &amp; warmtenet'!B59)</f>
        <v>0</v>
      </c>
      <c r="D5" s="30">
        <f>(SUM(HH_hh_gas_kWh,HH_rest_gas_kWh)/1000)*0.903</f>
        <v>73094.865556530014</v>
      </c>
      <c r="E5" s="17">
        <f>B32*B41</f>
        <v>900.26134735027699</v>
      </c>
      <c r="F5" s="17">
        <f>B36*B45</f>
        <v>20448.428757532074</v>
      </c>
      <c r="G5" s="18"/>
      <c r="H5" s="17"/>
      <c r="I5" s="17"/>
      <c r="J5" s="17">
        <f>B35*B44+C35*C44</f>
        <v>102.30003902788891</v>
      </c>
      <c r="K5" s="17"/>
      <c r="L5" s="17"/>
      <c r="M5" s="17"/>
      <c r="N5" s="17">
        <f>B34*B43+C34*C43</f>
        <v>7126.6460062901069</v>
      </c>
      <c r="O5" s="17">
        <f>B52*B53*B54</f>
        <v>367.03227058660087</v>
      </c>
      <c r="P5" s="17">
        <f>B60*B61*B62/1000-B60*B61*B62/1000/B63</f>
        <v>705.77527361489661</v>
      </c>
    </row>
    <row r="6" spans="1:16">
      <c r="A6" s="16" t="s">
        <v>598</v>
      </c>
      <c r="B6" s="777">
        <f>kWh_PV_kleiner_dan_10kW</f>
        <v>4777.3052009585535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24830.192856406771</v>
      </c>
      <c r="C8" s="21">
        <f>C5</f>
        <v>0</v>
      </c>
      <c r="D8" s="21">
        <f>D5</f>
        <v>73094.865556530014</v>
      </c>
      <c r="E8" s="21">
        <f>E5</f>
        <v>900.26134735027699</v>
      </c>
      <c r="F8" s="21">
        <f>F5</f>
        <v>20448.428757532074</v>
      </c>
      <c r="G8" s="21"/>
      <c r="H8" s="21"/>
      <c r="I8" s="21"/>
      <c r="J8" s="21">
        <f>J5</f>
        <v>102.30003902788891</v>
      </c>
      <c r="K8" s="21"/>
      <c r="L8" s="21">
        <f>L5</f>
        <v>0</v>
      </c>
      <c r="M8" s="21">
        <f>M5</f>
        <v>0</v>
      </c>
      <c r="N8" s="21">
        <f>N5</f>
        <v>7126.6460062901069</v>
      </c>
      <c r="O8" s="21">
        <f>O5</f>
        <v>367.03227058660087</v>
      </c>
      <c r="P8" s="21">
        <f>P5</f>
        <v>705.77527361489661</v>
      </c>
    </row>
    <row r="9" spans="1:16">
      <c r="B9" s="19"/>
      <c r="C9" s="19"/>
      <c r="D9" s="254"/>
      <c r="E9" s="19"/>
      <c r="F9" s="19"/>
      <c r="G9" s="19"/>
      <c r="H9" s="19"/>
      <c r="I9" s="19"/>
      <c r="J9" s="19"/>
      <c r="K9" s="19"/>
      <c r="L9" s="19"/>
      <c r="M9" s="19"/>
      <c r="N9" s="19"/>
      <c r="O9" s="19"/>
      <c r="P9" s="19"/>
    </row>
    <row r="10" spans="1:16">
      <c r="A10" s="24" t="s">
        <v>207</v>
      </c>
      <c r="B10" s="25">
        <f ca="1">'EF ele_warmte'!B12</f>
        <v>0.17297174396770548</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4294.921761427142</v>
      </c>
      <c r="C12" s="23">
        <f ca="1">C10*C8</f>
        <v>0</v>
      </c>
      <c r="D12" s="23">
        <f>D8*D10</f>
        <v>14765.162842419064</v>
      </c>
      <c r="E12" s="23">
        <f>E10*E8</f>
        <v>204.3593258485129</v>
      </c>
      <c r="F12" s="23">
        <f>F10*F8</f>
        <v>5459.7304782610645</v>
      </c>
      <c r="G12" s="23"/>
      <c r="H12" s="23"/>
      <c r="I12" s="23"/>
      <c r="J12" s="23">
        <f>J10*J8</f>
        <v>36.214213815872675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5462</v>
      </c>
      <c r="C26" s="36"/>
      <c r="D26" s="225"/>
    </row>
    <row r="27" spans="1:5" s="15" customFormat="1">
      <c r="A27" s="227" t="s">
        <v>811</v>
      </c>
      <c r="B27" s="37">
        <f>SUM(HH_hh_gas_aantal,HH_rest_gas_aantal)</f>
        <v>4153</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3945.35</v>
      </c>
      <c r="C31" s="34" t="s">
        <v>104</v>
      </c>
      <c r="D31" s="171"/>
    </row>
    <row r="32" spans="1:5">
      <c r="A32" s="168" t="s">
        <v>72</v>
      </c>
      <c r="B32" s="33">
        <f>IF((B21*($B$26-($B$27-0.05*$B$27)-$B$60))&lt;0,0,B21*($B$26-($B$27-0.05*$B$27)-$B$60))</f>
        <v>22.312083598213238</v>
      </c>
      <c r="C32" s="34" t="s">
        <v>104</v>
      </c>
      <c r="D32" s="171"/>
    </row>
    <row r="33" spans="1:6">
      <c r="A33" s="168" t="s">
        <v>73</v>
      </c>
      <c r="B33" s="33">
        <f>IF((B22*($B$26-($B$27-0.05*$B$27)-$B$60))&lt;0,0,B22*($B$26-($B$27-0.05*$B$27)-$B$60))</f>
        <v>362.30404806839704</v>
      </c>
      <c r="C33" s="34" t="s">
        <v>104</v>
      </c>
      <c r="D33" s="171"/>
    </row>
    <row r="34" spans="1:6">
      <c r="A34" s="168" t="s">
        <v>74</v>
      </c>
      <c r="B34" s="33">
        <f>IF((B24*($B$26-($B$27-0.05*$B$27)-$B$60))&lt;0,0,B24*($B$26-($B$27-0.05*$B$27)-$B$60))</f>
        <v>69.398676185172093</v>
      </c>
      <c r="C34" s="33">
        <f>B26*C24</f>
        <v>1118.4750425194679</v>
      </c>
      <c r="D34" s="230"/>
    </row>
    <row r="35" spans="1:6">
      <c r="A35" s="168" t="s">
        <v>76</v>
      </c>
      <c r="B35" s="33">
        <f>IF((B19*($B$26-($B$27-0.05*$B$27)-$B$60))&lt;0,0,B19*($B$26-($B$27-0.05*$B$27)-$B$60))</f>
        <v>9.6990095466800188</v>
      </c>
      <c r="C35" s="33">
        <f>B35/2</f>
        <v>4.8495047733400094</v>
      </c>
      <c r="D35" s="230"/>
    </row>
    <row r="36" spans="1:6">
      <c r="A36" s="168" t="s">
        <v>77</v>
      </c>
      <c r="B36" s="33">
        <f>IF((B18*($B$26-($B$27-0.05*$B$27)-$B$60))&lt;0,0,B18*($B$26-($B$27-0.05*$B$27)-$B$60))</f>
        <v>985.93618260153733</v>
      </c>
      <c r="C36" s="34" t="s">
        <v>104</v>
      </c>
      <c r="D36" s="171"/>
    </row>
    <row r="37" spans="1:6">
      <c r="A37" s="168" t="s">
        <v>78</v>
      </c>
      <c r="B37" s="33">
        <f>B60</f>
        <v>67</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185</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67</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13147.535421354976</v>
      </c>
      <c r="C5" s="17">
        <f>IF(ISERROR('Eigen informatie GS &amp; warmtenet'!B60),0,'Eigen informatie GS &amp; warmtenet'!B60)</f>
        <v>0</v>
      </c>
      <c r="D5" s="30">
        <f>SUM(D6:D12)</f>
        <v>16098.71445576059</v>
      </c>
      <c r="E5" s="17">
        <f>SUM(E6:E12)</f>
        <v>66.549619158971765</v>
      </c>
      <c r="F5" s="17">
        <f>SUM(F6:F12)</f>
        <v>3106.1106683380672</v>
      </c>
      <c r="G5" s="18"/>
      <c r="H5" s="17"/>
      <c r="I5" s="17"/>
      <c r="J5" s="17">
        <f>SUM(J6:J12)</f>
        <v>3.6717987985791477E-2</v>
      </c>
      <c r="K5" s="17"/>
      <c r="L5" s="17"/>
      <c r="M5" s="17"/>
      <c r="N5" s="17">
        <f>SUM(N6:N12)</f>
        <v>1337.5531369874625</v>
      </c>
      <c r="O5" s="17">
        <f>B38*B39*B40</f>
        <v>19.589043063364617</v>
      </c>
      <c r="P5" s="17">
        <f>B46*B47*B48/1000-B46*B47*B48/1000/B49</f>
        <v>105.07827661299004</v>
      </c>
      <c r="R5" s="32"/>
    </row>
    <row r="6" spans="1:18">
      <c r="A6" s="32" t="s">
        <v>53</v>
      </c>
      <c r="B6" s="37">
        <f>B26</f>
        <v>2701.3151356359099</v>
      </c>
      <c r="C6" s="33"/>
      <c r="D6" s="37">
        <f>IF(ISERROR(TER_kantoor_gas_kWh/1000),0,TER_kantoor_gas_kWh/1000)*0.903</f>
        <v>4267.8997833634139</v>
      </c>
      <c r="E6" s="33">
        <f>$C$26*'E Balans VL '!I12/100/3.6*1000000</f>
        <v>0.64717089726669275</v>
      </c>
      <c r="F6" s="33">
        <f>$C$26*('E Balans VL '!L12+'E Balans VL '!N12)/100/3.6*1000000</f>
        <v>256.16254153296813</v>
      </c>
      <c r="G6" s="34"/>
      <c r="H6" s="33"/>
      <c r="I6" s="33"/>
      <c r="J6" s="33">
        <f>$C$26*('E Balans VL '!D12+'E Balans VL '!E12)/100/3.6*1000000</f>
        <v>0</v>
      </c>
      <c r="K6" s="33"/>
      <c r="L6" s="33"/>
      <c r="M6" s="33"/>
      <c r="N6" s="33">
        <f>$C$26*'E Balans VL '!Y12/100/3.6*1000000</f>
        <v>1.3721283669006381</v>
      </c>
      <c r="O6" s="33"/>
      <c r="P6" s="33"/>
      <c r="R6" s="32"/>
    </row>
    <row r="7" spans="1:18">
      <c r="A7" s="32" t="s">
        <v>52</v>
      </c>
      <c r="B7" s="37">
        <f t="shared" ref="B7:B12" si="0">B27</f>
        <v>1808.0245275275099</v>
      </c>
      <c r="C7" s="33"/>
      <c r="D7" s="37">
        <f>IF(ISERROR(TER_horeca_gas_kWh/1000),0,TER_horeca_gas_kWh/1000)*0.903</f>
        <v>2124.7933571289777</v>
      </c>
      <c r="E7" s="33">
        <f>$C$27*'E Balans VL '!I9/100/3.6*1000000</f>
        <v>0</v>
      </c>
      <c r="F7" s="33">
        <f>$C$27*('E Balans VL '!L9+'E Balans VL '!N9)/100/3.6*1000000</f>
        <v>148.25376115334777</v>
      </c>
      <c r="G7" s="34"/>
      <c r="H7" s="33"/>
      <c r="I7" s="33"/>
      <c r="J7" s="33">
        <f>$C$27*('E Balans VL '!D9+'E Balans VL '!E9)/100/3.6*1000000</f>
        <v>0</v>
      </c>
      <c r="K7" s="33"/>
      <c r="L7" s="33"/>
      <c r="M7" s="33"/>
      <c r="N7" s="33">
        <f>$C$27*'E Balans VL '!Y9/100/3.6*1000000</f>
        <v>0.55423215878565879</v>
      </c>
      <c r="O7" s="33"/>
      <c r="P7" s="33"/>
      <c r="R7" s="32"/>
    </row>
    <row r="8" spans="1:18">
      <c r="A8" s="6" t="s">
        <v>51</v>
      </c>
      <c r="B8" s="37">
        <f t="shared" si="0"/>
        <v>3600.2562121024298</v>
      </c>
      <c r="C8" s="33"/>
      <c r="D8" s="37">
        <f>IF(ISERROR(TER_handel_gas_kWh/1000),0,TER_handel_gas_kWh/1000)*0.903</f>
        <v>3762.4576965433289</v>
      </c>
      <c r="E8" s="33">
        <f>$C$28*'E Balans VL '!I13/100/3.6*1000000</f>
        <v>12.652932854338083</v>
      </c>
      <c r="F8" s="33">
        <f>$C$28*('E Balans VL '!L13+'E Balans VL '!N13)/100/3.6*1000000</f>
        <v>329.41697795061299</v>
      </c>
      <c r="G8" s="34"/>
      <c r="H8" s="33"/>
      <c r="I8" s="33"/>
      <c r="J8" s="33">
        <f>$C$28*('E Balans VL '!D13+'E Balans VL '!E13)/100/3.6*1000000</f>
        <v>0</v>
      </c>
      <c r="K8" s="33"/>
      <c r="L8" s="33"/>
      <c r="M8" s="33"/>
      <c r="N8" s="33">
        <f>$C$28*'E Balans VL '!Y13/100/3.6*1000000</f>
        <v>1.3038578031928689</v>
      </c>
      <c r="O8" s="33"/>
      <c r="P8" s="33"/>
      <c r="R8" s="32"/>
    </row>
    <row r="9" spans="1:18">
      <c r="A9" s="32" t="s">
        <v>50</v>
      </c>
      <c r="B9" s="37">
        <f t="shared" si="0"/>
        <v>797.92046919003201</v>
      </c>
      <c r="C9" s="33"/>
      <c r="D9" s="37">
        <f>IF(ISERROR(TER_gezond_gas_kWh/1000),0,TER_gezond_gas_kWh/1000)*0.903</f>
        <v>1510.123463768505</v>
      </c>
      <c r="E9" s="33">
        <f>$C$29*'E Balans VL '!I10/100/3.6*1000000</f>
        <v>0</v>
      </c>
      <c r="F9" s="33">
        <f>$C$29*('E Balans VL '!L10+'E Balans VL '!N10)/100/3.6*1000000</f>
        <v>97.810397350390829</v>
      </c>
      <c r="G9" s="34"/>
      <c r="H9" s="33"/>
      <c r="I9" s="33"/>
      <c r="J9" s="33">
        <f>$C$29*('E Balans VL '!D10+'E Balans VL '!E10)/100/3.6*1000000</f>
        <v>0</v>
      </c>
      <c r="K9" s="33"/>
      <c r="L9" s="33"/>
      <c r="M9" s="33"/>
      <c r="N9" s="33">
        <f>$C$29*'E Balans VL '!Y10/100/3.6*1000000</f>
        <v>5.8841074255393231</v>
      </c>
      <c r="O9" s="33"/>
      <c r="P9" s="33"/>
      <c r="R9" s="32"/>
    </row>
    <row r="10" spans="1:18">
      <c r="A10" s="32" t="s">
        <v>49</v>
      </c>
      <c r="B10" s="37">
        <f t="shared" si="0"/>
        <v>3717.9684914834902</v>
      </c>
      <c r="C10" s="33"/>
      <c r="D10" s="37">
        <f>IF(ISERROR(TER_ander_gas_kWh/1000),0,TER_ander_gas_kWh/1000)*0.903</f>
        <v>2589.6826122970679</v>
      </c>
      <c r="E10" s="33">
        <f>$C$30*'E Balans VL '!I14/100/3.6*1000000</f>
        <v>53.249515407366985</v>
      </c>
      <c r="F10" s="33">
        <f>$C$30*('E Balans VL '!L14+'E Balans VL '!N14)/100/3.6*1000000</f>
        <v>2213.4330601217957</v>
      </c>
      <c r="G10" s="34"/>
      <c r="H10" s="33"/>
      <c r="I10" s="33"/>
      <c r="J10" s="33">
        <f>$C$30*('E Balans VL '!D14+'E Balans VL '!E14)/100/3.6*1000000</f>
        <v>3.6717987985791477E-2</v>
      </c>
      <c r="K10" s="33"/>
      <c r="L10" s="33"/>
      <c r="M10" s="33"/>
      <c r="N10" s="33">
        <f>$C$30*'E Balans VL '!Y14/100/3.6*1000000</f>
        <v>1326.9687767322177</v>
      </c>
      <c r="O10" s="33"/>
      <c r="P10" s="33"/>
      <c r="R10" s="32"/>
    </row>
    <row r="11" spans="1:18">
      <c r="A11" s="32" t="s">
        <v>54</v>
      </c>
      <c r="B11" s="37">
        <f t="shared" si="0"/>
        <v>522.05058541560402</v>
      </c>
      <c r="C11" s="33"/>
      <c r="D11" s="37">
        <f>IF(ISERROR(TER_onderwijs_gas_kWh/1000),0,TER_onderwijs_gas_kWh/1000)*0.903</f>
        <v>1843.7575426592948</v>
      </c>
      <c r="E11" s="33">
        <f>$C$31*'E Balans VL '!I11/100/3.6*1000000</f>
        <v>0</v>
      </c>
      <c r="F11" s="33">
        <f>$C$31*('E Balans VL '!L11+'E Balans VL '!N11)/100/3.6*1000000</f>
        <v>61.033930228951654</v>
      </c>
      <c r="G11" s="34"/>
      <c r="H11" s="33"/>
      <c r="I11" s="33"/>
      <c r="J11" s="33">
        <f>$C$31*('E Balans VL '!D11+'E Balans VL '!E11)/100/3.6*1000000</f>
        <v>0</v>
      </c>
      <c r="K11" s="33"/>
      <c r="L11" s="33"/>
      <c r="M11" s="33"/>
      <c r="N11" s="33">
        <f>$C$31*'E Balans VL '!Y11/100/3.6*1000000</f>
        <v>1.4700345008261306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13147.535421354976</v>
      </c>
      <c r="C16" s="21">
        <f t="shared" ca="1" si="1"/>
        <v>0</v>
      </c>
      <c r="D16" s="21">
        <f t="shared" ca="1" si="1"/>
        <v>16098.71445576059</v>
      </c>
      <c r="E16" s="21">
        <f t="shared" si="1"/>
        <v>66.549619158971765</v>
      </c>
      <c r="F16" s="21">
        <f t="shared" ca="1" si="1"/>
        <v>3106.1106683380672</v>
      </c>
      <c r="G16" s="21">
        <f t="shared" si="1"/>
        <v>0</v>
      </c>
      <c r="H16" s="21">
        <f t="shared" si="1"/>
        <v>0</v>
      </c>
      <c r="I16" s="21">
        <f t="shared" si="1"/>
        <v>0</v>
      </c>
      <c r="J16" s="21">
        <f t="shared" si="1"/>
        <v>3.6717987985791477E-2</v>
      </c>
      <c r="K16" s="21">
        <f t="shared" si="1"/>
        <v>0</v>
      </c>
      <c r="L16" s="21">
        <f t="shared" ca="1" si="1"/>
        <v>0</v>
      </c>
      <c r="M16" s="21">
        <f t="shared" si="1"/>
        <v>0</v>
      </c>
      <c r="N16" s="21">
        <f t="shared" ca="1" si="1"/>
        <v>1337.5531369874625</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0.17297174396770548</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2274.152130708952</v>
      </c>
      <c r="C20" s="23">
        <f t="shared" ref="C20:P20" ca="1" si="2">C16*C18</f>
        <v>0</v>
      </c>
      <c r="D20" s="23">
        <f t="shared" ca="1" si="2"/>
        <v>3251.9403200636393</v>
      </c>
      <c r="E20" s="23">
        <f t="shared" si="2"/>
        <v>15.10676354908659</v>
      </c>
      <c r="F20" s="23">
        <f t="shared" ca="1" si="2"/>
        <v>829.33154844626404</v>
      </c>
      <c r="G20" s="23">
        <f t="shared" si="2"/>
        <v>0</v>
      </c>
      <c r="H20" s="23">
        <f t="shared" si="2"/>
        <v>0</v>
      </c>
      <c r="I20" s="23">
        <f t="shared" si="2"/>
        <v>0</v>
      </c>
      <c r="J20" s="23">
        <f t="shared" si="2"/>
        <v>1.2998167746970182E-2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2701.3151356359099</v>
      </c>
      <c r="C26" s="39">
        <f>IF(ISERROR(B26*3.6/1000000/'E Balans VL '!Z12*100),0,B26*3.6/1000000/'E Balans VL '!Z12*100)</f>
        <v>7.6184240269592002E-2</v>
      </c>
      <c r="D26" s="233" t="s">
        <v>685</v>
      </c>
      <c r="F26" s="6"/>
    </row>
    <row r="27" spans="1:18">
      <c r="A27" s="228" t="s">
        <v>52</v>
      </c>
      <c r="B27" s="33">
        <f>IF(ISERROR(TER_horeca_ele_kWh/1000),0,TER_horeca_ele_kWh/1000)</f>
        <v>1808.0245275275099</v>
      </c>
      <c r="C27" s="39">
        <f>IF(ISERROR(B27*3.6/1000000/'E Balans VL '!Z9*100),0,B27*3.6/1000000/'E Balans VL '!Z9*100)</f>
        <v>0.1340428077184197</v>
      </c>
      <c r="D27" s="233" t="s">
        <v>685</v>
      </c>
      <c r="F27" s="6"/>
    </row>
    <row r="28" spans="1:18">
      <c r="A28" s="168" t="s">
        <v>51</v>
      </c>
      <c r="B28" s="33">
        <f>IF(ISERROR(TER_handel_ele_kWh/1000),0,TER_handel_ele_kWh/1000)</f>
        <v>3600.2562121024298</v>
      </c>
      <c r="C28" s="39">
        <f>IF(ISERROR(B28*3.6/1000000/'E Balans VL '!Z13*100),0,B28*3.6/1000000/'E Balans VL '!Z13*100)</f>
        <v>0.10785511618585274</v>
      </c>
      <c r="D28" s="233" t="s">
        <v>685</v>
      </c>
      <c r="F28" s="6"/>
    </row>
    <row r="29" spans="1:18">
      <c r="A29" s="228" t="s">
        <v>50</v>
      </c>
      <c r="B29" s="33">
        <f>IF(ISERROR(TER_gezond_ele_kWh/1000),0,TER_gezond_ele_kWh/1000)</f>
        <v>797.92046919003201</v>
      </c>
      <c r="C29" s="39">
        <f>IF(ISERROR(B29*3.6/1000000/'E Balans VL '!Z10*100),0,B29*3.6/1000000/'E Balans VL '!Z10*100)</f>
        <v>7.8898688736931705E-2</v>
      </c>
      <c r="D29" s="233" t="s">
        <v>685</v>
      </c>
      <c r="F29" s="6"/>
    </row>
    <row r="30" spans="1:18">
      <c r="A30" s="228" t="s">
        <v>49</v>
      </c>
      <c r="B30" s="33">
        <f>IF(ISERROR(TER_ander_ele_kWh/1000),0,TER_ander_ele_kWh/1000)</f>
        <v>3717.9684914834902</v>
      </c>
      <c r="C30" s="39">
        <f>IF(ISERROR(B30*3.6/1000000/'E Balans VL '!Z14*100),0,B30*3.6/1000000/'E Balans VL '!Z14*100)</f>
        <v>0.15038083816706407</v>
      </c>
      <c r="D30" s="233" t="s">
        <v>685</v>
      </c>
      <c r="F30" s="6"/>
    </row>
    <row r="31" spans="1:18">
      <c r="A31" s="228" t="s">
        <v>54</v>
      </c>
      <c r="B31" s="33">
        <f>IF(ISERROR(TER_onderwijs_ele_kWh/1000),0,TER_onderwijs_ele_kWh/1000)</f>
        <v>522.05058541560402</v>
      </c>
      <c r="C31" s="39">
        <f>IF(ISERROR(B31*3.6/1000000/'E Balans VL '!Z11*100),0,B31*3.6/1000000/'E Balans VL '!Z11*100)</f>
        <v>0.14343012750601325</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2</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1944.3823335228294</v>
      </c>
      <c r="C5" s="17">
        <f>IF(ISERROR('Eigen informatie GS &amp; warmtenet'!B61),0,'Eigen informatie GS &amp; warmtenet'!B61)</f>
        <v>0</v>
      </c>
      <c r="D5" s="30">
        <f>SUM(D6:D15)</f>
        <v>2311.5488274295626</v>
      </c>
      <c r="E5" s="17">
        <f>SUM(E6:E15)</f>
        <v>4.8932780457410336</v>
      </c>
      <c r="F5" s="17">
        <f>SUM(F6:F15)</f>
        <v>505.80636536220675</v>
      </c>
      <c r="G5" s="18"/>
      <c r="H5" s="17"/>
      <c r="I5" s="17"/>
      <c r="J5" s="17">
        <f>SUM(J6:J15)</f>
        <v>0.16200692000974096</v>
      </c>
      <c r="K5" s="17"/>
      <c r="L5" s="17"/>
      <c r="M5" s="17"/>
      <c r="N5" s="17">
        <f>SUM(N6:N15)</f>
        <v>66.754135872134725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181.99665076154798</v>
      </c>
      <c r="C8" s="33"/>
      <c r="D8" s="37">
        <f>IF( ISERROR(IND_metaal_Gas_kWH/1000),0,IND_metaal_Gas_kWH/1000)*0.903</f>
        <v>128.40773175024552</v>
      </c>
      <c r="E8" s="33">
        <f>C30*'E Balans VL '!I18/100/3.6*1000000</f>
        <v>0.91765886779264938</v>
      </c>
      <c r="F8" s="33">
        <f>C30*'E Balans VL '!L18/100/3.6*1000000+C30*'E Balans VL '!N18/100/3.6*1000000</f>
        <v>12.43438308127191</v>
      </c>
      <c r="G8" s="34"/>
      <c r="H8" s="33"/>
      <c r="I8" s="33"/>
      <c r="J8" s="40">
        <f>C30*'E Balans VL '!D18/100/3.6*1000000+C30*'E Balans VL '!E18/100/3.6*1000000</f>
        <v>0.16135555541441648</v>
      </c>
      <c r="K8" s="33"/>
      <c r="L8" s="33"/>
      <c r="M8" s="33"/>
      <c r="N8" s="33">
        <f>C30*'E Balans VL '!Y18/100/3.6*1000000</f>
        <v>2.4187365686850639</v>
      </c>
      <c r="O8" s="33"/>
      <c r="P8" s="33"/>
      <c r="R8" s="32"/>
    </row>
    <row r="9" spans="1:18">
      <c r="A9" s="6" t="s">
        <v>32</v>
      </c>
      <c r="B9" s="37">
        <f t="shared" si="0"/>
        <v>780.08285366177608</v>
      </c>
      <c r="C9" s="33"/>
      <c r="D9" s="37">
        <f>IF( ISERROR(IND_andere_gas_kWh/1000),0,IND_andere_gas_kWh/1000)*0.903</f>
        <v>1059.5857874079834</v>
      </c>
      <c r="E9" s="33">
        <f>C31*'E Balans VL '!I19/100/3.6*1000000</f>
        <v>2.459005522102133</v>
      </c>
      <c r="F9" s="33">
        <f>C31*'E Balans VL '!L19/100/3.6*1000000+C31*'E Balans VL '!N19/100/3.6*1000000</f>
        <v>477.53391373212486</v>
      </c>
      <c r="G9" s="34"/>
      <c r="H9" s="33"/>
      <c r="I9" s="33"/>
      <c r="J9" s="40">
        <f>C31*'E Balans VL '!D19/100/3.6*1000000+C31*'E Balans VL '!E19/100/3.6*1000000</f>
        <v>0</v>
      </c>
      <c r="K9" s="33"/>
      <c r="L9" s="33"/>
      <c r="M9" s="33"/>
      <c r="N9" s="33">
        <f>C31*'E Balans VL '!Y19/100/3.6*1000000</f>
        <v>32.70993326681225</v>
      </c>
      <c r="O9" s="33"/>
      <c r="P9" s="33"/>
      <c r="R9" s="32"/>
    </row>
    <row r="10" spans="1:18">
      <c r="A10" s="6" t="s">
        <v>40</v>
      </c>
      <c r="B10" s="37">
        <f t="shared" si="0"/>
        <v>880.09670504071403</v>
      </c>
      <c r="C10" s="33"/>
      <c r="D10" s="37">
        <f>IF( ISERROR(IND_voed_gas_kWh/1000),0,IND_voed_gas_kWh/1000)*0.903</f>
        <v>865.00970551708906</v>
      </c>
      <c r="E10" s="33">
        <f>C32*'E Balans VL '!I20/100/3.6*1000000</f>
        <v>1.4026269786549084</v>
      </c>
      <c r="F10" s="33">
        <f>C32*'E Balans VL '!L20/100/3.6*1000000+C32*'E Balans VL '!N20/100/3.6*1000000</f>
        <v>14.299433459664261</v>
      </c>
      <c r="G10" s="34"/>
      <c r="H10" s="33"/>
      <c r="I10" s="33"/>
      <c r="J10" s="40">
        <f>C32*'E Balans VL '!D20/100/3.6*1000000+C32*'E Balans VL '!E20/100/3.6*1000000</f>
        <v>0</v>
      </c>
      <c r="K10" s="33"/>
      <c r="L10" s="33"/>
      <c r="M10" s="33"/>
      <c r="N10" s="33">
        <f>C32*'E Balans VL '!Y20/100/3.6*1000000</f>
        <v>27.797849475457497</v>
      </c>
      <c r="O10" s="33"/>
      <c r="P10" s="33"/>
      <c r="R10" s="32"/>
    </row>
    <row r="11" spans="1:18">
      <c r="A11" s="6" t="s">
        <v>39</v>
      </c>
      <c r="B11" s="37">
        <f t="shared" si="0"/>
        <v>78.567218244339301</v>
      </c>
      <c r="C11" s="33"/>
      <c r="D11" s="37">
        <f>IF( ISERROR(IND_textiel_gas_kWh/1000),0,IND_textiel_gas_kWh/1000)*0.903</f>
        <v>237.23353613746954</v>
      </c>
      <c r="E11" s="33">
        <f>C33*'E Balans VL '!I21/100/3.6*1000000</f>
        <v>0.11398667719134291</v>
      </c>
      <c r="F11" s="33">
        <f>C33*'E Balans VL '!L21/100/3.6*1000000+C33*'E Balans VL '!N21/100/3.6*1000000</f>
        <v>1.5376109418277877</v>
      </c>
      <c r="G11" s="34"/>
      <c r="H11" s="33"/>
      <c r="I11" s="33"/>
      <c r="J11" s="40">
        <f>C33*'E Balans VL '!D21/100/3.6*1000000+C33*'E Balans VL '!E21/100/3.6*1000000</f>
        <v>0</v>
      </c>
      <c r="K11" s="33"/>
      <c r="L11" s="33"/>
      <c r="M11" s="33"/>
      <c r="N11" s="33">
        <f>C33*'E Balans VL '!Y21/100/3.6*1000000</f>
        <v>3.8276165611799224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23.638905814452102</v>
      </c>
      <c r="C13" s="33"/>
      <c r="D13" s="37">
        <f>IF( ISERROR(IND_papier_gas_kWh/1000),0,IND_papier_gas_kWh/1000)*0.903</f>
        <v>0</v>
      </c>
      <c r="E13" s="33">
        <f>C35*'E Balans VL '!I23/100/3.6*1000000</f>
        <v>0</v>
      </c>
      <c r="F13" s="33">
        <f>C35*'E Balans VL '!L23/100/3.6*1000000+C35*'E Balans VL '!N23/100/3.6*1000000</f>
        <v>1.0241473179541311E-3</v>
      </c>
      <c r="G13" s="34"/>
      <c r="H13" s="33"/>
      <c r="I13" s="33"/>
      <c r="J13" s="40">
        <f>C35*'E Balans VL '!D23/100/3.6*1000000+C35*'E Balans VL '!E23/100/3.6*1000000</f>
        <v>6.5136459532446635E-4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21.312066616775201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1944.3823335228294</v>
      </c>
      <c r="C18" s="21">
        <f>C5+C16</f>
        <v>0</v>
      </c>
      <c r="D18" s="21">
        <f>MAX((D5+D16),0)</f>
        <v>2311.5488274295626</v>
      </c>
      <c r="E18" s="21">
        <f>MAX((E5+E16),0)</f>
        <v>4.8932780457410336</v>
      </c>
      <c r="F18" s="21">
        <f>MAX((F5+F16),0)</f>
        <v>505.80636536220675</v>
      </c>
      <c r="G18" s="21"/>
      <c r="H18" s="21"/>
      <c r="I18" s="21"/>
      <c r="J18" s="21">
        <f>MAX((J5+J16),0)</f>
        <v>0.16200692000974096</v>
      </c>
      <c r="K18" s="21"/>
      <c r="L18" s="21">
        <f>MAX((L5+L16),0)</f>
        <v>0</v>
      </c>
      <c r="M18" s="21"/>
      <c r="N18" s="21">
        <f>MAX((N5+N16),0)</f>
        <v>66.754135872134725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0.17297174396770548</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336.3232031694406</v>
      </c>
      <c r="C22" s="23">
        <f ca="1">C18*C20</f>
        <v>0</v>
      </c>
      <c r="D22" s="23">
        <f>D18*D20</f>
        <v>466.9328631407717</v>
      </c>
      <c r="E22" s="23">
        <f>E18*E20</f>
        <v>1.1107741163832148</v>
      </c>
      <c r="F22" s="23">
        <f>F18*F20</f>
        <v>135.0502995517092</v>
      </c>
      <c r="G22" s="23"/>
      <c r="H22" s="23"/>
      <c r="I22" s="23"/>
      <c r="J22" s="23">
        <f>J18*J20</f>
        <v>5.7350449683448296E-2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181.99665076154798</v>
      </c>
      <c r="C30" s="39">
        <f>IF(ISERROR(B30*3.6/1000000/'E Balans VL '!Z18*100),0,B30*3.6/1000000/'E Balans VL '!Z18*100)</f>
        <v>9.0339035690808339E-3</v>
      </c>
      <c r="D30" s="233" t="s">
        <v>685</v>
      </c>
    </row>
    <row r="31" spans="1:18">
      <c r="A31" s="6" t="s">
        <v>32</v>
      </c>
      <c r="B31" s="37">
        <f>IF( ISERROR(IND_ander_ele_kWh/1000),0,IND_ander_ele_kWh/1000)</f>
        <v>780.08285366177608</v>
      </c>
      <c r="C31" s="39">
        <f>IF(ISERROR(B31*3.6/1000000/'E Balans VL '!Z19*100),0,B31*3.6/1000000/'E Balans VL '!Z19*100)</f>
        <v>2.6323798919204076E-2</v>
      </c>
      <c r="D31" s="233" t="s">
        <v>685</v>
      </c>
    </row>
    <row r="32" spans="1:18">
      <c r="A32" s="168" t="s">
        <v>40</v>
      </c>
      <c r="B32" s="37">
        <f>IF( ISERROR(IND_voed_ele_kWh/1000),0,IND_voed_ele_kWh/1000)</f>
        <v>880.09670504071403</v>
      </c>
      <c r="C32" s="39">
        <f>IF(ISERROR(B32*3.6/1000000/'E Balans VL '!Z20*100),0,B32*3.6/1000000/'E Balans VL '!Z20*100)</f>
        <v>2.0668466562104408E-2</v>
      </c>
      <c r="D32" s="233" t="s">
        <v>685</v>
      </c>
    </row>
    <row r="33" spans="1:5">
      <c r="A33" s="168" t="s">
        <v>39</v>
      </c>
      <c r="B33" s="37">
        <f>IF( ISERROR(IND_textiel_ele_kWh/1000),0,IND_textiel_ele_kWh/1000)</f>
        <v>78.567218244339301</v>
      </c>
      <c r="C33" s="39">
        <f>IF(ISERROR(B33*3.6/1000000/'E Balans VL '!Z21*100),0,B33*3.6/1000000/'E Balans VL '!Z21*100)</f>
        <v>8.6226526137599176E-3</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23.638905814452102</v>
      </c>
      <c r="C35" s="39">
        <f>IF(ISERROR(B35*3.6/1000000/'E Balans VL '!Z22*100),0,B35*3.6/1000000/'E Balans VL '!Z22*100)</f>
        <v>3.3536694991639217E-3</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0</v>
      </c>
      <c r="C37" s="39">
        <f>IF(ISERROR(B37*3.6/1000000/'E Balans VL '!Z15*100),0,B37*3.6/1000000/'E Balans VL '!Z15*100)</f>
        <v>0</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2140.1629880952901</v>
      </c>
      <c r="C5" s="17">
        <f>'Eigen informatie GS &amp; warmtenet'!B62</f>
        <v>0</v>
      </c>
      <c r="D5" s="30">
        <f>IF(ISERROR(SUM(LB_lb_gas_kWh,LB_rest_gas_kWh)/1000),0,SUM(LB_lb_gas_kWh,LB_rest_gas_kWh)/1000)*0.903</f>
        <v>33385.487082935557</v>
      </c>
      <c r="E5" s="17">
        <f>B17*'E Balans VL '!I25/3.6*1000000/100</f>
        <v>79.813224117669137</v>
      </c>
      <c r="F5" s="17">
        <f>B17*('E Balans VL '!L25/3.6*1000000+'E Balans VL '!N25/3.6*1000000)/100</f>
        <v>6943.5157249126405</v>
      </c>
      <c r="G5" s="18"/>
      <c r="H5" s="17"/>
      <c r="I5" s="17"/>
      <c r="J5" s="17">
        <f>('E Balans VL '!D25+'E Balans VL '!E25)/3.6*1000000*landbouw!B17/100</f>
        <v>561.80335016093659</v>
      </c>
      <c r="K5" s="17"/>
      <c r="L5" s="17">
        <f>L6*(-1)</f>
        <v>0</v>
      </c>
      <c r="M5" s="17"/>
      <c r="N5" s="17">
        <f>N6*(-1)</f>
        <v>0</v>
      </c>
      <c r="O5" s="17"/>
      <c r="P5" s="17"/>
      <c r="R5" s="32"/>
    </row>
    <row r="6" spans="1:18">
      <c r="A6" s="16" t="s">
        <v>467</v>
      </c>
      <c r="B6" s="17" t="s">
        <v>204</v>
      </c>
      <c r="C6" s="17">
        <f>'lokale energieproductie'!O39+'lokale energieproductie'!O32</f>
        <v>17228.571428571428</v>
      </c>
      <c r="D6" s="304">
        <f>('lokale energieproductie'!P32+'lokale energieproductie'!P39)*(-1)</f>
        <v>-34457.142857142862</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2140.1629880952901</v>
      </c>
      <c r="C8" s="21">
        <f>C5+C6</f>
        <v>17228.571428571428</v>
      </c>
      <c r="D8" s="21">
        <f>MAX((D5+D6),0)</f>
        <v>0</v>
      </c>
      <c r="E8" s="21">
        <f>MAX((E5+E6),0)</f>
        <v>79.813224117669137</v>
      </c>
      <c r="F8" s="21">
        <f>MAX((F5+F6),0)</f>
        <v>6943.5157249126405</v>
      </c>
      <c r="G8" s="21"/>
      <c r="H8" s="21"/>
      <c r="I8" s="21"/>
      <c r="J8" s="21">
        <f>MAX((J5+J6),0)</f>
        <v>561.80335016093659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0.17297174396770548</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370.18772442597805</v>
      </c>
      <c r="C12" s="23">
        <f ca="1">C8*C10</f>
        <v>4094.3193277310938</v>
      </c>
      <c r="D12" s="23">
        <f>D8*D10</f>
        <v>0</v>
      </c>
      <c r="E12" s="23">
        <f>E8*E10</f>
        <v>18.117601874710896</v>
      </c>
      <c r="F12" s="23">
        <f>F8*F10</f>
        <v>1853.9186985516751</v>
      </c>
      <c r="G12" s="23"/>
      <c r="H12" s="23"/>
      <c r="I12" s="23"/>
      <c r="J12" s="23">
        <f>J8*J10</f>
        <v>198.87838595697156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0.29394580162028994</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256.03643467825606</v>
      </c>
      <c r="C26" s="243">
        <f>B26*'GWP N2O_CH4'!B5</f>
        <v>5376.7651282433771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123.76232456050568</v>
      </c>
      <c r="C27" s="243">
        <f>B27*'GWP N2O_CH4'!B5</f>
        <v>2599.0088157706191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5.8741874745171847</v>
      </c>
      <c r="C28" s="243">
        <f>B28*'GWP N2O_CH4'!B4</f>
        <v>1820.9981171003274</v>
      </c>
      <c r="D28" s="50"/>
    </row>
    <row r="29" spans="1:4">
      <c r="A29" s="41" t="s">
        <v>266</v>
      </c>
      <c r="B29" s="243">
        <f>B34*'ha_N2O bodem landbouw'!B4</f>
        <v>11.556830858925098</v>
      </c>
      <c r="C29" s="243">
        <f>B29*'GWP N2O_CH4'!B4</f>
        <v>3582.6175662667802</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2.6338347568838475E-3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7.0747835045383055E-4</v>
      </c>
      <c r="C5" s="432" t="s">
        <v>204</v>
      </c>
      <c r="D5" s="417">
        <f>SUM(D6:D11)</f>
        <v>1.1426340182359384E-3</v>
      </c>
      <c r="E5" s="417">
        <f>SUM(E6:E11)</f>
        <v>6.9771234621140207E-4</v>
      </c>
      <c r="F5" s="430" t="s">
        <v>204</v>
      </c>
      <c r="G5" s="417">
        <f>SUM(G6:G11)</f>
        <v>0.39673083682776278</v>
      </c>
      <c r="H5" s="417">
        <f>SUM(H6:H11)</f>
        <v>7.108153564128171E-2</v>
      </c>
      <c r="I5" s="432" t="s">
        <v>204</v>
      </c>
      <c r="J5" s="432" t="s">
        <v>204</v>
      </c>
      <c r="K5" s="432" t="s">
        <v>204</v>
      </c>
      <c r="L5" s="432" t="s">
        <v>204</v>
      </c>
      <c r="M5" s="417">
        <f>SUM(M6:M11)</f>
        <v>2.7277774306565687E-2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2.0246799843569055E-4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3.5182572158883941E-4</v>
      </c>
      <c r="E6" s="883">
        <f>vkm_GW_PW*SUMIFS(TableVerdeelsleutelVkm[LPG],TableVerdeelsleutelVkm[Voertuigtype],"Lichte voertuigen")*SUMIFS(TableECFTransport[EnergieConsumptieFactor (PJ per km)],TableECFTransport[Index],CONCATENATE($A6,"_LPG_LPG"))</f>
        <v>1.9563805187959731E-4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5.8791094705273279E-2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2.1435429669935099E-2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4.8001512517039917E-3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4.6394435575507093E-7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1.9201496004802379E-2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1.953400200916646E-7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1.0810738280773069E-3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1.0307855684336514E-4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2.2998291295571493E-4</v>
      </c>
      <c r="E8" s="420">
        <f>vkm_NGW_PW*SUMIFS(TableVerdeelsleutelVkm[LPG],TableVerdeelsleutelVkm[Voertuigtype],"Lichte voertuigen")*SUMIFS(TableECFTransport[EnergieConsumptieFactor (PJ per km)],TableECFTransport[Index],CONCATENATE($A8,"_LPG_LPG"))</f>
        <v>1.2248842289701046E-4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3.3875268236310617E-2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1.3840432676973021E-2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2.8693749864398439E-3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3.8359574715271406E-9</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2.0444677233633164E-4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1.9494655381790796E-9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1.1510659413141717E-5</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3.9683590588737103E-4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5.6082538369138404E-4</v>
      </c>
      <c r="E10" s="420">
        <f>vkm_SW_PW*SUMIFS(TableVerdeelsleutelVkm[LPG],TableVerdeelsleutelVkm[Voertuigtype],"Lichte voertuigen")*SUMIFS(TableECFTransport[EnergieConsumptieFactor (PJ per km)],TableECFTransport[Index],CONCATENATE($A10,"_LPG_LPG"))</f>
        <v>3.7958587143479427E-4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0.10370113748019238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3.5803470335489883E-2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8.3274718831625807E-3</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4.6281089741772589E-6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0.18095739362884775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2.0056693980730975E-6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1.0188191697768819E-2</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196.52176401495294</v>
      </c>
      <c r="C14" s="21"/>
      <c r="D14" s="21">
        <f t="shared" ref="D14:M14" si="0">((D5)*10^9/3600)+D12</f>
        <v>317.39833839887177</v>
      </c>
      <c r="E14" s="21">
        <f t="shared" si="0"/>
        <v>193.80898505872281</v>
      </c>
      <c r="F14" s="21"/>
      <c r="G14" s="21">
        <f t="shared" si="0"/>
        <v>110203.01022993411</v>
      </c>
      <c r="H14" s="21">
        <f t="shared" si="0"/>
        <v>19744.871011467141</v>
      </c>
      <c r="I14" s="21"/>
      <c r="J14" s="21"/>
      <c r="K14" s="21"/>
      <c r="L14" s="21"/>
      <c r="M14" s="21">
        <f t="shared" si="0"/>
        <v>7577.1595296015794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0.17297174396770548</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33.992712249276273</v>
      </c>
      <c r="C18" s="23"/>
      <c r="D18" s="23">
        <f t="shared" ref="D18:M18" si="1">D14*D16</f>
        <v>64.1144643565721</v>
      </c>
      <c r="E18" s="23">
        <f t="shared" si="1"/>
        <v>43.994639608330083</v>
      </c>
      <c r="F18" s="23"/>
      <c r="G18" s="23">
        <f t="shared" si="1"/>
        <v>29424.203731392408</v>
      </c>
      <c r="H18" s="23">
        <f t="shared" si="1"/>
        <v>4916.4728818553185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6.0643705703190399E-5</v>
      </c>
      <c r="C50" s="315">
        <f t="shared" ref="C50:P50" si="2">SUM(C51:C52)</f>
        <v>0</v>
      </c>
      <c r="D50" s="315">
        <f t="shared" si="2"/>
        <v>0</v>
      </c>
      <c r="E50" s="315">
        <f t="shared" si="2"/>
        <v>0</v>
      </c>
      <c r="F50" s="315">
        <f t="shared" si="2"/>
        <v>0</v>
      </c>
      <c r="G50" s="315">
        <f t="shared" si="2"/>
        <v>4.3286383869354369E-3</v>
      </c>
      <c r="H50" s="315">
        <f t="shared" si="2"/>
        <v>0</v>
      </c>
      <c r="I50" s="315">
        <f t="shared" si="2"/>
        <v>0</v>
      </c>
      <c r="J50" s="315">
        <f t="shared" si="2"/>
        <v>0</v>
      </c>
      <c r="K50" s="315">
        <f t="shared" si="2"/>
        <v>0</v>
      </c>
      <c r="L50" s="315">
        <f t="shared" si="2"/>
        <v>0</v>
      </c>
      <c r="M50" s="315">
        <f t="shared" si="2"/>
        <v>2.390213250010025E-4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6.0643705703190399E-5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4.3286383869354369E-3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2.390213250010025E-4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16.845473806441777</v>
      </c>
      <c r="C54" s="21">
        <f t="shared" ref="C54:P54" si="3">(C50)*10^9/3600</f>
        <v>0</v>
      </c>
      <c r="D54" s="21">
        <f t="shared" si="3"/>
        <v>0</v>
      </c>
      <c r="E54" s="21">
        <f t="shared" si="3"/>
        <v>0</v>
      </c>
      <c r="F54" s="21">
        <f t="shared" si="3"/>
        <v>0</v>
      </c>
      <c r="G54" s="21">
        <f t="shared" si="3"/>
        <v>1202.3995519265104</v>
      </c>
      <c r="H54" s="21">
        <f t="shared" si="3"/>
        <v>0</v>
      </c>
      <c r="I54" s="21">
        <f t="shared" si="3"/>
        <v>0</v>
      </c>
      <c r="J54" s="21">
        <f t="shared" si="3"/>
        <v>0</v>
      </c>
      <c r="K54" s="21">
        <f t="shared" si="3"/>
        <v>0</v>
      </c>
      <c r="L54" s="21">
        <f t="shared" si="3"/>
        <v>0</v>
      </c>
      <c r="M54" s="21">
        <f t="shared" si="3"/>
        <v>66.394812500278476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0.17297174396770548</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2.9137909822625363</v>
      </c>
      <c r="C58" s="23">
        <f t="shared" ref="C58:P58" ca="1" si="4">C54*C56</f>
        <v>0</v>
      </c>
      <c r="D58" s="23">
        <f t="shared" si="4"/>
        <v>0</v>
      </c>
      <c r="E58" s="23">
        <f t="shared" si="4"/>
        <v>0</v>
      </c>
      <c r="F58" s="23">
        <f t="shared" si="4"/>
        <v>0</v>
      </c>
      <c r="G58" s="23">
        <f t="shared" si="4"/>
        <v>321.04068036437832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4289.6670101991949</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6103.8834605752427</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12060</v>
      </c>
      <c r="C8" s="542">
        <f>B48</f>
        <v>14188.23529411765</v>
      </c>
      <c r="D8" s="543"/>
      <c r="E8" s="543">
        <f>E48</f>
        <v>0</v>
      </c>
      <c r="F8" s="544"/>
      <c r="G8" s="545"/>
      <c r="H8" s="543">
        <f>I48</f>
        <v>0</v>
      </c>
      <c r="I8" s="543">
        <f>G48+F48</f>
        <v>0</v>
      </c>
      <c r="J8" s="543">
        <f>H48+D48+C48</f>
        <v>0</v>
      </c>
      <c r="K8" s="543"/>
      <c r="L8" s="543"/>
      <c r="M8" s="543"/>
      <c r="N8" s="546"/>
      <c r="O8" s="547">
        <f>C8*$C$12+D8*$D$12+E8*$E$12+F8*$F$12+G8*$G$12+H8*$H$12+I8*$I$12+J8*$J$12</f>
        <v>2866.0235294117656</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22453.550470774437</v>
      </c>
      <c r="C10" s="557">
        <f t="shared" ref="C10:L10" si="0">SUM(C8:C9)</f>
        <v>14188.23529411765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2866.0235294117656</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17228.571428571428</v>
      </c>
      <c r="C17" s="573">
        <f>B49</f>
        <v>20268.907563025215</v>
      </c>
      <c r="D17" s="574"/>
      <c r="E17" s="574">
        <f>E49</f>
        <v>0</v>
      </c>
      <c r="F17" s="575"/>
      <c r="G17" s="576"/>
      <c r="H17" s="573">
        <f>I49</f>
        <v>0</v>
      </c>
      <c r="I17" s="574">
        <f>G49+F49</f>
        <v>0</v>
      </c>
      <c r="J17" s="574">
        <f>H49+D49+C49</f>
        <v>0</v>
      </c>
      <c r="K17" s="574"/>
      <c r="L17" s="574"/>
      <c r="M17" s="574"/>
      <c r="N17" s="959"/>
      <c r="O17" s="577">
        <f>C17*$C$22+E17*$E$22+H17*$H$22+I17*$I$22+J17*$J$22+D17*$D$22+F17*$F$22+G17*$G$22+K17*$K$22+L17*$L$22</f>
        <v>4094.3193277310938</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17228.571428571428</v>
      </c>
      <c r="C20" s="556">
        <f>SUM(C17:C19)</f>
        <v>20268.907563025215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4094.3193277310938</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13031</v>
      </c>
      <c r="C28" s="784">
        <v>2360</v>
      </c>
      <c r="D28" s="634"/>
      <c r="E28" s="633"/>
      <c r="F28" s="633"/>
      <c r="G28" s="633" t="s">
        <v>877</v>
      </c>
      <c r="H28" s="633" t="s">
        <v>878</v>
      </c>
      <c r="I28" s="633"/>
      <c r="J28" s="783"/>
      <c r="K28" s="783"/>
      <c r="L28" s="633" t="s">
        <v>879</v>
      </c>
      <c r="M28" s="633">
        <v>2680</v>
      </c>
      <c r="N28" s="633">
        <v>12060</v>
      </c>
      <c r="O28" s="633">
        <v>17228.571428571428</v>
      </c>
      <c r="P28" s="633">
        <v>34457.142857142862</v>
      </c>
      <c r="Q28" s="633">
        <v>0</v>
      </c>
      <c r="R28" s="633">
        <v>0</v>
      </c>
      <c r="S28" s="633">
        <v>0</v>
      </c>
      <c r="T28" s="633">
        <v>0</v>
      </c>
      <c r="U28" s="633">
        <v>0</v>
      </c>
      <c r="V28" s="633">
        <v>0</v>
      </c>
      <c r="W28" s="633">
        <v>0</v>
      </c>
      <c r="X28" s="633">
        <v>10</v>
      </c>
      <c r="Y28" s="633" t="s">
        <v>105</v>
      </c>
      <c r="Z28" s="635" t="s">
        <v>105</v>
      </c>
    </row>
    <row r="29" spans="1:26" s="567" customFormat="1" hidden="1">
      <c r="A29" s="589" t="s">
        <v>269</v>
      </c>
      <c r="B29" s="590"/>
      <c r="C29" s="590"/>
      <c r="D29" s="590"/>
      <c r="E29" s="590"/>
      <c r="F29" s="590"/>
      <c r="G29" s="590"/>
      <c r="H29" s="590"/>
      <c r="I29" s="590"/>
      <c r="J29" s="590"/>
      <c r="K29" s="590"/>
      <c r="L29" s="591"/>
      <c r="M29" s="591">
        <f>SUM(M28:M28)</f>
        <v>2680</v>
      </c>
      <c r="N29" s="591">
        <f>SUM(N28:N28)</f>
        <v>12060</v>
      </c>
      <c r="O29" s="591">
        <f>SUM(O28:O28)</f>
        <v>17228.571428571428</v>
      </c>
      <c r="P29" s="591">
        <f>SUM(P28:P28)</f>
        <v>34457.142857142862</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2680</v>
      </c>
      <c r="N32" s="596">
        <f>SUMIF($Z$28:$Z$28,"landbouw",N28:N28)</f>
        <v>12060</v>
      </c>
      <c r="O32" s="596">
        <f>SUMIF($Z$28:$Z$28,"landbouw",O28:O28)</f>
        <v>17228.571428571428</v>
      </c>
      <c r="P32" s="596">
        <f>SUMIF($Z$28:$Z$28,"landbouw",P28:P28)</f>
        <v>34457.142857142862</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0.58823529411764708</v>
      </c>
      <c r="C45" s="616">
        <f>IF(ISERROR(N29/(O29+N29)),0,N29/(N29+O29))</f>
        <v>0.41176470588235298</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14188.23529411765</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20268.907563025215</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2021-11-11T12:24:58Z</dcterms:modified>
</cp:coreProperties>
</file>