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DDC7C09B-31E1-4A4D-B19A-BB78FAD1D50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6" i="22" l="1"/>
  <c r="A3" i="23"/>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9" i="20"/>
  <c r="C22" i="59"/>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<sst xmlns="http://schemas.openxmlformats.org/spreadsheetml/2006/main" count="2477" uniqueCount="903">
  <si>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</si>
  <si>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</si>
  <si>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</si>
  <si>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</si>
  <si>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</si>
  <si>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</si>
  <si>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</si>
  <si>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</si>
  <si>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</si>
  <si>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</si>
  <si>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</si>
  <si>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</si>
  <si>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</si>
  <si>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</si>
  <si>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</si>
  <si>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</si>
  <si>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</si>
  <si>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</si>
  <si>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</si>
  <si>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</si>
  <si>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</si>
  <si>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</si>
  <si>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</si>
  <si>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</si>
  <si>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</si>
  <si>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</si>
  <si>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</si>
  <si>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</si>
  <si>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</si>
  <si>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</si>
  <si>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</si>
  <si>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</si>
  <si>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</si>
  <si>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</si>
  <si>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</si>
  <si>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</si>
  <si>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</si>
  <si>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</si>
  <si>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</si>
  <si>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</si>
  <si>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</si>
  <si>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</si>
  <si>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</si>
  <si>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</si>
  <si>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</si>
  <si>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</si>
  <si>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</si>
  <si>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</si>
  <si>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</si>
  <si>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</si>
  <si>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</si>
  <si>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</si>
  <si>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</si>
  <si>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</si>
  <si>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</si>
  <si>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</si>
  <si>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</si>
  <si>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</si>
  <si>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</si>
  <si>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</si>
  <si>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</si>
  <si>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</si>
  <si>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</si>
  <si>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</si>
  <si>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</si>
  <si>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</si>
  <si>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</si>
  <si>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</si>
  <si>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</si>
  <si>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</si>
  <si>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</si>
  <si>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</si>
  <si>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</si>
  <si>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</si>
  <si>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</si>
  <si>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</si>
  <si>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</si>
  <si>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</si>
  <si>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</si>
  <si>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</si>
  <si>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</si>
  <si>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</si>
  <si>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</si>
  <si>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</si>
  <si>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</si>
  <si>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</si>
  <si>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</si>
  <si>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</si>
  <si>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</si>
  <si>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</si>
  <si>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</si>
  <si>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</si>
  <si>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</si>
  <si>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</si>
  <si>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</si>
  <si>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</si>
  <si>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</si>
  <si>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</si>
  <si>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</si>
  <si>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</si>
  <si>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</si>
  <si>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</si>
  <si>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</si>
  <si>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</si>
  <si>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</si>
  <si>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</si>
  <si>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</si>
  <si>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</si>
  <si>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</si>
  <si>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</si>
  <si>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</si>
  <si>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</si>
  <si>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</si>
  <si>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</si>
  <si>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</si>
  <si>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</si>
  <si>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</si>
  <si>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</si>
  <si>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</si>
  <si>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</si>
  <si>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</si>
  <si>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</si>
  <si>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</si>
  <si>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</si>
  <si>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</si>
  <si>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</si>
  <si>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</si>
  <si>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</si>
  <si>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</si>
  <si>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</si>
  <si>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</si>
  <si>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</si>
  <si>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</si>
  <si>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</si>
  <si>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</si>
  <si>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</si>
  <si>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</si>
  <si>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</si>
  <si>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</si>
  <si>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</si>
  <si>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</si>
  <si>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</si>
  <si>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</si>
  <si>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</si>
  <si>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</si>
  <si>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</si>
  <si>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</si>
  <si>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</si>
  <si>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</si>
  <si>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</si>
  <si>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</si>
  <si>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</si>
  <si>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</si>
  <si>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</si>
  <si>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</si>
  <si>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</si>
  <si>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</si>
  <si>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</si>
  <si>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</si>
  <si>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</si>
  <si>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</si>
  <si>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</si>
  <si>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</si>
  <si>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</si>
  <si>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</si>
  <si>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</si>
  <si>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</si>
  <si>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</si>
  <si>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</si>
  <si>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</si>
  <si>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</si>
  <si>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</si>
  <si>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</si>
  <si>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</si>
  <si>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</si>
  <si>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</si>
  <si>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</si>
  <si>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</si>
  <si>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</si>
  <si>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</si>
  <si>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</si>
  <si>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</si>
  <si>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</si>
  <si>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</si>
  <si>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</si>
  <si>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</si>
  <si>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</si>
  <si>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</si>
  <si>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</si>
  <si>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</si>
  <si>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</si>
  <si>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</si>
  <si>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</si>
  <si>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</si>
  <si>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</si>
  <si>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</si>
  <si>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</si>
  <si>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</si>
  <si>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</si>
  <si>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</si>
  <si>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</si>
  <si>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</si>
  <si>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</si>
  <si>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</si>
  <si>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</si>
  <si>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</si>
  <si>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</si>
  <si>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</si>
  <si>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</si>
  <si>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</si>
  <si>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</si>
  <si>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</si>
  <si>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</si>
  <si>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</si>
  <si>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</si>
  <si>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</si>
  <si>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</si>
  <si>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</si>
  <si>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</si>
  <si>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</si>
  <si>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</si>
  <si>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</si>
  <si>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</si>
  <si>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</si>
  <si>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</si>
  <si>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</si>
  <si>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</si>
  <si>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</si>
  <si>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</si>
  <si>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</si>
  <si>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</si>
  <si>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</si>
  <si>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</si>
  <si>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</si>
  <si>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</si>
  <si>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</si>
  <si>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</si>
  <si>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</si>
  <si>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</si>
  <si>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</si>
  <si>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</si>
  <si>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</si>
  <si>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</si>
  <si>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</si>
  <si>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</si>
  <si>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</si>
  <si>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</si>
  <si>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</si>
  <si>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</si>
  <si>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</si>
  <si>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</si>
  <si>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</si>
  <si>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</si>
  <si>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</si>
  <si>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</si>
  <si>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</si>
  <si>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</si>
  <si>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</si>
  <si>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</si>
  <si>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</si>
  <si>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</si>
  <si>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</si>
  <si>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</si>
  <si>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</si>
  <si>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</si>
  <si>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</si>
  <si>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</si>
  <si>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</si>
  <si>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</si>
  <si>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</si>
  <si>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</si>
  <si>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</si>
  <si>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</si>
  <si>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</si>
  <si>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</si>
  <si>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</si>
  <si>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</si>
  <si>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</si>
  <si>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</si>
  <si>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</si>
  <si>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</si>
  <si>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</si>
  <si>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</si>
  <si>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</si>
  <si>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</si>
  <si>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</si>
  <si>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</si>
  <si>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</si>
  <si>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</si>
  <si>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</si>
  <si>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</si>
  <si>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</si>
  <si>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</si>
  <si>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</si>
  <si>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</si>
  <si>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</si>
  <si>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</si>
  <si>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</si>
  <si>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</si>
  <si>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</si>
  <si>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</si>
  <si>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</si>
  <si>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</si>
  <si>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</si>
  <si>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</si>
  <si>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</si>
  <si>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</si>
  <si>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</si>
  <si>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</si>
  <si>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</si>
  <si>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</si>
  <si>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</si>
  <si>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</si>
  <si>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</si>
  <si>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</si>
  <si>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</si>
  <si>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</si>
  <si>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</si>
  <si>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</si>
  <si>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</si>
  <si>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</si>
  <si>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</si>
  <si>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</si>
  <si>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</si>
  <si>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</si>
  <si>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</si>
  <si>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</si>
  <si>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</si>
  <si>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</si>
  <si>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</si>
  <si>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</si>
  <si>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</si>
  <si>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</si>
  <si>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</si>
  <si>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</si>
  <si>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</si>
  <si>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</si>
  <si>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</si>
  <si>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</si>
  <si>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</si>
  <si>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</si>
  <si>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</si>
  <si>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</si>
  <si>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</si>
  <si>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</si>
  <si>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</si>
  <si>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</si>
  <si>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</si>
  <si>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</si>
  <si>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</si>
  <si>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</si>
  <si>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</si>
  <si>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</si>
  <si>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</si>
  <si>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</si>
  <si>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</si>
  <si>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</si>
  <si>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</si>
  <si>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</si>
  <si>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</si>
  <si>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</si>
  <si>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</si>
  <si>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</si>
  <si>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</si>
  <si>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</si>
  <si>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</si>
  <si>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</si>
  <si>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</si>
  <si>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</si>
  <si>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</si>
  <si>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</si>
  <si>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</si>
  <si>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</si>
  <si>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</si>
  <si>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</si>
  <si>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</si>
  <si>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</si>
  <si>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</si>
  <si>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</si>
  <si>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</si>
  <si>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</si>
  <si>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</si>
  <si>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</si>
  <si>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</si>
  <si>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</si>
  <si>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</si>
  <si>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</si>
  <si>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</si>
  <si>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</si>
  <si>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</si>
  <si>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</si>
  <si>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</si>
  <si>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</si>
  <si>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</si>
  <si>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</si>
  <si>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</si>
  <si>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</si>
  <si>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</si>
  <si>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</si>
  <si>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</si>
  <si>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</si>
  <si>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</si>
  <si>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</si>
  <si>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</si>
  <si>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</si>
  <si>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</si>
  <si>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</si>
  <si>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</si>
  <si>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</si>
  <si>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</si>
  <si>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</si>
  <si>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</si>
  <si>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</si>
  <si>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</si>
  <si>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</si>
  <si>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</si>
  <si>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</si>
  <si>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</si>
  <si>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</si>
  <si>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</si>
  <si>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</si>
  <si>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</si>
  <si>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</si>
  <si>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</si>
  <si>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</si>
  <si>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</si>
  <si>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</si>
  <si>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</si>
  <si>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</si>
  <si>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</si>
  <si>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</si>
  <si>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</si>
  <si>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</si>
  <si>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</si>
  <si>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</si>
  <si>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</si>
  <si>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</si>
  <si>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</si>
  <si>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</si>
  <si>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</si>
  <si>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</si>
  <si>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</si>
  <si>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</si>
  <si>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</si>
  <si>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</si>
  <si>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</si>
  <si>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</si>
  <si>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</si>
  <si>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</si>
  <si>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</si>
  <si>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</si>
  <si>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</si>
  <si>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</si>
  <si>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</si>
  <si>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</si>
  <si>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</si>
  <si>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</si>
  <si>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</si>
  <si>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</si>
  <si>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</si>
  <si>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</si>
  <si>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</si>
  <si>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</si>
  <si>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</si>
  <si>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</si>
  <si>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</si>
  <si>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</si>
  <si>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</si>
  <si>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</si>
  <si>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</si>
  <si>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</si>
  <si>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</si>
  <si>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</si>
  <si>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</si>
  <si>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</si>
  <si>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</si>
  <si>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</si>
  <si>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</si>
  <si>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</si>
  <si>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</si>
  <si>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</si>
  <si>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</si>
  <si>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</si>
  <si>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</si>
  <si>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</si>
  <si>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</si>
  <si>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</si>
  <si>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</si>
  <si>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</si>
  <si>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</si>
  <si>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</si>
  <si>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</si>
  <si>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</si>
  <si>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</si>
  <si>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</si>
  <si>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</si>
  <si>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</si>
  <si>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</si>
  <si>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</si>
  <si>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</si>
  <si>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</si>
  <si>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</si>
  <si>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</si>
  <si>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</si>
  <si>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</si>
  <si>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</si>
  <si>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</si>
  <si>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</si>
  <si>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</si>
  <si>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</si>
  <si>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</si>
  <si>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</si>
  <si>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</si>
  <si>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</si>
  <si>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</si>
  <si>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</si>
  <si>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</si>
  <si>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</si>
  <si>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</si>
  <si>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</si>
  <si>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</si>
  <si>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</si>
  <si>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</si>
  <si>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</si>
  <si>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</si>
  <si>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</si>
  <si>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</si>
  <si>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</si>
  <si>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</si>
  <si>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</si>
  <si>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</si>
  <si>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</si>
  <si>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</si>
  <si>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</si>
  <si>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</si>
  <si>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</si>
  <si>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</si>
  <si>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</si>
  <si>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</si>
  <si>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</si>
  <si>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</si>
  <si>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</si>
  <si>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</si>
  <si>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</si>
  <si>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</si>
  <si>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</si>
  <si>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</si>
  <si>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</si>
  <si>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</si>
  <si>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</si>
  <si>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</si>
  <si>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</si>
  <si>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</si>
  <si>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</si>
  <si>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</si>
  <si>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</si>
  <si>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</si>
  <si>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</si>
  <si>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</si>
  <si>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</si>
  <si>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</si>
  <si>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</si>
  <si>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</si>
  <si>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</si>
  <si>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</si>
  <si>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</si>
  <si>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</si>
  <si>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</si>
  <si>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</si>
  <si>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</si>
  <si>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</si>
  <si>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</si>
  <si>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</si>
  <si>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</si>
  <si>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</si>
  <si>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</si>
  <si>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</si>
  <si>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</si>
  <si>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</si>
  <si>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</si>
  <si>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</si>
  <si>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</si>
  <si>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</si>
  <si>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</si>
  <si>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</si>
  <si>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</si>
  <si>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</si>
  <si>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</si>
  <si>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</si>
  <si>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</si>
  <si>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</si>
  <si>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</si>
  <si>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</si>
  <si>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</si>
  <si>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</si>
  <si>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</si>
  <si>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</si>
  <si>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</si>
  <si>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</si>
  <si>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</si>
  <si>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</si>
  <si>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</si>
  <si>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</si>
  <si>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</si>
  <si>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</si>
  <si>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</si>
  <si>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</si>
  <si>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</si>
  <si>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</si>
  <si>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</si>
  <si>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</si>
  <si>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</si>
  <si>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</si>
  <si>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</si>
  <si>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</si>
  <si>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</si>
  <si>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</si>
  <si>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</si>
  <si>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</si>
  <si>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</si>
  <si>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</si>
  <si>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</si>
  <si>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</si>
  <si>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</si>
  <si>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</si>
  <si>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</si>
  <si>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</si>
  <si>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</si>
  <si>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</si>
  <si>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</si>
  <si>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</si>
  <si>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</si>
  <si>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</si>
  <si>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</si>
  <si>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</si>
  <si>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</si>
  <si>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</si>
  <si>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</si>
  <si>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</si>
  <si>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</si>
  <si>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</si>
  <si>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</si>
  <si>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</si>
  <si>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</si>
  <si>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</si>
  <si>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</si>
  <si>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</si>
  <si>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</si>
  <si>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</si>
  <si>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</si>
  <si>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</si>
  <si>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</si>
  <si>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</si>
  <si>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</si>
  <si>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</si>
  <si>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</si>
  <si>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</si>
  <si>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</si>
  <si>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</si>
  <si>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</si>
  <si>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</si>
  <si>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</si>
  <si>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</si>
  <si>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</si>
  <si>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</si>
  <si>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</si>
  <si>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</si>
  <si>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</si>
  <si>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</si>
  <si>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</si>
  <si>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</si>
  <si>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</si>
  <si>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</si>
  <si>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</si>
  <si>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</si>
  <si>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</si>
  <si>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</si>
  <si>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</si>
  <si>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</si>
  <si>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</si>
  <si>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</si>
  <si>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</si>
  <si>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</si>
  <si>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</si>
  <si>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</si>
  <si>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</si>
  <si>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</si>
  <si>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</si>
  <si>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</si>
  <si>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</si>
  <si>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</si>
  <si>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</si>
  <si>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</si>
  <si>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</si>
  <si>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</si>
  <si>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</si>
  <si>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</si>
  <si>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</si>
  <si>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</si>
  <si>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</si>
  <si>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</si>
  <si>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</si>
  <si>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</si>
  <si>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</si>
  <si>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</si>
  <si>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</si>
  <si>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</si>
  <si>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</si>
  <si>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</si>
  <si>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</si>
  <si>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</si>
  <si>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</si>
  <si>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</si>
  <si>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</si>
  <si>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</si>
  <si>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</si>
  <si>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</si>
  <si>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</si>
  <si>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</si>
  <si>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</si>
  <si>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</si>
  <si>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</si>
  <si>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</si>
  <si>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</si>
  <si>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</si>
  <si>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</si>
  <si>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</si>
  <si>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</si>
  <si>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</si>
  <si>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</si>
  <si>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</si>
  <si>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</si>
  <si>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</si>
  <si>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</si>
  <si>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</si>
  <si>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</si>
  <si>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</si>
  <si>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</si>
  <si>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</si>
  <si>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</si>
  <si>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</si>
  <si>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</si>
  <si>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</si>
  <si>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</si>
  <si>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</si>
  <si>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</si>
  <si>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</si>
  <si>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</si>
  <si>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</si>
  <si>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</si>
  <si>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</si>
  <si>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</si>
  <si>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</si>
  <si>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</si>
  <si>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</si>
  <si>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</si>
  <si>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</si>
  <si>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</si>
  <si>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</si>
  <si>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</si>
  <si>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</si>
  <si>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</si>
  <si>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</si>
  <si>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</si>
  <si>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</si>
  <si>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</si>
  <si>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</si>
  <si>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</si>
  <si>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</si>
  <si>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</si>
  <si>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</si>
  <si>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</si>
  <si>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</si>
  <si>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</si>
  <si>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</si>
  <si>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</si>
  <si>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</si>
  <si>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</si>
  <si>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</si>
  <si>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</si>
  <si>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</si>
  <si>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</si>
  <si>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</si>
  <si>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</si>
  <si>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</si>
  <si>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</si>
  <si>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</si>
  <si>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</si>
  <si>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</si>
  <si>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</si>
  <si>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</si>
  <si>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</si>
  <si>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</si>
  <si>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</si>
  <si>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</si>
  <si>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</si>
  <si>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</si>
  <si>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</si>
  <si>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</si>
  <si>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</si>
  <si>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</si>
  <si>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</si>
  <si>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</si>
  <si>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</si>
  <si>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</si>
  <si>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</si>
  <si>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</si>
  <si>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</si>
  <si>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</si>
  <si>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</si>
  <si>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</si>
  <si>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</si>
  <si>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</si>
  <si>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</si>
  <si>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</si>
  <si>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</si>
  <si>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</si>
  <si>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</si>
  <si>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</si>
  <si>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</si>
  <si>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</si>
  <si>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</si>
  <si>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</si>
  <si>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</si>
  <si>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</si>
  <si>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</si>
  <si>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</si>
  <si>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</si>
  <si>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</si>
  <si>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</si>
  <si>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</si>
  <si>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</si>
  <si>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</si>
  <si>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</si>
  <si>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</si>
  <si>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</si>
  <si>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</si>
  <si>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</si>
  <si>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</si>
  <si>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</si>
  <si>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</si>
  <si>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</si>
  <si>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</si>
  <si>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</si>
  <si>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</si>
  <si>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</si>
  <si>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</si>
  <si>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</si>
  <si>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</si>
  <si>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</si>
  <si>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</si>
  <si>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</si>
  <si>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</si>
  <si>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</si>
  <si>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</si>
  <si>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</si>
  <si>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</si>
  <si>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</si>
  <si>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</si>
  <si>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</si>
  <si>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</si>
  <si>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</si>
  <si>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</si>
  <si>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</si>
  <si>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</si>
  <si>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</si>
  <si>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</si>
  <si>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</si>
  <si>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</si>
  <si>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</si>
  <si>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</si>
  <si>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</si>
  <si>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</si>
  <si>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</si>
  <si>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</si>
  <si>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</si>
  <si>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</si>
  <si>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</si>
  <si>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</si>
  <si>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</si>
  <si>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</si>
  <si>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</si>
  <si>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</si>
  <si>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</si>
  <si>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</si>
  <si>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</si>
  <si>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</si>
  <si>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</si>
  <si>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</si>
  <si>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</si>
  <si>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</si>
  <si>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</si>
  <si>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</si>
  <si>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</si>
  <si>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</si>
  <si>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</si>
  <si>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</si>
  <si>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72029</t>
  </si>
  <si>
    <t>OVERPELT</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</si>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</sst>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F66D26B5-17B1-4BD8-918F-7B38F8DA01C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121573.4497533504</c:v>
                </c:pt>
                <c:pt idx="1">
                  <c:v>61684.63948968325</c:v>
                </c:pt>
                <c:pt idx="2">
                  <c:v>1100.6610000000001</c:v>
                </c:pt>
                <c:pt idx="3">
                  <c:v>4346.5528698746421</c:v>
                </c:pt>
                <c:pt idx="4">
                  <c:v>219081.14489494485</c:v>
                </c:pt>
                <c:pt idx="5">
                  <c:v>98972.949855165294</c:v>
                </c:pt>
                <c:pt idx="6">
                  <c:v>2026.649016184178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121573.4497533504</c:v>
                </c:pt>
                <c:pt idx="1">
                  <c:v>61684.63948968325</c:v>
                </c:pt>
                <c:pt idx="2">
                  <c:v>1100.6610000000001</c:v>
                </c:pt>
                <c:pt idx="3">
                  <c:v>4346.5528698746421</c:v>
                </c:pt>
                <c:pt idx="4">
                  <c:v>219081.14489494485</c:v>
                </c:pt>
                <c:pt idx="5">
                  <c:v>98972.949855165294</c:v>
                </c:pt>
                <c:pt idx="6">
                  <c:v>2026.649016184178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24108.612845851902</c:v>
                </c:pt>
                <c:pt idx="1">
                  <c:v>11748.597615856035</c:v>
                </c:pt>
                <c:pt idx="2">
                  <c:v>205.62596703253672</c:v>
                </c:pt>
                <c:pt idx="3">
                  <c:v>1060.5277001136026</c:v>
                </c:pt>
                <c:pt idx="4">
                  <c:v>44394.609771436277</c:v>
                </c:pt>
                <c:pt idx="5">
                  <c:v>24627.196496812037</c:v>
                </c:pt>
                <c:pt idx="6">
                  <c:v>510.42491111522929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24108.612845851902</c:v>
                </c:pt>
                <c:pt idx="1">
                  <c:v>11748.597615856035</c:v>
                </c:pt>
                <c:pt idx="2">
                  <c:v>205.62596703253672</c:v>
                </c:pt>
                <c:pt idx="3">
                  <c:v>1060.5277001136026</c:v>
                </c:pt>
                <c:pt idx="4">
                  <c:v>44394.609771436277</c:v>
                </c:pt>
                <c:pt idx="5">
                  <c:v>24627.196496812037</c:v>
                </c:pt>
                <c:pt idx="6">
                  <c:v>510.42491111522929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72029</v>
      </c>
      <c r="B6" s="384"/>
      <c r="C6" s="385"/>
    </row>
    <row r="7" spans="1:7" s="382" customFormat="1" ht="15.75" customHeight="1">
      <c r="A7" s="386" t="str">
        <f>txtMunicipality</f>
        <v>OVERPELT</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27883.757302000005</v>
      </c>
      <c r="D10" s="679">
        <f ca="1">tertiair!C16</f>
        <v>0</v>
      </c>
      <c r="E10" s="679">
        <f ca="1">tertiair!D16</f>
        <v>29286.446981638001</v>
      </c>
      <c r="F10" s="679">
        <f>tertiair!E16</f>
        <v>285.98176944539961</v>
      </c>
      <c r="G10" s="679">
        <f ca="1">tertiair!F16</f>
        <v>2862.0503155582173</v>
      </c>
      <c r="H10" s="679">
        <f>tertiair!G16</f>
        <v>0</v>
      </c>
      <c r="I10" s="679">
        <f>tertiair!H16</f>
        <v>0</v>
      </c>
      <c r="J10" s="679">
        <f>tertiair!I16</f>
        <v>0</v>
      </c>
      <c r="K10" s="679">
        <f>tertiair!J16</f>
        <v>5.7407868260202465E-2</v>
      </c>
      <c r="L10" s="679">
        <f>tertiair!K16</f>
        <v>0</v>
      </c>
      <c r="M10" s="679">
        <f ca="1">tertiair!L16</f>
        <v>0</v>
      </c>
      <c r="N10" s="679">
        <f>tertiair!M16</f>
        <v>0</v>
      </c>
      <c r="O10" s="679">
        <f ca="1">tertiair!N16</f>
        <v>2309.3892982538769</v>
      </c>
      <c r="P10" s="679">
        <f>tertiair!O16</f>
        <v>0</v>
      </c>
      <c r="Q10" s="680">
        <f>tertiair!P16</f>
        <v>157.61741491948504</v>
      </c>
      <c r="R10" s="682">
        <f ca="1">SUM(C10:Q10)</f>
        <v>62785.30048968325</v>
      </c>
      <c r="S10" s="67"/>
    </row>
    <row r="11" spans="1:19" s="442" customFormat="1">
      <c r="A11" s="800" t="s">
        <v>213</v>
      </c>
      <c r="B11" s="805"/>
      <c r="C11" s="679">
        <f>huishoudens!B8</f>
        <v>25800.042929030093</v>
      </c>
      <c r="D11" s="679">
        <f>huishoudens!C8</f>
        <v>0</v>
      </c>
      <c r="E11" s="679">
        <f>huishoudens!D8</f>
        <v>54098.765702299999</v>
      </c>
      <c r="F11" s="679">
        <f>huishoudens!E8</f>
        <v>1835.8210717078455</v>
      </c>
      <c r="G11" s="679">
        <f>huishoudens!F8</f>
        <v>29595.882469884225</v>
      </c>
      <c r="H11" s="679">
        <f>huishoudens!G8</f>
        <v>0</v>
      </c>
      <c r="I11" s="679">
        <f>huishoudens!H8</f>
        <v>0</v>
      </c>
      <c r="J11" s="679">
        <f>huishoudens!I8</f>
        <v>0</v>
      </c>
      <c r="K11" s="679">
        <f>huishoudens!J8</f>
        <v>118.23424563927227</v>
      </c>
      <c r="L11" s="679">
        <f>huishoudens!K8</f>
        <v>0</v>
      </c>
      <c r="M11" s="679">
        <f>huishoudens!L8</f>
        <v>0</v>
      </c>
      <c r="N11" s="679">
        <f>huishoudens!M8</f>
        <v>0</v>
      </c>
      <c r="O11" s="679">
        <f>huishoudens!N8</f>
        <v>8527.3715908719641</v>
      </c>
      <c r="P11" s="679">
        <f>huishoudens!O8</f>
        <v>470.19809799472654</v>
      </c>
      <c r="Q11" s="680">
        <f>huishoudens!P8</f>
        <v>1127.1336459222975</v>
      </c>
      <c r="R11" s="682">
        <f>SUM(C11:Q11)</f>
        <v>121573.4497533504</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70744.056219999999</v>
      </c>
      <c r="D13" s="679">
        <f>industrie!C18</f>
        <v>0</v>
      </c>
      <c r="E13" s="679">
        <f>industrie!D18</f>
        <v>117700.37270725801</v>
      </c>
      <c r="F13" s="679">
        <f>industrie!E18</f>
        <v>6183.162974891663</v>
      </c>
      <c r="G13" s="679">
        <f>industrie!F18</f>
        <v>21634.976450395425</v>
      </c>
      <c r="H13" s="679">
        <f>industrie!G18</f>
        <v>0</v>
      </c>
      <c r="I13" s="679">
        <f>industrie!H18</f>
        <v>0</v>
      </c>
      <c r="J13" s="679">
        <f>industrie!I18</f>
        <v>0</v>
      </c>
      <c r="K13" s="679">
        <f>industrie!J18</f>
        <v>628.76385838282135</v>
      </c>
      <c r="L13" s="679">
        <f>industrie!K18</f>
        <v>0</v>
      </c>
      <c r="M13" s="679">
        <f>industrie!L18</f>
        <v>0</v>
      </c>
      <c r="N13" s="679">
        <f>industrie!M18</f>
        <v>0</v>
      </c>
      <c r="O13" s="679">
        <f>industrie!N18</f>
        <v>2189.8126840169507</v>
      </c>
      <c r="P13" s="679">
        <f>industrie!O18</f>
        <v>0</v>
      </c>
      <c r="Q13" s="680">
        <f>industrie!P18</f>
        <v>0</v>
      </c>
      <c r="R13" s="682">
        <f>SUM(C13:Q13)</f>
        <v>219081.14489494485</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124427.85645103009</v>
      </c>
      <c r="D16" s="715">
        <f t="shared" ref="D16:R16" ca="1" si="0">SUM(D9:D15)</f>
        <v>0</v>
      </c>
      <c r="E16" s="715">
        <f t="shared" ca="1" si="0"/>
        <v>201085.58539119601</v>
      </c>
      <c r="F16" s="715">
        <f t="shared" si="0"/>
        <v>8304.9658160449071</v>
      </c>
      <c r="G16" s="715">
        <f t="shared" ca="1" si="0"/>
        <v>54092.909235837869</v>
      </c>
      <c r="H16" s="715">
        <f t="shared" si="0"/>
        <v>0</v>
      </c>
      <c r="I16" s="715">
        <f t="shared" si="0"/>
        <v>0</v>
      </c>
      <c r="J16" s="715">
        <f t="shared" si="0"/>
        <v>0</v>
      </c>
      <c r="K16" s="715">
        <f t="shared" si="0"/>
        <v>747.05551189035384</v>
      </c>
      <c r="L16" s="715">
        <f t="shared" si="0"/>
        <v>0</v>
      </c>
      <c r="M16" s="715">
        <f t="shared" ca="1" si="0"/>
        <v>0</v>
      </c>
      <c r="N16" s="715">
        <f t="shared" si="0"/>
        <v>0</v>
      </c>
      <c r="O16" s="715">
        <f t="shared" ca="1" si="0"/>
        <v>13026.573573142792</v>
      </c>
      <c r="P16" s="715">
        <f t="shared" si="0"/>
        <v>470.19809799472654</v>
      </c>
      <c r="Q16" s="715">
        <f t="shared" si="0"/>
        <v>1284.7510608417826</v>
      </c>
      <c r="R16" s="715">
        <f t="shared" ca="1" si="0"/>
        <v>403439.89513797848</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26.133591443966782</v>
      </c>
      <c r="D19" s="679">
        <f>transport!C54</f>
        <v>0</v>
      </c>
      <c r="E19" s="679">
        <f>transport!D54</f>
        <v>0</v>
      </c>
      <c r="F19" s="679">
        <f>transport!E54</f>
        <v>0</v>
      </c>
      <c r="G19" s="679">
        <f>transport!F54</f>
        <v>0</v>
      </c>
      <c r="H19" s="679">
        <f>transport!G54</f>
        <v>1893.4180606300104</v>
      </c>
      <c r="I19" s="679">
        <f>transport!H54</f>
        <v>0</v>
      </c>
      <c r="J19" s="679">
        <f>transport!I54</f>
        <v>0</v>
      </c>
      <c r="K19" s="679">
        <f>transport!J54</f>
        <v>0</v>
      </c>
      <c r="L19" s="679">
        <f>transport!K54</f>
        <v>0</v>
      </c>
      <c r="M19" s="679">
        <f>transport!L54</f>
        <v>0</v>
      </c>
      <c r="N19" s="679">
        <f>transport!M54</f>
        <v>107.09736411020091</v>
      </c>
      <c r="O19" s="679">
        <f>transport!N54</f>
        <v>0</v>
      </c>
      <c r="P19" s="679">
        <f>transport!O54</f>
        <v>0</v>
      </c>
      <c r="Q19" s="680">
        <f>transport!P54</f>
        <v>0</v>
      </c>
      <c r="R19" s="682">
        <f>SUM(C19:Q19)</f>
        <v>2026.649016184178</v>
      </c>
      <c r="S19" s="67"/>
    </row>
    <row r="20" spans="1:19" s="442" customFormat="1">
      <c r="A20" s="800" t="s">
        <v>295</v>
      </c>
      <c r="B20" s="805"/>
      <c r="C20" s="679">
        <f>transport!B14</f>
        <v>105.06157609477026</v>
      </c>
      <c r="D20" s="679">
        <f>transport!C14</f>
        <v>0</v>
      </c>
      <c r="E20" s="679">
        <f>transport!D14</f>
        <v>188.64669158732295</v>
      </c>
      <c r="F20" s="679">
        <f>transport!E14</f>
        <v>163.19290700453521</v>
      </c>
      <c r="G20" s="679">
        <f>transport!F14</f>
        <v>0</v>
      </c>
      <c r="H20" s="679">
        <f>transport!G14</f>
        <v>76257.609953020728</v>
      </c>
      <c r="I20" s="679">
        <f>transport!H14</f>
        <v>16753.556499580493</v>
      </c>
      <c r="J20" s="679">
        <f>transport!I14</f>
        <v>0</v>
      </c>
      <c r="K20" s="679">
        <f>transport!J14</f>
        <v>0</v>
      </c>
      <c r="L20" s="679">
        <f>transport!K14</f>
        <v>0</v>
      </c>
      <c r="M20" s="679">
        <f>transport!L14</f>
        <v>0</v>
      </c>
      <c r="N20" s="679">
        <f>transport!M14</f>
        <v>5504.8822278774414</v>
      </c>
      <c r="O20" s="679">
        <f>transport!N14</f>
        <v>0</v>
      </c>
      <c r="P20" s="679">
        <f>transport!O14</f>
        <v>0</v>
      </c>
      <c r="Q20" s="680">
        <f>transport!P14</f>
        <v>0</v>
      </c>
      <c r="R20" s="682">
        <f>SUM(C20:Q20)</f>
        <v>98972.949855165294</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131.19516753873705</v>
      </c>
      <c r="D22" s="803">
        <f t="shared" ref="D22:R22" si="1">SUM(D18:D21)</f>
        <v>0</v>
      </c>
      <c r="E22" s="803">
        <f t="shared" si="1"/>
        <v>188.64669158732295</v>
      </c>
      <c r="F22" s="803">
        <f t="shared" si="1"/>
        <v>163.19290700453521</v>
      </c>
      <c r="G22" s="803">
        <f t="shared" si="1"/>
        <v>0</v>
      </c>
      <c r="H22" s="803">
        <f t="shared" si="1"/>
        <v>78151.028013650735</v>
      </c>
      <c r="I22" s="803">
        <f t="shared" si="1"/>
        <v>16753.556499580493</v>
      </c>
      <c r="J22" s="803">
        <f t="shared" si="1"/>
        <v>0</v>
      </c>
      <c r="K22" s="803">
        <f t="shared" si="1"/>
        <v>0</v>
      </c>
      <c r="L22" s="803">
        <f t="shared" si="1"/>
        <v>0</v>
      </c>
      <c r="M22" s="803">
        <f t="shared" si="1"/>
        <v>0</v>
      </c>
      <c r="N22" s="803">
        <f t="shared" si="1"/>
        <v>5611.9795919876424</v>
      </c>
      <c r="O22" s="803">
        <f t="shared" si="1"/>
        <v>0</v>
      </c>
      <c r="P22" s="803">
        <f t="shared" si="1"/>
        <v>0</v>
      </c>
      <c r="Q22" s="803">
        <f t="shared" si="1"/>
        <v>0</v>
      </c>
      <c r="R22" s="803">
        <f t="shared" si="1"/>
        <v>100999.59887134947</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758.64700000000005</v>
      </c>
      <c r="D24" s="679">
        <f>+landbouw!C8</f>
        <v>62.357142857142847</v>
      </c>
      <c r="E24" s="679">
        <f>+landbouw!D8</f>
        <v>611.71655599999997</v>
      </c>
      <c r="F24" s="679">
        <f>+landbouw!E8</f>
        <v>23.677122699082457</v>
      </c>
      <c r="G24" s="679">
        <f>+landbouw!F8</f>
        <v>2681.1425386475803</v>
      </c>
      <c r="H24" s="679">
        <f>+landbouw!G8</f>
        <v>0</v>
      </c>
      <c r="I24" s="679">
        <f>+landbouw!H8</f>
        <v>0</v>
      </c>
      <c r="J24" s="679">
        <f>+landbouw!I8</f>
        <v>0</v>
      </c>
      <c r="K24" s="679">
        <f>+landbouw!J8</f>
        <v>209.01250967083644</v>
      </c>
      <c r="L24" s="679">
        <f>+landbouw!K8</f>
        <v>0</v>
      </c>
      <c r="M24" s="679">
        <f>+landbouw!L8</f>
        <v>0</v>
      </c>
      <c r="N24" s="679">
        <f>+landbouw!M8</f>
        <v>0</v>
      </c>
      <c r="O24" s="679">
        <f>+landbouw!N8</f>
        <v>0</v>
      </c>
      <c r="P24" s="679">
        <f>+landbouw!O8</f>
        <v>0</v>
      </c>
      <c r="Q24" s="680">
        <f>+landbouw!P8</f>
        <v>0</v>
      </c>
      <c r="R24" s="682">
        <f>SUM(C24:Q24)</f>
        <v>4346.5528698746421</v>
      </c>
      <c r="S24" s="67"/>
    </row>
    <row r="25" spans="1:19" s="442" customFormat="1" ht="15" thickBot="1">
      <c r="A25" s="822" t="s">
        <v>708</v>
      </c>
      <c r="B25" s="941"/>
      <c r="C25" s="942">
        <f>IF(Onbekend_ele_kWh="---",0,Onbekend_ele_kWh)/1000+IF(REST_rest_ele_kWh="---",0,REST_rest_ele_kWh)/1000</f>
        <v>306.54644999999999</v>
      </c>
      <c r="D25" s="942"/>
      <c r="E25" s="942">
        <f>IF(onbekend_gas_kWh="---",0,onbekend_gas_kWh)/1000+IF(REST_rest_gas_kWh="---",0,REST_rest_gas_kWh)/1000</f>
        <v>867.79079999999999</v>
      </c>
      <c r="F25" s="942"/>
      <c r="G25" s="942"/>
      <c r="H25" s="942"/>
      <c r="I25" s="942"/>
      <c r="J25" s="942"/>
      <c r="K25" s="942"/>
      <c r="L25" s="942"/>
      <c r="M25" s="942"/>
      <c r="N25" s="942"/>
      <c r="O25" s="942"/>
      <c r="P25" s="942"/>
      <c r="Q25" s="943"/>
      <c r="R25" s="682">
        <f>SUM(C25:Q25)</f>
        <v>1174.33725</v>
      </c>
      <c r="S25" s="67"/>
    </row>
    <row r="26" spans="1:19" s="442" customFormat="1" ht="15.75" thickBot="1">
      <c r="A26" s="687" t="s">
        <v>709</v>
      </c>
      <c r="B26" s="808"/>
      <c r="C26" s="803">
        <f>SUM(C24:C25)</f>
        <v>1065.19345</v>
      </c>
      <c r="D26" s="803">
        <f t="shared" ref="D26:R26" si="2">SUM(D24:D25)</f>
        <v>62.357142857142847</v>
      </c>
      <c r="E26" s="803">
        <f t="shared" si="2"/>
        <v>1479.5073560000001</v>
      </c>
      <c r="F26" s="803">
        <f t="shared" si="2"/>
        <v>23.677122699082457</v>
      </c>
      <c r="G26" s="803">
        <f t="shared" si="2"/>
        <v>2681.1425386475803</v>
      </c>
      <c r="H26" s="803">
        <f t="shared" si="2"/>
        <v>0</v>
      </c>
      <c r="I26" s="803">
        <f t="shared" si="2"/>
        <v>0</v>
      </c>
      <c r="J26" s="803">
        <f t="shared" si="2"/>
        <v>0</v>
      </c>
      <c r="K26" s="803">
        <f t="shared" si="2"/>
        <v>209.01250967083644</v>
      </c>
      <c r="L26" s="803">
        <f t="shared" si="2"/>
        <v>0</v>
      </c>
      <c r="M26" s="803">
        <f t="shared" si="2"/>
        <v>0</v>
      </c>
      <c r="N26" s="803">
        <f t="shared" si="2"/>
        <v>0</v>
      </c>
      <c r="O26" s="803">
        <f t="shared" si="2"/>
        <v>0</v>
      </c>
      <c r="P26" s="803">
        <f t="shared" si="2"/>
        <v>0</v>
      </c>
      <c r="Q26" s="803">
        <f t="shared" si="2"/>
        <v>0</v>
      </c>
      <c r="R26" s="803">
        <f t="shared" si="2"/>
        <v>5520.8901198746426</v>
      </c>
      <c r="S26" s="67"/>
    </row>
    <row r="27" spans="1:19" s="442" customFormat="1" ht="17.25" thickTop="1" thickBot="1">
      <c r="A27" s="688" t="s">
        <v>109</v>
      </c>
      <c r="B27" s="795"/>
      <c r="C27" s="689">
        <f ca="1">C22+C16+C26</f>
        <v>125624.24506856884</v>
      </c>
      <c r="D27" s="689">
        <f t="shared" ref="D27:R27" ca="1" si="3">D22+D16+D26</f>
        <v>62.357142857142847</v>
      </c>
      <c r="E27" s="689">
        <f t="shared" ca="1" si="3"/>
        <v>202753.73943878332</v>
      </c>
      <c r="F27" s="689">
        <f t="shared" si="3"/>
        <v>8491.8358457485247</v>
      </c>
      <c r="G27" s="689">
        <f t="shared" ca="1" si="3"/>
        <v>56774.051774485451</v>
      </c>
      <c r="H27" s="689">
        <f t="shared" si="3"/>
        <v>78151.028013650735</v>
      </c>
      <c r="I27" s="689">
        <f t="shared" si="3"/>
        <v>16753.556499580493</v>
      </c>
      <c r="J27" s="689">
        <f t="shared" si="3"/>
        <v>0</v>
      </c>
      <c r="K27" s="689">
        <f t="shared" si="3"/>
        <v>956.06802156119033</v>
      </c>
      <c r="L27" s="689">
        <f t="shared" si="3"/>
        <v>0</v>
      </c>
      <c r="M27" s="689">
        <f t="shared" ca="1" si="3"/>
        <v>0</v>
      </c>
      <c r="N27" s="689">
        <f t="shared" si="3"/>
        <v>5611.9795919876424</v>
      </c>
      <c r="O27" s="689">
        <f t="shared" ca="1" si="3"/>
        <v>13026.573573142792</v>
      </c>
      <c r="P27" s="689">
        <f t="shared" si="3"/>
        <v>470.19809799472654</v>
      </c>
      <c r="Q27" s="689">
        <f t="shared" si="3"/>
        <v>1284.7510608417826</v>
      </c>
      <c r="R27" s="689">
        <f t="shared" ca="1" si="3"/>
        <v>509960.38412920258</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5209.2556742941815</v>
      </c>
      <c r="D40" s="679">
        <f ca="1">tertiair!C20</f>
        <v>0</v>
      </c>
      <c r="E40" s="679">
        <f ca="1">tertiair!D20</f>
        <v>5915.8622902908764</v>
      </c>
      <c r="F40" s="679">
        <f>tertiair!E20</f>
        <v>64.917861664105715</v>
      </c>
      <c r="G40" s="679">
        <f ca="1">tertiair!F20</f>
        <v>764.16743425404411</v>
      </c>
      <c r="H40" s="679">
        <f>tertiair!G20</f>
        <v>0</v>
      </c>
      <c r="I40" s="679">
        <f>tertiair!H20</f>
        <v>0</v>
      </c>
      <c r="J40" s="679">
        <f>tertiair!I20</f>
        <v>0</v>
      </c>
      <c r="K40" s="679">
        <f>tertiair!J20</f>
        <v>2.032238536411167E-2</v>
      </c>
      <c r="L40" s="679">
        <f>tertiair!K20</f>
        <v>0</v>
      </c>
      <c r="M40" s="679">
        <f ca="1">tertiair!L20</f>
        <v>0</v>
      </c>
      <c r="N40" s="679">
        <f>tertiair!M20</f>
        <v>0</v>
      </c>
      <c r="O40" s="679">
        <f ca="1">tertiair!N20</f>
        <v>0</v>
      </c>
      <c r="P40" s="679">
        <f>tertiair!O20</f>
        <v>0</v>
      </c>
      <c r="Q40" s="762">
        <f>tertiair!P20</f>
        <v>0</v>
      </c>
      <c r="R40" s="841">
        <f t="shared" ca="1" si="4"/>
        <v>11954.223582888571</v>
      </c>
    </row>
    <row r="41" spans="1:18">
      <c r="A41" s="813" t="s">
        <v>213</v>
      </c>
      <c r="B41" s="820"/>
      <c r="C41" s="679">
        <f ca="1">huishoudens!B12</f>
        <v>4819.9752482942285</v>
      </c>
      <c r="D41" s="679">
        <f ca="1">huishoudens!C12</f>
        <v>0</v>
      </c>
      <c r="E41" s="679">
        <f>huishoudens!D12</f>
        <v>10927.950671864601</v>
      </c>
      <c r="F41" s="679">
        <f>huishoudens!E12</f>
        <v>416.73138327768095</v>
      </c>
      <c r="G41" s="679">
        <f>huishoudens!F12</f>
        <v>7902.1006194590882</v>
      </c>
      <c r="H41" s="679">
        <f>huishoudens!G12</f>
        <v>0</v>
      </c>
      <c r="I41" s="679">
        <f>huishoudens!H12</f>
        <v>0</v>
      </c>
      <c r="J41" s="679">
        <f>huishoudens!I12</f>
        <v>0</v>
      </c>
      <c r="K41" s="679">
        <f>huishoudens!J12</f>
        <v>41.854922956302381</v>
      </c>
      <c r="L41" s="679">
        <f>huishoudens!K12</f>
        <v>0</v>
      </c>
      <c r="M41" s="679">
        <f>huishoudens!L12</f>
        <v>0</v>
      </c>
      <c r="N41" s="679">
        <f>huishoudens!M12</f>
        <v>0</v>
      </c>
      <c r="O41" s="679">
        <f>huishoudens!N12</f>
        <v>0</v>
      </c>
      <c r="P41" s="679">
        <f>huishoudens!O12</f>
        <v>0</v>
      </c>
      <c r="Q41" s="762">
        <f>huishoudens!P12</f>
        <v>0</v>
      </c>
      <c r="R41" s="841">
        <f t="shared" ca="1" si="4"/>
        <v>24108.612845851902</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13216.43537114665</v>
      </c>
      <c r="D43" s="679">
        <f ca="1">industrie!C22</f>
        <v>0</v>
      </c>
      <c r="E43" s="679">
        <f>industrie!D22</f>
        <v>23775.47528686612</v>
      </c>
      <c r="F43" s="679">
        <f>industrie!E22</f>
        <v>1403.5779953004076</v>
      </c>
      <c r="G43" s="679">
        <f>industrie!F22</f>
        <v>5776.5387122555785</v>
      </c>
      <c r="H43" s="679">
        <f>industrie!G22</f>
        <v>0</v>
      </c>
      <c r="I43" s="679">
        <f>industrie!H22</f>
        <v>0</v>
      </c>
      <c r="J43" s="679">
        <f>industrie!I22</f>
        <v>0</v>
      </c>
      <c r="K43" s="679">
        <f>industrie!J22</f>
        <v>222.58240586751876</v>
      </c>
      <c r="L43" s="679">
        <f>industrie!K22</f>
        <v>0</v>
      </c>
      <c r="M43" s="679">
        <f>industrie!L22</f>
        <v>0</v>
      </c>
      <c r="N43" s="679">
        <f>industrie!M22</f>
        <v>0</v>
      </c>
      <c r="O43" s="679">
        <f>industrie!N22</f>
        <v>0</v>
      </c>
      <c r="P43" s="679">
        <f>industrie!O22</f>
        <v>0</v>
      </c>
      <c r="Q43" s="762">
        <f>industrie!P22</f>
        <v>0</v>
      </c>
      <c r="R43" s="840">
        <f t="shared" ca="1" si="4"/>
        <v>44394.609771436277</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23245.666293735059</v>
      </c>
      <c r="D46" s="715">
        <f t="shared" ref="D46:Q46" ca="1" si="5">SUM(D39:D45)</f>
        <v>0</v>
      </c>
      <c r="E46" s="715">
        <f t="shared" ca="1" si="5"/>
        <v>40619.2882490216</v>
      </c>
      <c r="F46" s="715">
        <f t="shared" si="5"/>
        <v>1885.2272402421943</v>
      </c>
      <c r="G46" s="715">
        <f t="shared" ca="1" si="5"/>
        <v>14442.806765968711</v>
      </c>
      <c r="H46" s="715">
        <f t="shared" si="5"/>
        <v>0</v>
      </c>
      <c r="I46" s="715">
        <f t="shared" si="5"/>
        <v>0</v>
      </c>
      <c r="J46" s="715">
        <f t="shared" si="5"/>
        <v>0</v>
      </c>
      <c r="K46" s="715">
        <f t="shared" si="5"/>
        <v>264.45765120918526</v>
      </c>
      <c r="L46" s="715">
        <f t="shared" si="5"/>
        <v>0</v>
      </c>
      <c r="M46" s="715">
        <f t="shared" ca="1" si="5"/>
        <v>0</v>
      </c>
      <c r="N46" s="715">
        <f t="shared" si="5"/>
        <v>0</v>
      </c>
      <c r="O46" s="715">
        <f t="shared" ca="1" si="5"/>
        <v>0</v>
      </c>
      <c r="P46" s="715">
        <f t="shared" si="5"/>
        <v>0</v>
      </c>
      <c r="Q46" s="715">
        <f t="shared" si="5"/>
        <v>0</v>
      </c>
      <c r="R46" s="715">
        <f ca="1">SUM(R39:R45)</f>
        <v>80457.446200176753</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4.8822889270164902</v>
      </c>
      <c r="D49" s="679">
        <f ca="1">transport!C58</f>
        <v>0</v>
      </c>
      <c r="E49" s="679">
        <f>transport!D58</f>
        <v>0</v>
      </c>
      <c r="F49" s="679">
        <f>transport!E58</f>
        <v>0</v>
      </c>
      <c r="G49" s="679">
        <f>transport!F58</f>
        <v>0</v>
      </c>
      <c r="H49" s="679">
        <f>transport!G58</f>
        <v>505.54262218821282</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510.42491111522929</v>
      </c>
    </row>
    <row r="50" spans="1:18">
      <c r="A50" s="816" t="s">
        <v>295</v>
      </c>
      <c r="B50" s="826"/>
      <c r="C50" s="685">
        <f ca="1">transport!B18</f>
        <v>19.627649369287706</v>
      </c>
      <c r="D50" s="685">
        <f>transport!C18</f>
        <v>0</v>
      </c>
      <c r="E50" s="685">
        <f>transport!D18</f>
        <v>38.106631700639241</v>
      </c>
      <c r="F50" s="685">
        <f>transport!E18</f>
        <v>37.044789890029492</v>
      </c>
      <c r="G50" s="685">
        <f>transport!F18</f>
        <v>0</v>
      </c>
      <c r="H50" s="685">
        <f>transport!G18</f>
        <v>20360.781857456535</v>
      </c>
      <c r="I50" s="685">
        <f>transport!H18</f>
        <v>4171.6355683955426</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24627.196496812037</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24.509938296304195</v>
      </c>
      <c r="D52" s="715">
        <f t="shared" ref="D52:Q52" ca="1" si="6">SUM(D48:D51)</f>
        <v>0</v>
      </c>
      <c r="E52" s="715">
        <f t="shared" si="6"/>
        <v>38.106631700639241</v>
      </c>
      <c r="F52" s="715">
        <f t="shared" si="6"/>
        <v>37.044789890029492</v>
      </c>
      <c r="G52" s="715">
        <f t="shared" si="6"/>
        <v>0</v>
      </c>
      <c r="H52" s="715">
        <f t="shared" si="6"/>
        <v>20866.324479644747</v>
      </c>
      <c r="I52" s="715">
        <f t="shared" si="6"/>
        <v>4171.6355683955426</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25137.621407927265</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141.73076270653081</v>
      </c>
      <c r="D54" s="685">
        <f ca="1">+landbouw!C12</f>
        <v>0</v>
      </c>
      <c r="E54" s="685">
        <f>+landbouw!D12</f>
        <v>123.566744312</v>
      </c>
      <c r="F54" s="685">
        <f>+landbouw!E12</f>
        <v>5.3747068526917179</v>
      </c>
      <c r="G54" s="685">
        <f>+landbouw!F12</f>
        <v>715.86505781890401</v>
      </c>
      <c r="H54" s="685">
        <f>+landbouw!G12</f>
        <v>0</v>
      </c>
      <c r="I54" s="685">
        <f>+landbouw!H12</f>
        <v>0</v>
      </c>
      <c r="J54" s="685">
        <f>+landbouw!I12</f>
        <v>0</v>
      </c>
      <c r="K54" s="685">
        <f>+landbouw!J12</f>
        <v>73.990428423476089</v>
      </c>
      <c r="L54" s="685">
        <f>+landbouw!K12</f>
        <v>0</v>
      </c>
      <c r="M54" s="685">
        <f>+landbouw!L12</f>
        <v>0</v>
      </c>
      <c r="N54" s="685">
        <f>+landbouw!M12</f>
        <v>0</v>
      </c>
      <c r="O54" s="685">
        <f>+landbouw!N12</f>
        <v>0</v>
      </c>
      <c r="P54" s="685">
        <f>+landbouw!O12</f>
        <v>0</v>
      </c>
      <c r="Q54" s="686">
        <f>+landbouw!P12</f>
        <v>0</v>
      </c>
      <c r="R54" s="714">
        <f ca="1">SUM(C54:Q54)</f>
        <v>1060.5277001136026</v>
      </c>
    </row>
    <row r="55" spans="1:18" ht="15" thickBot="1">
      <c r="A55" s="816" t="s">
        <v>708</v>
      </c>
      <c r="B55" s="826"/>
      <c r="C55" s="685">
        <f ca="1">C25*'EF ele_warmte'!B12</f>
        <v>57.269141199371255</v>
      </c>
      <c r="D55" s="685"/>
      <c r="E55" s="685">
        <f>E25*EF_CO2_aardgas</f>
        <v>175.2937416</v>
      </c>
      <c r="F55" s="685"/>
      <c r="G55" s="685"/>
      <c r="H55" s="685"/>
      <c r="I55" s="685"/>
      <c r="J55" s="685"/>
      <c r="K55" s="685"/>
      <c r="L55" s="685"/>
      <c r="M55" s="685"/>
      <c r="N55" s="685"/>
      <c r="O55" s="685"/>
      <c r="P55" s="685"/>
      <c r="Q55" s="686"/>
      <c r="R55" s="714">
        <f ca="1">SUM(C55:Q55)</f>
        <v>232.56288279937127</v>
      </c>
    </row>
    <row r="56" spans="1:18" ht="15.75" thickBot="1">
      <c r="A56" s="814" t="s">
        <v>709</v>
      </c>
      <c r="B56" s="827"/>
      <c r="C56" s="715">
        <f ca="1">SUM(C54:C55)</f>
        <v>198.99990390590207</v>
      </c>
      <c r="D56" s="715">
        <f t="shared" ref="D56:Q56" ca="1" si="7">SUM(D54:D55)</f>
        <v>0</v>
      </c>
      <c r="E56" s="715">
        <f t="shared" si="7"/>
        <v>298.860485912</v>
      </c>
      <c r="F56" s="715">
        <f t="shared" si="7"/>
        <v>5.3747068526917179</v>
      </c>
      <c r="G56" s="715">
        <f t="shared" si="7"/>
        <v>715.86505781890401</v>
      </c>
      <c r="H56" s="715">
        <f t="shared" si="7"/>
        <v>0</v>
      </c>
      <c r="I56" s="715">
        <f t="shared" si="7"/>
        <v>0</v>
      </c>
      <c r="J56" s="715">
        <f t="shared" si="7"/>
        <v>0</v>
      </c>
      <c r="K56" s="715">
        <f t="shared" si="7"/>
        <v>73.990428423476089</v>
      </c>
      <c r="L56" s="715">
        <f t="shared" si="7"/>
        <v>0</v>
      </c>
      <c r="M56" s="715">
        <f t="shared" si="7"/>
        <v>0</v>
      </c>
      <c r="N56" s="715">
        <f t="shared" si="7"/>
        <v>0</v>
      </c>
      <c r="O56" s="715">
        <f t="shared" si="7"/>
        <v>0</v>
      </c>
      <c r="P56" s="715">
        <f t="shared" si="7"/>
        <v>0</v>
      </c>
      <c r="Q56" s="716">
        <f t="shared" si="7"/>
        <v>0</v>
      </c>
      <c r="R56" s="717">
        <f ca="1">SUM(R54:R55)</f>
        <v>1293.0905829129738</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23469.176135937265</v>
      </c>
      <c r="D61" s="723">
        <f t="shared" ref="D61:Q61" ca="1" si="8">D46+D52+D56</f>
        <v>0</v>
      </c>
      <c r="E61" s="723">
        <f t="shared" ca="1" si="8"/>
        <v>40956.255366634243</v>
      </c>
      <c r="F61" s="723">
        <f t="shared" si="8"/>
        <v>1927.6467369849156</v>
      </c>
      <c r="G61" s="723">
        <f t="shared" ca="1" si="8"/>
        <v>15158.671823787616</v>
      </c>
      <c r="H61" s="723">
        <f t="shared" si="8"/>
        <v>20866.324479644747</v>
      </c>
      <c r="I61" s="723">
        <f t="shared" si="8"/>
        <v>4171.6355683955426</v>
      </c>
      <c r="J61" s="723">
        <f t="shared" si="8"/>
        <v>0</v>
      </c>
      <c r="K61" s="723">
        <f t="shared" si="8"/>
        <v>338.44807963266135</v>
      </c>
      <c r="L61" s="723">
        <f t="shared" si="8"/>
        <v>0</v>
      </c>
      <c r="M61" s="723">
        <f t="shared" ca="1" si="8"/>
        <v>0</v>
      </c>
      <c r="N61" s="723">
        <f t="shared" si="8"/>
        <v>0</v>
      </c>
      <c r="O61" s="723">
        <f t="shared" ca="1" si="8"/>
        <v>0</v>
      </c>
      <c r="P61" s="723">
        <f t="shared" si="8"/>
        <v>0</v>
      </c>
      <c r="Q61" s="723">
        <f t="shared" si="8"/>
        <v>0</v>
      </c>
      <c r="R61" s="723">
        <f ca="1">R46+R52+R56</f>
        <v>106888.15819101699</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0.18682043520442415</v>
      </c>
      <c r="D63" s="769">
        <f t="shared" ca="1" si="9"/>
        <v>0</v>
      </c>
      <c r="E63" s="967">
        <f t="shared" ca="1" si="9"/>
        <v>0.20200000000000007</v>
      </c>
      <c r="F63" s="769">
        <f t="shared" si="9"/>
        <v>0.22700000000000006</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19385.227937630967</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43.649999999999991</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51.35294117647058</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19428.877937630969</v>
      </c>
      <c r="C78" s="741">
        <f>SUM(C72:C77)</f>
        <v>0</v>
      </c>
      <c r="D78" s="742">
        <f t="shared" ref="D78:H78" si="10">SUM(D76:D77)</f>
        <v>0</v>
      </c>
      <c r="E78" s="742">
        <f t="shared" si="10"/>
        <v>0</v>
      </c>
      <c r="F78" s="742">
        <f t="shared" si="10"/>
        <v>0</v>
      </c>
      <c r="G78" s="742">
        <f t="shared" si="10"/>
        <v>0</v>
      </c>
      <c r="H78" s="742">
        <f t="shared" si="10"/>
        <v>0</v>
      </c>
      <c r="I78" s="742">
        <f>SUM(I76:I77)</f>
        <v>0</v>
      </c>
      <c r="J78" s="742">
        <f>SUM(J76:J77)</f>
        <v>51.35294117647058</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62.357142857142847</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73.361344537815114</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62.357142857142847</v>
      </c>
      <c r="C90" s="741">
        <f>SUM(C87:C89)</f>
        <v>0</v>
      </c>
      <c r="D90" s="741">
        <f t="shared" ref="D90:H90" si="12">SUM(D87:D89)</f>
        <v>0</v>
      </c>
      <c r="E90" s="741">
        <f t="shared" si="12"/>
        <v>0</v>
      </c>
      <c r="F90" s="741">
        <f t="shared" si="12"/>
        <v>0</v>
      </c>
      <c r="G90" s="741">
        <f t="shared" si="12"/>
        <v>0</v>
      </c>
      <c r="H90" s="741">
        <f t="shared" si="12"/>
        <v>0</v>
      </c>
      <c r="I90" s="741">
        <f>SUM(I87:I89)</f>
        <v>0</v>
      </c>
      <c r="J90" s="741">
        <f>SUM(J87:J89)</f>
        <v>73.361344537815114</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25800.042929030093</v>
      </c>
      <c r="C4" s="446">
        <f>huishoudens!C8</f>
        <v>0</v>
      </c>
      <c r="D4" s="446">
        <f>huishoudens!D8</f>
        <v>54098.765702299999</v>
      </c>
      <c r="E4" s="446">
        <f>huishoudens!E8</f>
        <v>1835.8210717078455</v>
      </c>
      <c r="F4" s="446">
        <f>huishoudens!F8</f>
        <v>29595.882469884225</v>
      </c>
      <c r="G4" s="446">
        <f>huishoudens!G8</f>
        <v>0</v>
      </c>
      <c r="H4" s="446">
        <f>huishoudens!H8</f>
        <v>0</v>
      </c>
      <c r="I4" s="446">
        <f>huishoudens!I8</f>
        <v>0</v>
      </c>
      <c r="J4" s="446">
        <f>huishoudens!J8</f>
        <v>118.23424563927227</v>
      </c>
      <c r="K4" s="446">
        <f>huishoudens!K8</f>
        <v>0</v>
      </c>
      <c r="L4" s="446">
        <f>huishoudens!L8</f>
        <v>0</v>
      </c>
      <c r="M4" s="446">
        <f>huishoudens!M8</f>
        <v>0</v>
      </c>
      <c r="N4" s="446">
        <f>huishoudens!N8</f>
        <v>8527.3715908719641</v>
      </c>
      <c r="O4" s="446">
        <f>huishoudens!O8</f>
        <v>470.19809799472654</v>
      </c>
      <c r="P4" s="447">
        <f>huishoudens!P8</f>
        <v>1127.1336459222975</v>
      </c>
      <c r="Q4" s="448">
        <f>SUM(B4:P4)</f>
        <v>121573.4497533504</v>
      </c>
    </row>
    <row r="5" spans="1:17">
      <c r="A5" s="445" t="s">
        <v>149</v>
      </c>
      <c r="B5" s="446">
        <f ca="1">tertiair!B16</f>
        <v>26783.096302000005</v>
      </c>
      <c r="C5" s="446">
        <f ca="1">tertiair!C16</f>
        <v>0</v>
      </c>
      <c r="D5" s="446">
        <f ca="1">tertiair!D16</f>
        <v>29286.446981638001</v>
      </c>
      <c r="E5" s="446">
        <f>tertiair!E16</f>
        <v>285.98176944539961</v>
      </c>
      <c r="F5" s="446">
        <f ca="1">tertiair!F16</f>
        <v>2862.0503155582173</v>
      </c>
      <c r="G5" s="446">
        <f>tertiair!G16</f>
        <v>0</v>
      </c>
      <c r="H5" s="446">
        <f>tertiair!H16</f>
        <v>0</v>
      </c>
      <c r="I5" s="446">
        <f>tertiair!I16</f>
        <v>0</v>
      </c>
      <c r="J5" s="446">
        <f>tertiair!J16</f>
        <v>5.7407868260202465E-2</v>
      </c>
      <c r="K5" s="446">
        <f>tertiair!K16</f>
        <v>0</v>
      </c>
      <c r="L5" s="446">
        <f ca="1">tertiair!L16</f>
        <v>0</v>
      </c>
      <c r="M5" s="446">
        <f>tertiair!M16</f>
        <v>0</v>
      </c>
      <c r="N5" s="446">
        <f ca="1">tertiair!N16</f>
        <v>2309.3892982538769</v>
      </c>
      <c r="O5" s="446">
        <f>tertiair!O16</f>
        <v>0</v>
      </c>
      <c r="P5" s="447">
        <f>tertiair!P16</f>
        <v>157.61741491948504</v>
      </c>
      <c r="Q5" s="445">
        <f t="shared" ref="Q5:Q14" ca="1" si="0">SUM(B5:P5)</f>
        <v>61684.63948968325</v>
      </c>
    </row>
    <row r="6" spans="1:17">
      <c r="A6" s="445" t="s">
        <v>187</v>
      </c>
      <c r="B6" s="446">
        <f>'openbare verlichting'!B8</f>
        <v>1100.6610000000001</v>
      </c>
      <c r="C6" s="446"/>
      <c r="D6" s="446"/>
      <c r="E6" s="446"/>
      <c r="F6" s="446"/>
      <c r="G6" s="446"/>
      <c r="H6" s="446"/>
      <c r="I6" s="446"/>
      <c r="J6" s="446"/>
      <c r="K6" s="446"/>
      <c r="L6" s="446"/>
      <c r="M6" s="446"/>
      <c r="N6" s="446"/>
      <c r="O6" s="446"/>
      <c r="P6" s="447"/>
      <c r="Q6" s="445">
        <f t="shared" si="0"/>
        <v>1100.6610000000001</v>
      </c>
    </row>
    <row r="7" spans="1:17">
      <c r="A7" s="445" t="s">
        <v>105</v>
      </c>
      <c r="B7" s="446">
        <f>landbouw!B8</f>
        <v>758.64700000000005</v>
      </c>
      <c r="C7" s="446">
        <f>landbouw!C8</f>
        <v>62.357142857142847</v>
      </c>
      <c r="D7" s="446">
        <f>landbouw!D8</f>
        <v>611.71655599999997</v>
      </c>
      <c r="E7" s="446">
        <f>landbouw!E8</f>
        <v>23.677122699082457</v>
      </c>
      <c r="F7" s="446">
        <f>landbouw!F8</f>
        <v>2681.1425386475803</v>
      </c>
      <c r="G7" s="446">
        <f>landbouw!G8</f>
        <v>0</v>
      </c>
      <c r="H7" s="446">
        <f>landbouw!H8</f>
        <v>0</v>
      </c>
      <c r="I7" s="446">
        <f>landbouw!I8</f>
        <v>0</v>
      </c>
      <c r="J7" s="446">
        <f>landbouw!J8</f>
        <v>209.01250967083644</v>
      </c>
      <c r="K7" s="446">
        <f>landbouw!K8</f>
        <v>0</v>
      </c>
      <c r="L7" s="446">
        <f>landbouw!L8</f>
        <v>0</v>
      </c>
      <c r="M7" s="446">
        <f>landbouw!M8</f>
        <v>0</v>
      </c>
      <c r="N7" s="446">
        <f>landbouw!N8</f>
        <v>0</v>
      </c>
      <c r="O7" s="446">
        <f>landbouw!O8</f>
        <v>0</v>
      </c>
      <c r="P7" s="447">
        <f>landbouw!P8</f>
        <v>0</v>
      </c>
      <c r="Q7" s="445">
        <f t="shared" si="0"/>
        <v>4346.5528698746421</v>
      </c>
    </row>
    <row r="8" spans="1:17">
      <c r="A8" s="445" t="s">
        <v>612</v>
      </c>
      <c r="B8" s="446">
        <f>industrie!B18</f>
        <v>70744.056219999999</v>
      </c>
      <c r="C8" s="446">
        <f>industrie!C18</f>
        <v>0</v>
      </c>
      <c r="D8" s="446">
        <f>industrie!D18</f>
        <v>117700.37270725801</v>
      </c>
      <c r="E8" s="446">
        <f>industrie!E18</f>
        <v>6183.162974891663</v>
      </c>
      <c r="F8" s="446">
        <f>industrie!F18</f>
        <v>21634.976450395425</v>
      </c>
      <c r="G8" s="446">
        <f>industrie!G18</f>
        <v>0</v>
      </c>
      <c r="H8" s="446">
        <f>industrie!H18</f>
        <v>0</v>
      </c>
      <c r="I8" s="446">
        <f>industrie!I18</f>
        <v>0</v>
      </c>
      <c r="J8" s="446">
        <f>industrie!J18</f>
        <v>628.76385838282135</v>
      </c>
      <c r="K8" s="446">
        <f>industrie!K18</f>
        <v>0</v>
      </c>
      <c r="L8" s="446">
        <f>industrie!L18</f>
        <v>0</v>
      </c>
      <c r="M8" s="446">
        <f>industrie!M18</f>
        <v>0</v>
      </c>
      <c r="N8" s="446">
        <f>industrie!N18</f>
        <v>2189.8126840169507</v>
      </c>
      <c r="O8" s="446">
        <f>industrie!O18</f>
        <v>0</v>
      </c>
      <c r="P8" s="447">
        <f>industrie!P18</f>
        <v>0</v>
      </c>
      <c r="Q8" s="445">
        <f t="shared" si="0"/>
        <v>219081.14489494485</v>
      </c>
    </row>
    <row r="9" spans="1:17" s="451" customFormat="1">
      <c r="A9" s="449" t="s">
        <v>538</v>
      </c>
      <c r="B9" s="450">
        <f>transport!B14</f>
        <v>105.06157609477026</v>
      </c>
      <c r="C9" s="450">
        <f>transport!C14</f>
        <v>0</v>
      </c>
      <c r="D9" s="450">
        <f>transport!D14</f>
        <v>188.64669158732295</v>
      </c>
      <c r="E9" s="450">
        <f>transport!E14</f>
        <v>163.19290700453521</v>
      </c>
      <c r="F9" s="450">
        <f>transport!F14</f>
        <v>0</v>
      </c>
      <c r="G9" s="450">
        <f>transport!G14</f>
        <v>76257.609953020728</v>
      </c>
      <c r="H9" s="450">
        <f>transport!H14</f>
        <v>16753.556499580493</v>
      </c>
      <c r="I9" s="450">
        <f>transport!I14</f>
        <v>0</v>
      </c>
      <c r="J9" s="450">
        <f>transport!J14</f>
        <v>0</v>
      </c>
      <c r="K9" s="450">
        <f>transport!K14</f>
        <v>0</v>
      </c>
      <c r="L9" s="450">
        <f>transport!L14</f>
        <v>0</v>
      </c>
      <c r="M9" s="450">
        <f>transport!M14</f>
        <v>5504.8822278774414</v>
      </c>
      <c r="N9" s="450">
        <f>transport!N14</f>
        <v>0</v>
      </c>
      <c r="O9" s="450">
        <f>transport!O14</f>
        <v>0</v>
      </c>
      <c r="P9" s="450">
        <f>transport!P14</f>
        <v>0</v>
      </c>
      <c r="Q9" s="449">
        <f>SUM(B9:P9)</f>
        <v>98972.949855165294</v>
      </c>
    </row>
    <row r="10" spans="1:17">
      <c r="A10" s="445" t="s">
        <v>528</v>
      </c>
      <c r="B10" s="446">
        <f>transport!B54</f>
        <v>26.133591443966782</v>
      </c>
      <c r="C10" s="446">
        <f>transport!C54</f>
        <v>0</v>
      </c>
      <c r="D10" s="446">
        <f>transport!D54</f>
        <v>0</v>
      </c>
      <c r="E10" s="446">
        <f>transport!E54</f>
        <v>0</v>
      </c>
      <c r="F10" s="446">
        <f>transport!F54</f>
        <v>0</v>
      </c>
      <c r="G10" s="446">
        <f>transport!G54</f>
        <v>1893.4180606300104</v>
      </c>
      <c r="H10" s="446">
        <f>transport!H54</f>
        <v>0</v>
      </c>
      <c r="I10" s="446">
        <f>transport!I54</f>
        <v>0</v>
      </c>
      <c r="J10" s="446">
        <f>transport!J54</f>
        <v>0</v>
      </c>
      <c r="K10" s="446">
        <f>transport!K54</f>
        <v>0</v>
      </c>
      <c r="L10" s="446">
        <f>transport!L54</f>
        <v>0</v>
      </c>
      <c r="M10" s="446">
        <f>transport!M54</f>
        <v>107.09736411020091</v>
      </c>
      <c r="N10" s="446">
        <f>transport!N54</f>
        <v>0</v>
      </c>
      <c r="O10" s="446">
        <f>transport!O54</f>
        <v>0</v>
      </c>
      <c r="P10" s="447">
        <f>transport!P54</f>
        <v>0</v>
      </c>
      <c r="Q10" s="445">
        <f t="shared" si="0"/>
        <v>2026.649016184178</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306.54644999999999</v>
      </c>
      <c r="C14" s="453"/>
      <c r="D14" s="453">
        <f>'SEAP template'!E25</f>
        <v>867.79079999999999</v>
      </c>
      <c r="E14" s="453"/>
      <c r="F14" s="453"/>
      <c r="G14" s="453"/>
      <c r="H14" s="453"/>
      <c r="I14" s="453"/>
      <c r="J14" s="453"/>
      <c r="K14" s="453"/>
      <c r="L14" s="453"/>
      <c r="M14" s="453"/>
      <c r="N14" s="453"/>
      <c r="O14" s="453"/>
      <c r="P14" s="454"/>
      <c r="Q14" s="445">
        <f t="shared" si="0"/>
        <v>1174.33725</v>
      </c>
    </row>
    <row r="15" spans="1:17" s="457" customFormat="1">
      <c r="A15" s="455" t="s">
        <v>532</v>
      </c>
      <c r="B15" s="456">
        <f ca="1">SUM(B4:B14)</f>
        <v>125624.24506856882</v>
      </c>
      <c r="C15" s="456">
        <f t="shared" ref="C15:Q15" ca="1" si="1">SUM(C4:C14)</f>
        <v>62.357142857142847</v>
      </c>
      <c r="D15" s="456">
        <f t="shared" ca="1" si="1"/>
        <v>202753.73943878332</v>
      </c>
      <c r="E15" s="456">
        <f t="shared" si="1"/>
        <v>8491.8358457485247</v>
      </c>
      <c r="F15" s="456">
        <f t="shared" ca="1" si="1"/>
        <v>56774.051774485444</v>
      </c>
      <c r="G15" s="456">
        <f t="shared" si="1"/>
        <v>78151.028013650735</v>
      </c>
      <c r="H15" s="456">
        <f t="shared" si="1"/>
        <v>16753.556499580493</v>
      </c>
      <c r="I15" s="456">
        <f t="shared" si="1"/>
        <v>0</v>
      </c>
      <c r="J15" s="456">
        <f t="shared" si="1"/>
        <v>956.06802156119033</v>
      </c>
      <c r="K15" s="456">
        <f t="shared" si="1"/>
        <v>0</v>
      </c>
      <c r="L15" s="456">
        <f t="shared" ca="1" si="1"/>
        <v>0</v>
      </c>
      <c r="M15" s="456">
        <f t="shared" si="1"/>
        <v>5611.9795919876424</v>
      </c>
      <c r="N15" s="456">
        <f t="shared" ca="1" si="1"/>
        <v>13026.573573142792</v>
      </c>
      <c r="O15" s="456">
        <f t="shared" si="1"/>
        <v>470.19809799472654</v>
      </c>
      <c r="P15" s="456">
        <f t="shared" si="1"/>
        <v>1284.7510608417826</v>
      </c>
      <c r="Q15" s="456">
        <f t="shared" ca="1" si="1"/>
        <v>509960.38412920258</v>
      </c>
    </row>
    <row r="17" spans="1:17">
      <c r="A17" s="458" t="s">
        <v>533</v>
      </c>
      <c r="B17" s="774">
        <f ca="1">huishoudens!B10</f>
        <v>0.18682043520442418</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4819.9752482942285</v>
      </c>
      <c r="C22" s="446">
        <f t="shared" ref="C22:C32" ca="1" si="3">C4*$C$17</f>
        <v>0</v>
      </c>
      <c r="D22" s="446">
        <f t="shared" ref="D22:D32" si="4">D4*$D$17</f>
        <v>10927.950671864601</v>
      </c>
      <c r="E22" s="446">
        <f t="shared" ref="E22:E32" si="5">E4*$E$17</f>
        <v>416.73138327768095</v>
      </c>
      <c r="F22" s="446">
        <f t="shared" ref="F22:F32" si="6">F4*$F$17</f>
        <v>7902.1006194590882</v>
      </c>
      <c r="G22" s="446">
        <f t="shared" ref="G22:G32" si="7">G4*$G$17</f>
        <v>0</v>
      </c>
      <c r="H22" s="446">
        <f t="shared" ref="H22:H32" si="8">H4*$H$17</f>
        <v>0</v>
      </c>
      <c r="I22" s="446">
        <f t="shared" ref="I22:I32" si="9">I4*$I$17</f>
        <v>0</v>
      </c>
      <c r="J22" s="446">
        <f t="shared" ref="J22:J32" si="10">J4*$J$17</f>
        <v>41.854922956302381</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24108.612845851902</v>
      </c>
    </row>
    <row r="23" spans="1:17">
      <c r="A23" s="445" t="s">
        <v>149</v>
      </c>
      <c r="B23" s="446">
        <f t="shared" ca="1" si="2"/>
        <v>5003.6297072616444</v>
      </c>
      <c r="C23" s="446">
        <f t="shared" ca="1" si="3"/>
        <v>0</v>
      </c>
      <c r="D23" s="446">
        <f t="shared" ca="1" si="4"/>
        <v>5915.8622902908764</v>
      </c>
      <c r="E23" s="446">
        <f t="shared" si="5"/>
        <v>64.917861664105715</v>
      </c>
      <c r="F23" s="446">
        <f t="shared" ca="1" si="6"/>
        <v>764.16743425404411</v>
      </c>
      <c r="G23" s="446">
        <f t="shared" si="7"/>
        <v>0</v>
      </c>
      <c r="H23" s="446">
        <f t="shared" si="8"/>
        <v>0</v>
      </c>
      <c r="I23" s="446">
        <f t="shared" si="9"/>
        <v>0</v>
      </c>
      <c r="J23" s="446">
        <f t="shared" si="10"/>
        <v>2.032238536411167E-2</v>
      </c>
      <c r="K23" s="446">
        <f t="shared" si="11"/>
        <v>0</v>
      </c>
      <c r="L23" s="446">
        <f t="shared" ca="1" si="12"/>
        <v>0</v>
      </c>
      <c r="M23" s="446">
        <f t="shared" si="13"/>
        <v>0</v>
      </c>
      <c r="N23" s="446">
        <f t="shared" ca="1" si="14"/>
        <v>0</v>
      </c>
      <c r="O23" s="446">
        <f t="shared" si="15"/>
        <v>0</v>
      </c>
      <c r="P23" s="447">
        <f t="shared" si="16"/>
        <v>0</v>
      </c>
      <c r="Q23" s="445">
        <f t="shared" ref="Q23:Q31" ca="1" si="17">SUM(B23:P23)</f>
        <v>11748.597615856035</v>
      </c>
    </row>
    <row r="24" spans="1:17">
      <c r="A24" s="445" t="s">
        <v>187</v>
      </c>
      <c r="B24" s="446">
        <f t="shared" ca="1" si="2"/>
        <v>205.62596703253672</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205.62596703253672</v>
      </c>
    </row>
    <row r="25" spans="1:17">
      <c r="A25" s="445" t="s">
        <v>105</v>
      </c>
      <c r="B25" s="446">
        <f t="shared" ca="1" si="2"/>
        <v>141.73076270653081</v>
      </c>
      <c r="C25" s="446">
        <f t="shared" ca="1" si="3"/>
        <v>0</v>
      </c>
      <c r="D25" s="446">
        <f t="shared" si="4"/>
        <v>123.566744312</v>
      </c>
      <c r="E25" s="446">
        <f t="shared" si="5"/>
        <v>5.3747068526917179</v>
      </c>
      <c r="F25" s="446">
        <f t="shared" si="6"/>
        <v>715.86505781890401</v>
      </c>
      <c r="G25" s="446">
        <f t="shared" si="7"/>
        <v>0</v>
      </c>
      <c r="H25" s="446">
        <f t="shared" si="8"/>
        <v>0</v>
      </c>
      <c r="I25" s="446">
        <f t="shared" si="9"/>
        <v>0</v>
      </c>
      <c r="J25" s="446">
        <f t="shared" si="10"/>
        <v>73.990428423476089</v>
      </c>
      <c r="K25" s="446">
        <f t="shared" si="11"/>
        <v>0</v>
      </c>
      <c r="L25" s="446">
        <f t="shared" si="12"/>
        <v>0</v>
      </c>
      <c r="M25" s="446">
        <f t="shared" si="13"/>
        <v>0</v>
      </c>
      <c r="N25" s="446">
        <f t="shared" si="14"/>
        <v>0</v>
      </c>
      <c r="O25" s="446">
        <f t="shared" si="15"/>
        <v>0</v>
      </c>
      <c r="P25" s="447">
        <f t="shared" si="16"/>
        <v>0</v>
      </c>
      <c r="Q25" s="445">
        <f t="shared" ca="1" si="17"/>
        <v>1060.5277001136026</v>
      </c>
    </row>
    <row r="26" spans="1:17">
      <c r="A26" s="445" t="s">
        <v>612</v>
      </c>
      <c r="B26" s="446">
        <f t="shared" ca="1" si="2"/>
        <v>13216.43537114665</v>
      </c>
      <c r="C26" s="446">
        <f t="shared" ca="1" si="3"/>
        <v>0</v>
      </c>
      <c r="D26" s="446">
        <f t="shared" si="4"/>
        <v>23775.47528686612</v>
      </c>
      <c r="E26" s="446">
        <f t="shared" si="5"/>
        <v>1403.5779953004076</v>
      </c>
      <c r="F26" s="446">
        <f t="shared" si="6"/>
        <v>5776.5387122555785</v>
      </c>
      <c r="G26" s="446">
        <f t="shared" si="7"/>
        <v>0</v>
      </c>
      <c r="H26" s="446">
        <f t="shared" si="8"/>
        <v>0</v>
      </c>
      <c r="I26" s="446">
        <f t="shared" si="9"/>
        <v>0</v>
      </c>
      <c r="J26" s="446">
        <f t="shared" si="10"/>
        <v>222.58240586751876</v>
      </c>
      <c r="K26" s="446">
        <f t="shared" si="11"/>
        <v>0</v>
      </c>
      <c r="L26" s="446">
        <f t="shared" si="12"/>
        <v>0</v>
      </c>
      <c r="M26" s="446">
        <f t="shared" si="13"/>
        <v>0</v>
      </c>
      <c r="N26" s="446">
        <f t="shared" si="14"/>
        <v>0</v>
      </c>
      <c r="O26" s="446">
        <f t="shared" si="15"/>
        <v>0</v>
      </c>
      <c r="P26" s="447">
        <f t="shared" si="16"/>
        <v>0</v>
      </c>
      <c r="Q26" s="445">
        <f t="shared" ca="1" si="17"/>
        <v>44394.609771436277</v>
      </c>
    </row>
    <row r="27" spans="1:17" s="451" customFormat="1">
      <c r="A27" s="449" t="s">
        <v>538</v>
      </c>
      <c r="B27" s="768">
        <f t="shared" ca="1" si="2"/>
        <v>19.627649369287706</v>
      </c>
      <c r="C27" s="450">
        <f t="shared" ca="1" si="3"/>
        <v>0</v>
      </c>
      <c r="D27" s="450">
        <f t="shared" si="4"/>
        <v>38.106631700639241</v>
      </c>
      <c r="E27" s="450">
        <f t="shared" si="5"/>
        <v>37.044789890029492</v>
      </c>
      <c r="F27" s="450">
        <f t="shared" si="6"/>
        <v>0</v>
      </c>
      <c r="G27" s="450">
        <f t="shared" si="7"/>
        <v>20360.781857456535</v>
      </c>
      <c r="H27" s="450">
        <f t="shared" si="8"/>
        <v>4171.6355683955426</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24627.196496812037</v>
      </c>
    </row>
    <row r="28" spans="1:17" ht="16.5" customHeight="1">
      <c r="A28" s="445" t="s">
        <v>528</v>
      </c>
      <c r="B28" s="446">
        <f t="shared" ca="1" si="2"/>
        <v>4.8822889270164902</v>
      </c>
      <c r="C28" s="446">
        <f t="shared" ca="1" si="3"/>
        <v>0</v>
      </c>
      <c r="D28" s="446">
        <f t="shared" si="4"/>
        <v>0</v>
      </c>
      <c r="E28" s="446">
        <f t="shared" si="5"/>
        <v>0</v>
      </c>
      <c r="F28" s="446">
        <f t="shared" si="6"/>
        <v>0</v>
      </c>
      <c r="G28" s="446">
        <f t="shared" si="7"/>
        <v>505.54262218821282</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510.42491111522929</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57.269141199371255</v>
      </c>
      <c r="C32" s="446">
        <f t="shared" ca="1" si="3"/>
        <v>0</v>
      </c>
      <c r="D32" s="446">
        <f t="shared" si="4"/>
        <v>175.2937416</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232.56288279937127</v>
      </c>
    </row>
    <row r="33" spans="1:17" s="457" customFormat="1">
      <c r="A33" s="455" t="s">
        <v>532</v>
      </c>
      <c r="B33" s="456">
        <f ca="1">SUM(B22:B32)</f>
        <v>23469.176135937269</v>
      </c>
      <c r="C33" s="456">
        <f t="shared" ref="C33:Q33" ca="1" si="19">SUM(C22:C32)</f>
        <v>0</v>
      </c>
      <c r="D33" s="456">
        <f t="shared" ca="1" si="19"/>
        <v>40956.255366634236</v>
      </c>
      <c r="E33" s="456">
        <f t="shared" si="19"/>
        <v>1927.6467369849154</v>
      </c>
      <c r="F33" s="456">
        <f t="shared" ca="1" si="19"/>
        <v>15158.671823787616</v>
      </c>
      <c r="G33" s="456">
        <f t="shared" si="19"/>
        <v>20866.324479644747</v>
      </c>
      <c r="H33" s="456">
        <f t="shared" si="19"/>
        <v>4171.6355683955426</v>
      </c>
      <c r="I33" s="456">
        <f t="shared" si="19"/>
        <v>0</v>
      </c>
      <c r="J33" s="456">
        <f t="shared" si="19"/>
        <v>338.44807963266135</v>
      </c>
      <c r="K33" s="456">
        <f t="shared" si="19"/>
        <v>0</v>
      </c>
      <c r="L33" s="456">
        <f t="shared" ca="1" si="19"/>
        <v>0</v>
      </c>
      <c r="M33" s="456">
        <f t="shared" si="19"/>
        <v>0</v>
      </c>
      <c r="N33" s="456">
        <f t="shared" ca="1" si="19"/>
        <v>0</v>
      </c>
      <c r="O33" s="456">
        <f t="shared" si="19"/>
        <v>0</v>
      </c>
      <c r="P33" s="456">
        <f t="shared" si="19"/>
        <v>0</v>
      </c>
      <c r="Q33" s="456">
        <f t="shared" ca="1" si="19"/>
        <v>106888.15819101699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19385.227937630967</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43.649999999999991</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51.35294117647058</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19428.877937630969</v>
      </c>
      <c r="C10" s="1021">
        <f>SUM(C4:C9)</f>
        <v>0</v>
      </c>
      <c r="D10" s="1021">
        <f t="shared" ref="D10:H10" si="0">SUM(D8:D9)</f>
        <v>0</v>
      </c>
      <c r="E10" s="1021">
        <f t="shared" si="0"/>
        <v>0</v>
      </c>
      <c r="F10" s="1021">
        <f t="shared" si="0"/>
        <v>0</v>
      </c>
      <c r="G10" s="1021">
        <f t="shared" si="0"/>
        <v>0</v>
      </c>
      <c r="H10" s="1021">
        <f t="shared" si="0"/>
        <v>0</v>
      </c>
      <c r="I10" s="1021">
        <f>SUM(I8:I9)</f>
        <v>0</v>
      </c>
      <c r="J10" s="1021">
        <f>SUM(J8:J9)</f>
        <v>51.35294117647058</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0.18682043520442418</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62.357142857142847</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73.361344537815114</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62.357142857142847</v>
      </c>
      <c r="C20" s="1021">
        <f>SUM(C17:C19)</f>
        <v>0</v>
      </c>
      <c r="D20" s="1021">
        <f t="shared" ref="D20:H20" si="2">SUM(D17:D19)</f>
        <v>0</v>
      </c>
      <c r="E20" s="1021">
        <f t="shared" si="2"/>
        <v>0</v>
      </c>
      <c r="F20" s="1021">
        <f t="shared" si="2"/>
        <v>0</v>
      </c>
      <c r="G20" s="1021">
        <f t="shared" si="2"/>
        <v>0</v>
      </c>
      <c r="H20" s="1021">
        <f t="shared" si="2"/>
        <v>0</v>
      </c>
      <c r="I20" s="1021">
        <f>SUM(I17:I19)</f>
        <v>0</v>
      </c>
      <c r="J20" s="1021">
        <f>SUM(J17:J19)</f>
        <v>73.361344537815114</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0.18682043520442418</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0.18682043520442418</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0.18682043520442418</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6308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1154.48</v>
      </c>
      <c r="C14" s="326"/>
      <c r="D14" s="326"/>
      <c r="E14" s="326"/>
      <c r="F14" s="326"/>
    </row>
    <row r="15" spans="1:6">
      <c r="A15" s="1296" t="s">
        <v>177</v>
      </c>
      <c r="B15" s="1297">
        <v>1712</v>
      </c>
      <c r="C15" s="326"/>
      <c r="D15" s="326"/>
      <c r="E15" s="326"/>
      <c r="F15" s="326"/>
    </row>
    <row r="16" spans="1:6">
      <c r="A16" s="1296" t="s">
        <v>6</v>
      </c>
      <c r="B16" s="1297">
        <v>1174</v>
      </c>
      <c r="C16" s="326"/>
      <c r="D16" s="326"/>
      <c r="E16" s="326"/>
      <c r="F16" s="326"/>
    </row>
    <row r="17" spans="1:6">
      <c r="A17" s="1296" t="s">
        <v>7</v>
      </c>
      <c r="B17" s="1297">
        <v>27</v>
      </c>
      <c r="C17" s="326"/>
      <c r="D17" s="326"/>
      <c r="E17" s="326"/>
      <c r="F17" s="326"/>
    </row>
    <row r="18" spans="1:6">
      <c r="A18" s="1296" t="s">
        <v>8</v>
      </c>
      <c r="B18" s="1297">
        <v>547</v>
      </c>
      <c r="C18" s="326"/>
      <c r="D18" s="326"/>
      <c r="E18" s="326"/>
      <c r="F18" s="326"/>
    </row>
    <row r="19" spans="1:6">
      <c r="A19" s="1296" t="s">
        <v>9</v>
      </c>
      <c r="B19" s="1297">
        <v>599</v>
      </c>
      <c r="C19" s="326"/>
      <c r="D19" s="326"/>
      <c r="E19" s="326"/>
      <c r="F19" s="326"/>
    </row>
    <row r="20" spans="1:6">
      <c r="A20" s="1296" t="s">
        <v>10</v>
      </c>
      <c r="B20" s="1297">
        <v>119</v>
      </c>
      <c r="C20" s="326"/>
      <c r="D20" s="326"/>
      <c r="E20" s="326"/>
      <c r="F20" s="326"/>
    </row>
    <row r="21" spans="1:6">
      <c r="A21" s="1296" t="s">
        <v>11</v>
      </c>
      <c r="B21" s="1297">
        <v>0</v>
      </c>
      <c r="C21" s="326"/>
      <c r="D21" s="326"/>
      <c r="E21" s="326"/>
      <c r="F21" s="326"/>
    </row>
    <row r="22" spans="1:6">
      <c r="A22" s="1296" t="s">
        <v>12</v>
      </c>
      <c r="B22" s="1297">
        <v>129</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122</v>
      </c>
      <c r="C26" s="326"/>
      <c r="D26" s="326"/>
      <c r="E26" s="326"/>
      <c r="F26" s="326"/>
    </row>
    <row r="27" spans="1:6">
      <c r="A27" s="1296" t="s">
        <v>17</v>
      </c>
      <c r="B27" s="1297">
        <v>2</v>
      </c>
      <c r="C27" s="326"/>
      <c r="D27" s="326"/>
      <c r="E27" s="326"/>
      <c r="F27" s="326"/>
    </row>
    <row r="28" spans="1:6">
      <c r="A28" s="1296" t="s">
        <v>18</v>
      </c>
      <c r="B28" s="1298">
        <v>15402</v>
      </c>
      <c r="C28" s="326"/>
      <c r="D28" s="326"/>
      <c r="E28" s="326"/>
      <c r="F28" s="326"/>
    </row>
    <row r="29" spans="1:6">
      <c r="A29" s="1296" t="s">
        <v>689</v>
      </c>
      <c r="B29" s="1298">
        <v>103</v>
      </c>
      <c r="C29" s="326"/>
      <c r="D29" s="326"/>
      <c r="E29" s="326"/>
      <c r="F29" s="326"/>
    </row>
    <row r="30" spans="1:6">
      <c r="A30" s="1291" t="s">
        <v>690</v>
      </c>
      <c r="B30" s="1299">
        <v>19</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5</v>
      </c>
      <c r="F36" s="1297">
        <v>16432</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4287</v>
      </c>
      <c r="D39" s="1297">
        <v>59976458.649999999</v>
      </c>
      <c r="E39" s="1297">
        <v>6437</v>
      </c>
      <c r="F39" s="1297">
        <v>20249019.050000001</v>
      </c>
    </row>
    <row r="40" spans="1:6">
      <c r="A40" s="1296" t="s">
        <v>29</v>
      </c>
      <c r="B40" s="1296" t="s">
        <v>28</v>
      </c>
      <c r="C40" s="1297">
        <v>0</v>
      </c>
      <c r="D40" s="1297">
        <v>0</v>
      </c>
      <c r="E40" s="1297">
        <v>1</v>
      </c>
      <c r="F40" s="1297">
        <v>1374</v>
      </c>
    </row>
    <row r="41" spans="1:6">
      <c r="A41" s="1296" t="s">
        <v>31</v>
      </c>
      <c r="B41" s="1296" t="s">
        <v>32</v>
      </c>
      <c r="C41" s="1297">
        <v>79</v>
      </c>
      <c r="D41" s="1297">
        <v>12165291.672</v>
      </c>
      <c r="E41" s="1297">
        <v>164</v>
      </c>
      <c r="F41" s="1297">
        <v>20756142.649999999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37</v>
      </c>
      <c r="D44" s="1297">
        <v>54488606.608000003</v>
      </c>
      <c r="E44" s="1297">
        <v>68</v>
      </c>
      <c r="F44" s="1297">
        <v>40819430.57</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5</v>
      </c>
      <c r="F47" s="1297">
        <v>5172186</v>
      </c>
    </row>
    <row r="48" spans="1:6">
      <c r="A48" s="1296" t="s">
        <v>31</v>
      </c>
      <c r="B48" s="1296" t="s">
        <v>28</v>
      </c>
      <c r="C48" s="1297">
        <v>5</v>
      </c>
      <c r="D48" s="1297">
        <v>60061717.342</v>
      </c>
      <c r="E48" s="1297">
        <v>1</v>
      </c>
      <c r="F48" s="1297">
        <v>2643835</v>
      </c>
    </row>
    <row r="49" spans="1:6">
      <c r="A49" s="1296" t="s">
        <v>31</v>
      </c>
      <c r="B49" s="1296" t="s">
        <v>39</v>
      </c>
      <c r="C49" s="1297">
        <v>5</v>
      </c>
      <c r="D49" s="1297">
        <v>3486211.4569999999</v>
      </c>
      <c r="E49" s="1297">
        <v>5</v>
      </c>
      <c r="F49" s="1297">
        <v>1094851</v>
      </c>
    </row>
    <row r="50" spans="1:6">
      <c r="A50" s="1296" t="s">
        <v>31</v>
      </c>
      <c r="B50" s="1296" t="s">
        <v>40</v>
      </c>
      <c r="C50" s="1297">
        <v>7</v>
      </c>
      <c r="D50" s="1297">
        <v>286391</v>
      </c>
      <c r="E50" s="1297">
        <v>12</v>
      </c>
      <c r="F50" s="1297">
        <v>257611</v>
      </c>
    </row>
    <row r="51" spans="1:6">
      <c r="A51" s="1296" t="s">
        <v>41</v>
      </c>
      <c r="B51" s="1296" t="s">
        <v>42</v>
      </c>
      <c r="C51" s="1297">
        <v>18</v>
      </c>
      <c r="D51" s="1297">
        <v>678178</v>
      </c>
      <c r="E51" s="1297">
        <v>64</v>
      </c>
      <c r="F51" s="1297">
        <v>758647</v>
      </c>
    </row>
    <row r="52" spans="1:6">
      <c r="A52" s="1296" t="s">
        <v>41</v>
      </c>
      <c r="B52" s="1296" t="s">
        <v>28</v>
      </c>
      <c r="C52" s="1297">
        <v>0</v>
      </c>
      <c r="D52" s="1297">
        <v>0</v>
      </c>
      <c r="E52" s="1297">
        <v>0</v>
      </c>
      <c r="F52" s="1297">
        <v>0</v>
      </c>
    </row>
    <row r="53" spans="1:6">
      <c r="A53" s="1296" t="s">
        <v>43</v>
      </c>
      <c r="B53" s="1296" t="s">
        <v>44</v>
      </c>
      <c r="C53" s="1297">
        <v>44</v>
      </c>
      <c r="D53" s="1297">
        <v>867790.8</v>
      </c>
      <c r="E53" s="1297">
        <v>104</v>
      </c>
      <c r="F53" s="1297">
        <v>306546.45</v>
      </c>
    </row>
    <row r="54" spans="1:6">
      <c r="A54" s="1296" t="s">
        <v>45</v>
      </c>
      <c r="B54" s="1296" t="s">
        <v>46</v>
      </c>
      <c r="C54" s="1297">
        <v>0</v>
      </c>
      <c r="D54" s="1297">
        <v>0</v>
      </c>
      <c r="E54" s="1297">
        <v>3</v>
      </c>
      <c r="F54" s="1297">
        <v>1100661</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37</v>
      </c>
      <c r="D57" s="1297">
        <v>1183516.6000000001</v>
      </c>
      <c r="E57" s="1297">
        <v>71</v>
      </c>
      <c r="F57" s="1297">
        <v>3381696.7209999999</v>
      </c>
    </row>
    <row r="58" spans="1:6">
      <c r="A58" s="1296" t="s">
        <v>48</v>
      </c>
      <c r="B58" s="1296" t="s">
        <v>50</v>
      </c>
      <c r="C58" s="1297">
        <v>39</v>
      </c>
      <c r="D58" s="1297">
        <v>10276402.214</v>
      </c>
      <c r="E58" s="1297">
        <v>50</v>
      </c>
      <c r="F58" s="1297">
        <v>8344044.335</v>
      </c>
    </row>
    <row r="59" spans="1:6">
      <c r="A59" s="1296" t="s">
        <v>48</v>
      </c>
      <c r="B59" s="1296" t="s">
        <v>51</v>
      </c>
      <c r="C59" s="1297">
        <v>107</v>
      </c>
      <c r="D59" s="1297">
        <v>6508480.5209999997</v>
      </c>
      <c r="E59" s="1297">
        <v>184</v>
      </c>
      <c r="F59" s="1297">
        <v>6890475.8279999997</v>
      </c>
    </row>
    <row r="60" spans="1:6">
      <c r="A60" s="1296" t="s">
        <v>48</v>
      </c>
      <c r="B60" s="1296" t="s">
        <v>52</v>
      </c>
      <c r="C60" s="1297">
        <v>46</v>
      </c>
      <c r="D60" s="1297">
        <v>3612555.2289999998</v>
      </c>
      <c r="E60" s="1297">
        <v>65</v>
      </c>
      <c r="F60" s="1297">
        <v>1971617.2860000001</v>
      </c>
    </row>
    <row r="61" spans="1:6">
      <c r="A61" s="1296" t="s">
        <v>48</v>
      </c>
      <c r="B61" s="1296" t="s">
        <v>53</v>
      </c>
      <c r="C61" s="1297">
        <v>115</v>
      </c>
      <c r="D61" s="1297">
        <v>8362827.4050000003</v>
      </c>
      <c r="E61" s="1297">
        <v>215</v>
      </c>
      <c r="F61" s="1297">
        <v>5669006.5820000004</v>
      </c>
    </row>
    <row r="62" spans="1:6">
      <c r="A62" s="1296" t="s">
        <v>48</v>
      </c>
      <c r="B62" s="1296" t="s">
        <v>54</v>
      </c>
      <c r="C62" s="1297">
        <v>16</v>
      </c>
      <c r="D62" s="1297">
        <v>2524562.7999999998</v>
      </c>
      <c r="E62" s="1297">
        <v>18</v>
      </c>
      <c r="F62" s="1297">
        <v>526255.55000000005</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2</v>
      </c>
      <c r="D65" s="1297">
        <v>276647</v>
      </c>
      <c r="E65" s="1297">
        <v>0</v>
      </c>
      <c r="F65" s="1297">
        <v>0</v>
      </c>
    </row>
    <row r="66" spans="1:6">
      <c r="A66" s="1296" t="s">
        <v>55</v>
      </c>
      <c r="B66" s="1296" t="s">
        <v>57</v>
      </c>
      <c r="C66" s="1297">
        <v>0</v>
      </c>
      <c r="D66" s="1297">
        <v>0</v>
      </c>
      <c r="E66" s="1297">
        <v>8</v>
      </c>
      <c r="F66" s="1297">
        <v>184833.114</v>
      </c>
    </row>
    <row r="67" spans="1:6">
      <c r="A67" s="1296" t="s">
        <v>55</v>
      </c>
      <c r="B67" s="1296" t="s">
        <v>58</v>
      </c>
      <c r="C67" s="1297">
        <v>0</v>
      </c>
      <c r="D67" s="1297">
        <v>0</v>
      </c>
      <c r="E67" s="1297">
        <v>0</v>
      </c>
      <c r="F67" s="1297">
        <v>0</v>
      </c>
    </row>
    <row r="68" spans="1:6">
      <c r="A68" s="1291" t="s">
        <v>55</v>
      </c>
      <c r="B68" s="1291" t="s">
        <v>59</v>
      </c>
      <c r="C68" s="1299">
        <v>0</v>
      </c>
      <c r="D68" s="1299">
        <v>0</v>
      </c>
      <c r="E68" s="1299">
        <v>7</v>
      </c>
      <c r="F68" s="1299">
        <v>600502</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86321570</v>
      </c>
      <c r="E73" s="444"/>
      <c r="F73" s="326"/>
    </row>
    <row r="74" spans="1:6">
      <c r="A74" s="1296" t="s">
        <v>63</v>
      </c>
      <c r="B74" s="1296" t="s">
        <v>633</v>
      </c>
      <c r="C74" s="1309" t="s">
        <v>635</v>
      </c>
      <c r="D74" s="1297">
        <v>8818206.5</v>
      </c>
      <c r="E74" s="444"/>
      <c r="F74" s="326"/>
    </row>
    <row r="75" spans="1:6">
      <c r="A75" s="1296" t="s">
        <v>64</v>
      </c>
      <c r="B75" s="1296" t="s">
        <v>632</v>
      </c>
      <c r="C75" s="1309" t="s">
        <v>636</v>
      </c>
      <c r="D75" s="1297">
        <v>22167093</v>
      </c>
      <c r="E75" s="444"/>
      <c r="F75" s="326"/>
    </row>
    <row r="76" spans="1:6">
      <c r="A76" s="1296" t="s">
        <v>64</v>
      </c>
      <c r="B76" s="1296" t="s">
        <v>633</v>
      </c>
      <c r="C76" s="1309" t="s">
        <v>637</v>
      </c>
      <c r="D76" s="1297">
        <v>938355.5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555343</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5549.6498790300911</v>
      </c>
      <c r="C91" s="326"/>
      <c r="D91" s="326"/>
      <c r="E91" s="326"/>
      <c r="F91" s="326"/>
    </row>
    <row r="92" spans="1:6">
      <c r="A92" s="1291" t="s">
        <v>68</v>
      </c>
      <c r="B92" s="1292">
        <v>13835.578058600875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1399</v>
      </c>
      <c r="C97" s="326"/>
      <c r="D97" s="326"/>
      <c r="E97" s="326"/>
      <c r="F97" s="326"/>
    </row>
    <row r="98" spans="1:6">
      <c r="A98" s="1296" t="s">
        <v>71</v>
      </c>
      <c r="B98" s="1297">
        <v>3</v>
      </c>
      <c r="C98" s="326"/>
      <c r="D98" s="326"/>
      <c r="E98" s="326"/>
      <c r="F98" s="326"/>
    </row>
    <row r="99" spans="1:6">
      <c r="A99" s="1296" t="s">
        <v>72</v>
      </c>
      <c r="B99" s="1297">
        <v>78</v>
      </c>
      <c r="C99" s="326"/>
      <c r="D99" s="326"/>
      <c r="E99" s="326"/>
      <c r="F99" s="326"/>
    </row>
    <row r="100" spans="1:6">
      <c r="A100" s="1296" t="s">
        <v>73</v>
      </c>
      <c r="B100" s="1297">
        <v>209</v>
      </c>
      <c r="C100" s="326"/>
      <c r="D100" s="326"/>
      <c r="E100" s="326"/>
      <c r="F100" s="326"/>
    </row>
    <row r="101" spans="1:6">
      <c r="A101" s="1296" t="s">
        <v>74</v>
      </c>
      <c r="B101" s="1297">
        <v>54</v>
      </c>
      <c r="C101" s="326"/>
      <c r="D101" s="326"/>
      <c r="E101" s="326"/>
      <c r="F101" s="326"/>
    </row>
    <row r="102" spans="1:6">
      <c r="A102" s="1296" t="s">
        <v>75</v>
      </c>
      <c r="B102" s="1297">
        <v>43</v>
      </c>
      <c r="C102" s="326"/>
      <c r="D102" s="326"/>
      <c r="E102" s="326"/>
      <c r="F102" s="326"/>
    </row>
    <row r="103" spans="1:6">
      <c r="A103" s="1296" t="s">
        <v>76</v>
      </c>
      <c r="B103" s="1297">
        <v>68</v>
      </c>
      <c r="C103" s="326"/>
      <c r="D103" s="326"/>
      <c r="E103" s="326"/>
      <c r="F103" s="326"/>
    </row>
    <row r="104" spans="1:6">
      <c r="A104" s="1296" t="s">
        <v>77</v>
      </c>
      <c r="B104" s="1297">
        <v>2869</v>
      </c>
      <c r="C104" s="326"/>
      <c r="D104" s="326"/>
      <c r="E104" s="326"/>
      <c r="F104" s="326"/>
    </row>
    <row r="105" spans="1:6">
      <c r="A105" s="1291" t="s">
        <v>78</v>
      </c>
      <c r="B105" s="1299">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1</v>
      </c>
      <c r="C121" s="1297">
        <v>0</v>
      </c>
      <c r="D121" s="326"/>
      <c r="E121" s="326"/>
      <c r="F121" s="326"/>
    </row>
    <row r="122" spans="1:6">
      <c r="A122" s="1296" t="s">
        <v>86</v>
      </c>
      <c r="B122" s="1297">
        <v>0</v>
      </c>
      <c r="C122" s="1297">
        <v>0</v>
      </c>
      <c r="D122" s="326"/>
      <c r="E122" s="326"/>
      <c r="F122" s="326"/>
    </row>
    <row r="123" spans="1:6">
      <c r="A123" s="1296" t="s">
        <v>87</v>
      </c>
      <c r="B123" s="1297">
        <v>75</v>
      </c>
      <c r="C123" s="1297">
        <v>47</v>
      </c>
      <c r="D123" s="326"/>
      <c r="E123" s="326"/>
      <c r="F123" s="326"/>
    </row>
    <row r="124" spans="1:6">
      <c r="A124" s="1296" t="s">
        <v>88</v>
      </c>
      <c r="B124" s="1297">
        <v>2</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189</v>
      </c>
      <c r="C129" s="326"/>
      <c r="D129" s="326"/>
      <c r="E129" s="326"/>
      <c r="F129" s="326"/>
    </row>
    <row r="130" spans="1:6">
      <c r="A130" s="1296" t="s">
        <v>283</v>
      </c>
      <c r="B130" s="1297">
        <v>0</v>
      </c>
      <c r="C130" s="326"/>
      <c r="D130" s="326"/>
      <c r="E130" s="326"/>
      <c r="F130" s="326"/>
    </row>
    <row r="131" spans="1:6">
      <c r="A131" s="1296" t="s">
        <v>284</v>
      </c>
      <c r="B131" s="1297">
        <v>2</v>
      </c>
      <c r="C131" s="326"/>
      <c r="D131" s="326"/>
      <c r="E131" s="326"/>
      <c r="F131" s="326"/>
    </row>
    <row r="132" spans="1:6">
      <c r="A132" s="1291" t="s">
        <v>285</v>
      </c>
      <c r="B132" s="1292">
        <v>30</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125624.24506856884</v>
      </c>
      <c r="C3" s="43" t="s">
        <v>163</v>
      </c>
      <c r="D3" s="43"/>
      <c r="E3" s="154"/>
      <c r="F3" s="43"/>
      <c r="G3" s="43"/>
      <c r="H3" s="43"/>
      <c r="I3" s="43"/>
      <c r="J3" s="43"/>
      <c r="K3" s="96"/>
    </row>
    <row r="4" spans="1:11">
      <c r="A4" s="352" t="s">
        <v>164</v>
      </c>
      <c r="B4" s="49">
        <f>IF(ISERROR('SEAP template'!B78+'SEAP template'!C78),0,'SEAP template'!B78+'SEAP template'!C78)</f>
        <v>19428.877937630969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0.18682043520442418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62.357142857142847</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1100.6610000000001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1100.6610000000001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0.18682043520442418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205.62596703253672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20250.393050000002</v>
      </c>
      <c r="C5" s="17">
        <f>IF(ISERROR('Eigen informatie GS &amp; warmtenet'!B59),0,'Eigen informatie GS &amp; warmtenet'!B59)</f>
        <v>0</v>
      </c>
      <c r="D5" s="30">
        <f>(SUM(HH_hh_gas_kWh,HH_rest_gas_kWh)/1000)*0.902</f>
        <v>54098.765702299999</v>
      </c>
      <c r="E5" s="17">
        <f>B32*B41</f>
        <v>1835.8210717078455</v>
      </c>
      <c r="F5" s="17">
        <f>B36*B45</f>
        <v>29595.882469884225</v>
      </c>
      <c r="G5" s="18"/>
      <c r="H5" s="17"/>
      <c r="I5" s="17"/>
      <c r="J5" s="17">
        <f>B35*B44+C35*C44</f>
        <v>118.23424563927227</v>
      </c>
      <c r="K5" s="17"/>
      <c r="L5" s="17"/>
      <c r="M5" s="17"/>
      <c r="N5" s="17">
        <f>B34*B43+C34*C43</f>
        <v>8527.3715908719641</v>
      </c>
      <c r="O5" s="17">
        <f>B52*B53*B54</f>
        <v>470.19809799472654</v>
      </c>
      <c r="P5" s="17">
        <f>B60*B61*B62/1000-B60*B61*B62/1000/B63</f>
        <v>1127.1336459222975</v>
      </c>
    </row>
    <row r="6" spans="1:16">
      <c r="A6" s="16" t="s">
        <v>598</v>
      </c>
      <c r="B6" s="776">
        <f>kWh_PV_kleiner_dan_10kW</f>
        <v>5549.6498790300911</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25800.042929030093</v>
      </c>
      <c r="C8" s="21">
        <f>C5</f>
        <v>0</v>
      </c>
      <c r="D8" s="21">
        <f>D5</f>
        <v>54098.765702299999</v>
      </c>
      <c r="E8" s="21">
        <f>E5</f>
        <v>1835.8210717078455</v>
      </c>
      <c r="F8" s="21">
        <f>F5</f>
        <v>29595.882469884225</v>
      </c>
      <c r="G8" s="21"/>
      <c r="H8" s="21"/>
      <c r="I8" s="21"/>
      <c r="J8" s="21">
        <f>J5</f>
        <v>118.23424563927227</v>
      </c>
      <c r="K8" s="21"/>
      <c r="L8" s="21">
        <f>L5</f>
        <v>0</v>
      </c>
      <c r="M8" s="21">
        <f>M5</f>
        <v>0</v>
      </c>
      <c r="N8" s="21">
        <f>N5</f>
        <v>8527.3715908719641</v>
      </c>
      <c r="O8" s="21">
        <f>O5</f>
        <v>470.19809799472654</v>
      </c>
      <c r="P8" s="21">
        <f>P5</f>
        <v>1127.1336459222975</v>
      </c>
    </row>
    <row r="9" spans="1:16">
      <c r="B9" s="19"/>
      <c r="C9" s="19"/>
      <c r="D9" s="256"/>
      <c r="E9" s="19"/>
      <c r="F9" s="19"/>
      <c r="G9" s="19"/>
      <c r="H9" s="19"/>
      <c r="I9" s="19"/>
      <c r="J9" s="19"/>
      <c r="K9" s="19"/>
      <c r="L9" s="19"/>
      <c r="M9" s="19"/>
      <c r="N9" s="19"/>
      <c r="O9" s="19"/>
      <c r="P9" s="19"/>
    </row>
    <row r="10" spans="1:16">
      <c r="A10" s="24" t="s">
        <v>207</v>
      </c>
      <c r="B10" s="25">
        <f ca="1">'EF ele_warmte'!B12</f>
        <v>0.18682043520442418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4819.9752482942285</v>
      </c>
      <c r="C12" s="23">
        <f ca="1">C10*C8</f>
        <v>0</v>
      </c>
      <c r="D12" s="23">
        <f>D8*D10</f>
        <v>10927.950671864601</v>
      </c>
      <c r="E12" s="23">
        <f>E10*E8</f>
        <v>416.73138327768095</v>
      </c>
      <c r="F12" s="23">
        <f>F10*F8</f>
        <v>7902.1006194590882</v>
      </c>
      <c r="G12" s="23"/>
      <c r="H12" s="23"/>
      <c r="I12" s="23"/>
      <c r="J12" s="23">
        <f>J10*J8</f>
        <v>41.854922956302381</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6308</v>
      </c>
      <c r="C26" s="36"/>
      <c r="D26" s="226"/>
    </row>
    <row r="27" spans="1:7" s="15" customFormat="1">
      <c r="A27" s="228" t="s">
        <v>800</v>
      </c>
      <c r="B27" s="37">
        <f>SUM(HH_hh_gas_aantal,HH_rest_gas_aantal)</f>
        <v>4287</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4072.65</v>
      </c>
      <c r="C31" s="166" t="s">
        <v>104</v>
      </c>
      <c r="D31" s="231"/>
      <c r="G31" s="15"/>
    </row>
    <row r="32" spans="1:7">
      <c r="A32" s="169" t="s">
        <v>72</v>
      </c>
      <c r="B32" s="166">
        <f>IF((B21*($B$26-($B$27-0.05*$B$27)-$B$60))&lt;0,0,B21*($B$26-($B$27-0.05*$B$27)-$B$60))</f>
        <v>33.787979140235912</v>
      </c>
      <c r="C32" s="166" t="s">
        <v>104</v>
      </c>
      <c r="D32" s="231"/>
      <c r="G32" s="15"/>
    </row>
    <row r="33" spans="1:7">
      <c r="A33" s="169" t="s">
        <v>73</v>
      </c>
      <c r="B33" s="166">
        <f>IF((B22*($B$26-($B$27-0.05*$B$27)-$B$60))&lt;0,0,B22*($B$26-($B$27-0.05*$B$27)-$B$60))</f>
        <v>548.64986341026145</v>
      </c>
      <c r="C33" s="166" t="s">
        <v>104</v>
      </c>
      <c r="D33" s="231"/>
      <c r="G33" s="15"/>
    </row>
    <row r="34" spans="1:7">
      <c r="A34" s="169" t="s">
        <v>74</v>
      </c>
      <c r="B34" s="166">
        <f>IF((B24*($B$26-($B$27-0.05*$B$27)-$B$60))&lt;0,0,B24*($B$26-($B$27-0.05*$B$27)-$B$60))</f>
        <v>105.18352110284542</v>
      </c>
      <c r="C34" s="166">
        <f>B26*C24</f>
        <v>1292.5466682996807</v>
      </c>
      <c r="D34" s="231"/>
      <c r="G34" s="15"/>
    </row>
    <row r="35" spans="1:7">
      <c r="A35" s="169" t="s">
        <v>76</v>
      </c>
      <c r="B35" s="166">
        <f>IF((B19*($B$26-($B$27-0.05*$B$27)-$B$60))&lt;0,0,B19*($B$26-($B$27-0.05*$B$27)-$B$60))</f>
        <v>14.68755397951344</v>
      </c>
      <c r="C35" s="166">
        <f>B35/2</f>
        <v>7.3437769897567202</v>
      </c>
      <c r="D35" s="232"/>
      <c r="G35" s="15"/>
    </row>
    <row r="36" spans="1:7">
      <c r="A36" s="169" t="s">
        <v>77</v>
      </c>
      <c r="B36" s="166">
        <f>IF((B18*($B$26-($B$27-0.05*$B$27)-$B$60))&lt;0,0,B18*($B$26-($B$27-0.05*$B$27)-$B$60))</f>
        <v>1426.0410823671434</v>
      </c>
      <c r="C36" s="166" t="s">
        <v>104</v>
      </c>
      <c r="D36" s="232"/>
      <c r="G36" s="15"/>
    </row>
    <row r="37" spans="1:7">
      <c r="A37" s="169" t="s">
        <v>78</v>
      </c>
      <c r="B37" s="166">
        <f>B60</f>
        <v>107</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237</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107</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26783.096302000005</v>
      </c>
      <c r="C5" s="17">
        <f>IF(ISERROR('Eigen informatie GS &amp; warmtenet'!B60),0,'Eigen informatie GS &amp; warmtenet'!B60)</f>
        <v>0</v>
      </c>
      <c r="D5" s="30">
        <f>SUM(D6:D12)</f>
        <v>29286.446981638001</v>
      </c>
      <c r="E5" s="17">
        <f>SUM(E6:E12)</f>
        <v>285.98176944539961</v>
      </c>
      <c r="F5" s="17">
        <f>SUM(F6:F12)</f>
        <v>2862.0503155582173</v>
      </c>
      <c r="G5" s="18"/>
      <c r="H5" s="17"/>
      <c r="I5" s="17"/>
      <c r="J5" s="17">
        <f>SUM(J6:J12)</f>
        <v>5.7407868260202465E-2</v>
      </c>
      <c r="K5" s="17"/>
      <c r="L5" s="17"/>
      <c r="M5" s="17"/>
      <c r="N5" s="17">
        <f>SUM(N6:N12)</f>
        <v>2309.3892982538769</v>
      </c>
      <c r="O5" s="17">
        <f>B38*B39*B40</f>
        <v>0</v>
      </c>
      <c r="P5" s="17">
        <f>B46*B47*B48/1000-B46*B47*B48/1000/B49</f>
        <v>157.61741491948504</v>
      </c>
      <c r="R5" s="32"/>
    </row>
    <row r="6" spans="1:18">
      <c r="A6" s="32" t="s">
        <v>53</v>
      </c>
      <c r="B6" s="37">
        <f>B26</f>
        <v>5669.006582</v>
      </c>
      <c r="C6" s="33"/>
      <c r="D6" s="37">
        <f>IF(ISERROR(TER_kantoor_gas_kWh/1000),0,TER_kantoor_gas_kWh/1000)*0.902</f>
        <v>7543.2703193100006</v>
      </c>
      <c r="E6" s="33">
        <f>$C$26*'E Balans VL '!I12/100/3.6*1000000</f>
        <v>45.616678338646835</v>
      </c>
      <c r="F6" s="33">
        <f>$C$26*('E Balans VL '!L12+'E Balans VL '!N12)/100/3.6*1000000</f>
        <v>693.09569068945564</v>
      </c>
      <c r="G6" s="34"/>
      <c r="H6" s="33"/>
      <c r="I6" s="33"/>
      <c r="J6" s="33">
        <f>$C$26*('E Balans VL '!D12+'E Balans VL '!E12)/100/3.6*1000000</f>
        <v>0</v>
      </c>
      <c r="K6" s="33"/>
      <c r="L6" s="33"/>
      <c r="M6" s="33"/>
      <c r="N6" s="33">
        <f>$C$26*'E Balans VL '!Y12/100/3.6*1000000</f>
        <v>3.0468118694664832</v>
      </c>
      <c r="O6" s="33"/>
      <c r="P6" s="33"/>
      <c r="R6" s="32"/>
    </row>
    <row r="7" spans="1:18">
      <c r="A7" s="32" t="s">
        <v>52</v>
      </c>
      <c r="B7" s="37">
        <f t="shared" ref="B7:B12" si="0">B27</f>
        <v>1971.6172860000001</v>
      </c>
      <c r="C7" s="33"/>
      <c r="D7" s="37">
        <f>IF(ISERROR(TER_horeca_gas_kWh/1000),0,TER_horeca_gas_kWh/1000)*0.902</f>
        <v>3258.5248165579997</v>
      </c>
      <c r="E7" s="33">
        <f>$C$27*'E Balans VL '!I9/100/3.6*1000000</f>
        <v>21.170328206007142</v>
      </c>
      <c r="F7" s="33">
        <f>$C$27*('E Balans VL '!L9+'E Balans VL '!N9)/100/3.6*1000000</f>
        <v>237.13775036409911</v>
      </c>
      <c r="G7" s="34"/>
      <c r="H7" s="33"/>
      <c r="I7" s="33"/>
      <c r="J7" s="33">
        <f>$C$27*('E Balans VL '!D9+'E Balans VL '!E9)/100/3.6*1000000</f>
        <v>0</v>
      </c>
      <c r="K7" s="33"/>
      <c r="L7" s="33"/>
      <c r="M7" s="33"/>
      <c r="N7" s="33">
        <f>$C$27*'E Balans VL '!Y9/100/3.6*1000000</f>
        <v>0.29558539121448485</v>
      </c>
      <c r="O7" s="33"/>
      <c r="P7" s="33"/>
      <c r="R7" s="32"/>
    </row>
    <row r="8" spans="1:18">
      <c r="A8" s="6" t="s">
        <v>51</v>
      </c>
      <c r="B8" s="37">
        <f t="shared" si="0"/>
        <v>6890.4758279999996</v>
      </c>
      <c r="C8" s="33"/>
      <c r="D8" s="37">
        <f>IF(ISERROR(TER_handel_gas_kWh/1000),0,TER_handel_gas_kWh/1000)*0.902</f>
        <v>5870.6494299420001</v>
      </c>
      <c r="E8" s="33">
        <f>$C$28*'E Balans VL '!I13/100/3.6*1000000</f>
        <v>184.91927623641064</v>
      </c>
      <c r="F8" s="33">
        <f>$C$28*('E Balans VL '!L13+'E Balans VL '!N13)/100/3.6*1000000</f>
        <v>657.56376393212543</v>
      </c>
      <c r="G8" s="34"/>
      <c r="H8" s="33"/>
      <c r="I8" s="33"/>
      <c r="J8" s="33">
        <f>$C$28*('E Balans VL '!D13+'E Balans VL '!E13)/100/3.6*1000000</f>
        <v>0</v>
      </c>
      <c r="K8" s="33"/>
      <c r="L8" s="33"/>
      <c r="M8" s="33"/>
      <c r="N8" s="33">
        <f>$C$28*'E Balans VL '!Y13/100/3.6*1000000</f>
        <v>2.7314629655855098</v>
      </c>
      <c r="O8" s="33"/>
      <c r="P8" s="33"/>
      <c r="R8" s="32"/>
    </row>
    <row r="9" spans="1:18">
      <c r="A9" s="32" t="s">
        <v>50</v>
      </c>
      <c r="B9" s="37">
        <f t="shared" si="0"/>
        <v>8344.0443350000005</v>
      </c>
      <c r="C9" s="33"/>
      <c r="D9" s="37">
        <f>IF(ISERROR(TER_gezond_gas_kWh/1000),0,TER_gezond_gas_kWh/1000)*0.902</f>
        <v>9269.3147970280006</v>
      </c>
      <c r="E9" s="33">
        <f>$C$29*'E Balans VL '!I10/100/3.6*1000000</f>
        <v>15.63945602260528</v>
      </c>
      <c r="F9" s="33">
        <f>$C$29*('E Balans VL '!L10+'E Balans VL '!N10)/100/3.6*1000000</f>
        <v>685.95657787521566</v>
      </c>
      <c r="G9" s="34"/>
      <c r="H9" s="33"/>
      <c r="I9" s="33"/>
      <c r="J9" s="33">
        <f>$C$29*('E Balans VL '!D10+'E Balans VL '!E10)/100/3.6*1000000</f>
        <v>0</v>
      </c>
      <c r="K9" s="33"/>
      <c r="L9" s="33"/>
      <c r="M9" s="33"/>
      <c r="N9" s="33">
        <f>$C$29*'E Balans VL '!Y10/100/3.6*1000000</f>
        <v>64.92289047790446</v>
      </c>
      <c r="O9" s="33"/>
      <c r="P9" s="33"/>
      <c r="R9" s="32"/>
    </row>
    <row r="10" spans="1:18">
      <c r="A10" s="32" t="s">
        <v>49</v>
      </c>
      <c r="B10" s="37">
        <f t="shared" si="0"/>
        <v>3381.6967209999998</v>
      </c>
      <c r="C10" s="33"/>
      <c r="D10" s="37">
        <f>IF(ISERROR(TER_ander_gas_kWh/1000),0,TER_ander_gas_kWh/1000)*0.902</f>
        <v>1067.5319732000003</v>
      </c>
      <c r="E10" s="33">
        <f>$C$30*'E Balans VL '!I14/100/3.6*1000000</f>
        <v>5.2129197616249163</v>
      </c>
      <c r="F10" s="33">
        <f>$C$30*('E Balans VL '!L14+'E Balans VL '!N14)/100/3.6*1000000</f>
        <v>525.00934950395617</v>
      </c>
      <c r="G10" s="34"/>
      <c r="H10" s="33"/>
      <c r="I10" s="33"/>
      <c r="J10" s="33">
        <f>$C$30*('E Balans VL '!D14+'E Balans VL '!E14)/100/3.6*1000000</f>
        <v>5.7407868260202465E-2</v>
      </c>
      <c r="K10" s="33"/>
      <c r="L10" s="33"/>
      <c r="M10" s="33"/>
      <c r="N10" s="33">
        <f>$C$30*'E Balans VL '!Y14/100/3.6*1000000</f>
        <v>2237.2221680472517</v>
      </c>
      <c r="O10" s="33"/>
      <c r="P10" s="33"/>
      <c r="R10" s="32"/>
    </row>
    <row r="11" spans="1:18">
      <c r="A11" s="32" t="s">
        <v>54</v>
      </c>
      <c r="B11" s="37">
        <f t="shared" si="0"/>
        <v>526.25555000000008</v>
      </c>
      <c r="C11" s="33"/>
      <c r="D11" s="37">
        <f>IF(ISERROR(TER_onderwijs_gas_kWh/1000),0,TER_onderwijs_gas_kWh/1000)*0.902</f>
        <v>2277.1556455999998</v>
      </c>
      <c r="E11" s="33">
        <f>$C$31*'E Balans VL '!I11/100/3.6*1000000</f>
        <v>13.423110880104865</v>
      </c>
      <c r="F11" s="33">
        <f>$C$31*('E Balans VL '!L11+'E Balans VL '!N11)/100/3.6*1000000</f>
        <v>63.287183193365095</v>
      </c>
      <c r="G11" s="34"/>
      <c r="H11" s="33"/>
      <c r="I11" s="33"/>
      <c r="J11" s="33">
        <f>$C$31*('E Balans VL '!D11+'E Balans VL '!E11)/100/3.6*1000000</f>
        <v>0</v>
      </c>
      <c r="K11" s="33"/>
      <c r="L11" s="33"/>
      <c r="M11" s="33"/>
      <c r="N11" s="33">
        <f>$C$31*'E Balans VL '!Y11/100/3.6*1000000</f>
        <v>1.1703795024539356</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26783.096302000005</v>
      </c>
      <c r="C16" s="21">
        <f t="shared" ca="1" si="1"/>
        <v>0</v>
      </c>
      <c r="D16" s="21">
        <f t="shared" ca="1" si="1"/>
        <v>29286.446981638001</v>
      </c>
      <c r="E16" s="21">
        <f t="shared" si="1"/>
        <v>285.98176944539961</v>
      </c>
      <c r="F16" s="21">
        <f t="shared" ca="1" si="1"/>
        <v>2862.0503155582173</v>
      </c>
      <c r="G16" s="21">
        <f t="shared" si="1"/>
        <v>0</v>
      </c>
      <c r="H16" s="21">
        <f t="shared" si="1"/>
        <v>0</v>
      </c>
      <c r="I16" s="21">
        <f t="shared" si="1"/>
        <v>0</v>
      </c>
      <c r="J16" s="21">
        <f t="shared" si="1"/>
        <v>5.7407868260202465E-2</v>
      </c>
      <c r="K16" s="21">
        <f t="shared" si="1"/>
        <v>0</v>
      </c>
      <c r="L16" s="21">
        <f t="shared" ca="1" si="1"/>
        <v>0</v>
      </c>
      <c r="M16" s="21">
        <f t="shared" si="1"/>
        <v>0</v>
      </c>
      <c r="N16" s="21">
        <f t="shared" ca="1" si="1"/>
        <v>2309.3892982538769</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0.18682043520442418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5003.6297072616444</v>
      </c>
      <c r="C20" s="23">
        <f t="shared" ref="C20:P20" ca="1" si="2">C16*C18</f>
        <v>0</v>
      </c>
      <c r="D20" s="23">
        <f t="shared" ca="1" si="2"/>
        <v>5915.8622902908764</v>
      </c>
      <c r="E20" s="23">
        <f t="shared" si="2"/>
        <v>64.917861664105715</v>
      </c>
      <c r="F20" s="23">
        <f t="shared" ca="1" si="2"/>
        <v>764.16743425404411</v>
      </c>
      <c r="G20" s="23">
        <f t="shared" si="2"/>
        <v>0</v>
      </c>
      <c r="H20" s="23">
        <f t="shared" si="2"/>
        <v>0</v>
      </c>
      <c r="I20" s="23">
        <f t="shared" si="2"/>
        <v>0</v>
      </c>
      <c r="J20" s="23">
        <f t="shared" si="2"/>
        <v>2.032238536411167E-2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5669.006582</v>
      </c>
      <c r="C26" s="39">
        <f>IF(ISERROR(B26*3.6/1000000/'E Balans VL '!Z12*100),0,B26*3.6/1000000/'E Balans VL '!Z12*100)</f>
        <v>0.12026278809169749</v>
      </c>
      <c r="D26" s="235" t="s">
        <v>692</v>
      </c>
      <c r="F26" s="6"/>
    </row>
    <row r="27" spans="1:18">
      <c r="A27" s="229" t="s">
        <v>52</v>
      </c>
      <c r="B27" s="33">
        <f>IF(ISERROR(TER_horeca_ele_kWh/1000),0,TER_horeca_ele_kWh/1000)</f>
        <v>1971.6172860000001</v>
      </c>
      <c r="C27" s="39">
        <f>IF(ISERROR(B27*3.6/1000000/'E Balans VL '!Z9*100),0,B27*3.6/1000000/'E Balans VL '!Z9*100)</f>
        <v>0.14848024722045711</v>
      </c>
      <c r="D27" s="235" t="s">
        <v>692</v>
      </c>
      <c r="F27" s="6"/>
    </row>
    <row r="28" spans="1:18">
      <c r="A28" s="169" t="s">
        <v>51</v>
      </c>
      <c r="B28" s="33">
        <f>IF(ISERROR(TER_handel_ele_kWh/1000),0,TER_handel_ele_kWh/1000)</f>
        <v>6890.4758279999996</v>
      </c>
      <c r="C28" s="39">
        <f>IF(ISERROR(B28*3.6/1000000/'E Balans VL '!Z13*100),0,B28*3.6/1000000/'E Balans VL '!Z13*100)</f>
        <v>0.20000609842608991</v>
      </c>
      <c r="D28" s="235" t="s">
        <v>692</v>
      </c>
      <c r="F28" s="6"/>
    </row>
    <row r="29" spans="1:18">
      <c r="A29" s="229" t="s">
        <v>50</v>
      </c>
      <c r="B29" s="33">
        <f>IF(ISERROR(TER_gezond_ele_kWh/1000),0,TER_gezond_ele_kWh/1000)</f>
        <v>8344.0443350000005</v>
      </c>
      <c r="C29" s="39">
        <f>IF(ISERROR(B29*3.6/1000000/'E Balans VL '!Z10*100),0,B29*3.6/1000000/'E Balans VL '!Z10*100)</f>
        <v>0.84150682186290193</v>
      </c>
      <c r="D29" s="235" t="s">
        <v>692</v>
      </c>
      <c r="F29" s="6"/>
    </row>
    <row r="30" spans="1:18">
      <c r="A30" s="229" t="s">
        <v>49</v>
      </c>
      <c r="B30" s="33">
        <f>IF(ISERROR(TER_ander_ele_kWh/1000),0,TER_ander_ele_kWh/1000)</f>
        <v>3381.6967209999998</v>
      </c>
      <c r="C30" s="39">
        <f>IF(ISERROR(B30*3.6/1000000/'E Balans VL '!Z14*100),0,B30*3.6/1000000/'E Balans VL '!Z14*100)</f>
        <v>0.24538823191087494</v>
      </c>
      <c r="D30" s="235" t="s">
        <v>692</v>
      </c>
      <c r="F30" s="6"/>
    </row>
    <row r="31" spans="1:18">
      <c r="A31" s="229" t="s">
        <v>54</v>
      </c>
      <c r="B31" s="33">
        <f>IF(ISERROR(TER_onderwijs_ele_kWh/1000),0,TER_onderwijs_ele_kWh/1000)</f>
        <v>526.25555000000008</v>
      </c>
      <c r="C31" s="39">
        <f>IF(ISERROR(B31*3.6/1000000/'E Balans VL '!Z11*100),0,B31*3.6/1000000/'E Balans VL '!Z11*100)</f>
        <v>0.15000426187386029</v>
      </c>
      <c r="D31" s="235" t="s">
        <v>692</v>
      </c>
    </row>
    <row r="32" spans="1:18">
      <c r="A32" s="229" t="s">
        <v>248</v>
      </c>
      <c r="B32" s="33">
        <f>IF(ISERROR(TER_rest_ele_kWh/1000),0,TER_rest_ele_kWh/1000)</f>
        <v>0</v>
      </c>
      <c r="C32" s="39">
        <f>IF(ISERROR(B32*3.6/1000000/'E Balans VL '!Z8*100),0,B32*3.6/1000000/'E Balans VL '!Z8*100)</f>
        <v>0</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0</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3</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70744.056219999999</v>
      </c>
      <c r="C5" s="17">
        <f>IF(ISERROR('Eigen informatie GS &amp; warmtenet'!B61),0,'Eigen informatie GS &amp; warmtenet'!B61)</f>
        <v>0</v>
      </c>
      <c r="D5" s="30">
        <f>SUM(D6:D15)</f>
        <v>117700.37270725801</v>
      </c>
      <c r="E5" s="17">
        <f>SUM(E6:E15)</f>
        <v>6183.162974891663</v>
      </c>
      <c r="F5" s="17">
        <f>SUM(F6:F15)</f>
        <v>21634.976450395425</v>
      </c>
      <c r="G5" s="18"/>
      <c r="H5" s="17"/>
      <c r="I5" s="17"/>
      <c r="J5" s="17">
        <f>SUM(J6:J15)</f>
        <v>628.76385838282135</v>
      </c>
      <c r="K5" s="17"/>
      <c r="L5" s="17"/>
      <c r="M5" s="17"/>
      <c r="N5" s="17">
        <f>SUM(N6:N15)</f>
        <v>2189.8126840169507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40819.430569999997</v>
      </c>
      <c r="C8" s="33"/>
      <c r="D8" s="37">
        <f>IF( ISERROR(IND_metaal_Gas_kWH/1000),0,IND_metaal_Gas_kWH/1000)*0.902</f>
        <v>49148.723160416004</v>
      </c>
      <c r="E8" s="33">
        <f>C30*'E Balans VL '!I18/100/3.6*1000000</f>
        <v>294.48354180858252</v>
      </c>
      <c r="F8" s="33">
        <f>C30*'E Balans VL '!L18/100/3.6*1000000+C30*'E Balans VL '!N18/100/3.6*1000000</f>
        <v>3860.7654743461126</v>
      </c>
      <c r="G8" s="34"/>
      <c r="H8" s="33"/>
      <c r="I8" s="33"/>
      <c r="J8" s="40">
        <f>C30*'E Balans VL '!D18/100/3.6*1000000+C30*'E Balans VL '!E18/100/3.6*1000000</f>
        <v>41.056420477104076</v>
      </c>
      <c r="K8" s="33"/>
      <c r="L8" s="33"/>
      <c r="M8" s="33"/>
      <c r="N8" s="33">
        <f>C30*'E Balans VL '!Y18/100/3.6*1000000</f>
        <v>516.06559995587327</v>
      </c>
      <c r="O8" s="33"/>
      <c r="P8" s="33"/>
      <c r="R8" s="32"/>
    </row>
    <row r="9" spans="1:18">
      <c r="A9" s="6" t="s">
        <v>32</v>
      </c>
      <c r="B9" s="37">
        <f t="shared" si="0"/>
        <v>20756.142649999998</v>
      </c>
      <c r="C9" s="33"/>
      <c r="D9" s="37">
        <f>IF( ISERROR(IND_andere_gas_kWh/1000),0,IND_andere_gas_kWh/1000)*0.902</f>
        <v>10973.093088144</v>
      </c>
      <c r="E9" s="33">
        <f>C31*'E Balans VL '!I19/100/3.6*1000000</f>
        <v>5751.8046727136107</v>
      </c>
      <c r="F9" s="33">
        <f>C31*'E Balans VL '!L19/100/3.6*1000000+C31*'E Balans VL '!N19/100/3.6*1000000</f>
        <v>17202.735882689951</v>
      </c>
      <c r="G9" s="34"/>
      <c r="H9" s="33"/>
      <c r="I9" s="33"/>
      <c r="J9" s="40">
        <f>C31*'E Balans VL '!D19/100/3.6*1000000+C31*'E Balans VL '!E19/100/3.6*1000000</f>
        <v>0</v>
      </c>
      <c r="K9" s="33"/>
      <c r="L9" s="33"/>
      <c r="M9" s="33"/>
      <c r="N9" s="33">
        <f>C31*'E Balans VL '!Y19/100/3.6*1000000</f>
        <v>1506.6420812813114</v>
      </c>
      <c r="O9" s="33"/>
      <c r="P9" s="33"/>
      <c r="R9" s="32"/>
    </row>
    <row r="10" spans="1:18">
      <c r="A10" s="6" t="s">
        <v>40</v>
      </c>
      <c r="B10" s="37">
        <f t="shared" si="0"/>
        <v>257.61099999999999</v>
      </c>
      <c r="C10" s="33"/>
      <c r="D10" s="37">
        <f>IF( ISERROR(IND_voed_gas_kWh/1000),0,IND_voed_gas_kWh/1000)*0.902</f>
        <v>258.32468200000005</v>
      </c>
      <c r="E10" s="33">
        <f>C32*'E Balans VL '!I20/100/3.6*1000000</f>
        <v>0.45605872844008838</v>
      </c>
      <c r="F10" s="33">
        <f>C32*'E Balans VL '!L20/100/3.6*1000000+C32*'E Balans VL '!N20/100/3.6*1000000</f>
        <v>13.913277185812484</v>
      </c>
      <c r="G10" s="34"/>
      <c r="H10" s="33"/>
      <c r="I10" s="33"/>
      <c r="J10" s="40">
        <f>C32*'E Balans VL '!D20/100/3.6*1000000+C32*'E Balans VL '!E20/100/3.6*1000000</f>
        <v>0</v>
      </c>
      <c r="K10" s="33"/>
      <c r="L10" s="33"/>
      <c r="M10" s="33"/>
      <c r="N10" s="33">
        <f>C32*'E Balans VL '!Y20/100/3.6*1000000</f>
        <v>14.969166499722547</v>
      </c>
      <c r="O10" s="33"/>
      <c r="P10" s="33"/>
      <c r="R10" s="32"/>
    </row>
    <row r="11" spans="1:18">
      <c r="A11" s="6" t="s">
        <v>39</v>
      </c>
      <c r="B11" s="37">
        <f t="shared" si="0"/>
        <v>1094.8510000000001</v>
      </c>
      <c r="C11" s="33"/>
      <c r="D11" s="37">
        <f>IF( ISERROR(IND_textiel_gas_kWh/1000),0,IND_textiel_gas_kWh/1000)*0.902</f>
        <v>3144.5627342140001</v>
      </c>
      <c r="E11" s="33">
        <f>C33*'E Balans VL '!I21/100/3.6*1000000</f>
        <v>3.8594634150268061</v>
      </c>
      <c r="F11" s="33">
        <f>C33*'E Balans VL '!L21/100/3.6*1000000+C33*'E Balans VL '!N21/100/3.6*1000000</f>
        <v>32.135514047859289</v>
      </c>
      <c r="G11" s="34"/>
      <c r="H11" s="33"/>
      <c r="I11" s="33"/>
      <c r="J11" s="40">
        <f>C33*'E Balans VL '!D21/100/3.6*1000000+C33*'E Balans VL '!E21/100/3.6*1000000</f>
        <v>0</v>
      </c>
      <c r="K11" s="33"/>
      <c r="L11" s="33"/>
      <c r="M11" s="33"/>
      <c r="N11" s="33">
        <f>C33*'E Balans VL '!Y21/100/3.6*1000000</f>
        <v>48.238978336155995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5172.1859999999997</v>
      </c>
      <c r="C13" s="33"/>
      <c r="D13" s="37">
        <f>IF( ISERROR(IND_papier_gas_kWh/1000),0,IND_papier_gas_kWh/1000)*0.902</f>
        <v>0</v>
      </c>
      <c r="E13" s="33">
        <f>C35*'E Balans VL '!I23/100/3.6*1000000</f>
        <v>7.610061632139419</v>
      </c>
      <c r="F13" s="33">
        <f>C35*'E Balans VL '!L23/100/3.6*1000000+C35*'E Balans VL '!N23/100/3.6*1000000</f>
        <v>55.380180919517095</v>
      </c>
      <c r="G13" s="34"/>
      <c r="H13" s="33"/>
      <c r="I13" s="33"/>
      <c r="J13" s="40">
        <f>C35*'E Balans VL '!D23/100/3.6*1000000+C35*'E Balans VL '!E23/100/3.6*1000000</f>
        <v>565.86615250132763</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2643.835</v>
      </c>
      <c r="C15" s="33"/>
      <c r="D15" s="37">
        <f>IF( ISERROR(IND_rest_gas_kWh/1000),0,IND_rest_gas_kWh/1000)*0.902</f>
        <v>54175.669042484005</v>
      </c>
      <c r="E15" s="33">
        <f>C37*'E Balans VL '!I15/100/3.6*1000000</f>
        <v>124.94917659386354</v>
      </c>
      <c r="F15" s="33">
        <f>C37*'E Balans VL '!L15/100/3.6*1000000+C37*'E Balans VL '!N15/100/3.6*1000000</f>
        <v>470.04612120617185</v>
      </c>
      <c r="G15" s="34"/>
      <c r="H15" s="33"/>
      <c r="I15" s="33"/>
      <c r="J15" s="40">
        <f>C37*'E Balans VL '!D15/100/3.6*1000000+C37*'E Balans VL '!E15/100/3.6*1000000</f>
        <v>21.841285404389591</v>
      </c>
      <c r="K15" s="33"/>
      <c r="L15" s="33"/>
      <c r="M15" s="33"/>
      <c r="N15" s="33">
        <f>C37*'E Balans VL '!Y15/100/3.6*1000000</f>
        <v>103.89685794388757</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70744.056219999999</v>
      </c>
      <c r="C18" s="21">
        <f>C5+C16</f>
        <v>0</v>
      </c>
      <c r="D18" s="21">
        <f>MAX((D5+D16),0)</f>
        <v>117700.37270725801</v>
      </c>
      <c r="E18" s="21">
        <f>MAX((E5+E16),0)</f>
        <v>6183.162974891663</v>
      </c>
      <c r="F18" s="21">
        <f>MAX((F5+F16),0)</f>
        <v>21634.976450395425</v>
      </c>
      <c r="G18" s="21"/>
      <c r="H18" s="21"/>
      <c r="I18" s="21"/>
      <c r="J18" s="21">
        <f>MAX((J5+J16),0)</f>
        <v>628.76385838282135</v>
      </c>
      <c r="K18" s="21"/>
      <c r="L18" s="21">
        <f>MAX((L5+L16),0)</f>
        <v>0</v>
      </c>
      <c r="M18" s="21"/>
      <c r="N18" s="21">
        <f>MAX((N5+N16),0)</f>
        <v>2189.8126840169507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0.18682043520442418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13216.43537114665</v>
      </c>
      <c r="C22" s="23">
        <f ca="1">C18*C20</f>
        <v>0</v>
      </c>
      <c r="D22" s="23">
        <f>D18*D20</f>
        <v>23775.47528686612</v>
      </c>
      <c r="E22" s="23">
        <f>E18*E20</f>
        <v>1403.5779953004076</v>
      </c>
      <c r="F22" s="23">
        <f>F18*F20</f>
        <v>5776.5387122555785</v>
      </c>
      <c r="G22" s="23"/>
      <c r="H22" s="23"/>
      <c r="I22" s="23"/>
      <c r="J22" s="23">
        <f>J18*J20</f>
        <v>222.58240586751876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40819.430569999997</v>
      </c>
      <c r="C30" s="39">
        <f>IF(ISERROR(B30*3.6/1000000/'E Balans VL '!Z18*100),0,B30*3.6/1000000/'E Balans VL '!Z18*100)</f>
        <v>2.3564420343028094</v>
      </c>
      <c r="D30" s="235" t="s">
        <v>692</v>
      </c>
    </row>
    <row r="31" spans="1:18">
      <c r="A31" s="6" t="s">
        <v>32</v>
      </c>
      <c r="B31" s="37">
        <f>IF( ISERROR(IND_ander_ele_kWh/1000),0,IND_ander_ele_kWh/1000)</f>
        <v>20756.142649999998</v>
      </c>
      <c r="C31" s="39">
        <f>IF(ISERROR(B31*3.6/1000000/'E Balans VL '!Z19*100),0,B31*3.6/1000000/'E Balans VL '!Z19*100)</f>
        <v>1.0439666968636863</v>
      </c>
      <c r="D31" s="235" t="s">
        <v>692</v>
      </c>
    </row>
    <row r="32" spans="1:18">
      <c r="A32" s="169" t="s">
        <v>40</v>
      </c>
      <c r="B32" s="37">
        <f>IF( ISERROR(IND_voed_ele_kWh/1000),0,IND_voed_ele_kWh/1000)</f>
        <v>257.61099999999999</v>
      </c>
      <c r="C32" s="39">
        <f>IF(ISERROR(B32*3.6/1000000/'E Balans VL '!Z20*100),0,B32*3.6/1000000/'E Balans VL '!Z20*100)</f>
        <v>8.5799760580275181E-3</v>
      </c>
      <c r="D32" s="235" t="s">
        <v>692</v>
      </c>
    </row>
    <row r="33" spans="1:5">
      <c r="A33" s="169" t="s">
        <v>39</v>
      </c>
      <c r="B33" s="37">
        <f>IF( ISERROR(IND_textiel_ele_kWh/1000),0,IND_textiel_ele_kWh/1000)</f>
        <v>1094.8510000000001</v>
      </c>
      <c r="C33" s="39">
        <f>IF(ISERROR(B33*3.6/1000000/'E Balans VL '!Z21*100),0,B33*3.6/1000000/'E Balans VL '!Z21*100)</f>
        <v>0.17070120554113255</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5172.1859999999997</v>
      </c>
      <c r="C35" s="39">
        <f>IF(ISERROR(B35*3.6/1000000/'E Balans VL '!Z22*100),0,B35*3.6/1000000/'E Balans VL '!Z22*100)</f>
        <v>0.96478738660739027</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2643.835</v>
      </c>
      <c r="C37" s="39">
        <f>IF(ISERROR(B37*3.6/1000000/'E Balans VL '!Z15*100),0,B37*3.6/1000000/'E Balans VL '!Z15*100)</f>
        <v>2.0629142913660435E-2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758.64700000000005</v>
      </c>
      <c r="C5" s="17">
        <f>'Eigen informatie GS &amp; warmtenet'!B62</f>
        <v>0</v>
      </c>
      <c r="D5" s="30">
        <f>IF(ISERROR(SUM(LB_lb_gas_kWh,LB_rest_gas_kWh)/1000),0,SUM(LB_lb_gas_kWh,LB_rest_gas_kWh)/1000)*0.902</f>
        <v>611.71655599999997</v>
      </c>
      <c r="E5" s="17">
        <f>B17*'E Balans VL '!I25/3.6*1000000/100</f>
        <v>23.677122699082457</v>
      </c>
      <c r="F5" s="17">
        <f>B17*('E Balans VL '!L25/3.6*1000000+'E Balans VL '!N25/3.6*1000000)/100</f>
        <v>2681.1425386475803</v>
      </c>
      <c r="G5" s="18"/>
      <c r="H5" s="17"/>
      <c r="I5" s="17"/>
      <c r="J5" s="17">
        <f>('E Balans VL '!D25+'E Balans VL '!E25)/3.6*1000000*landbouw!B17/100</f>
        <v>209.01250967083644</v>
      </c>
      <c r="K5" s="17"/>
      <c r="L5" s="17">
        <f>L6*(-1)</f>
        <v>0</v>
      </c>
      <c r="M5" s="17"/>
      <c r="N5" s="17">
        <f>N6*(-1)</f>
        <v>124.71428571428569</v>
      </c>
      <c r="O5" s="17"/>
      <c r="P5" s="17"/>
      <c r="R5" s="32"/>
    </row>
    <row r="6" spans="1:18">
      <c r="A6" s="16" t="s">
        <v>465</v>
      </c>
      <c r="B6" s="17" t="s">
        <v>204</v>
      </c>
      <c r="C6" s="17">
        <f>'lokale energieproductie'!O39+'lokale energieproductie'!O32</f>
        <v>62.357142857142847</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758.64700000000005</v>
      </c>
      <c r="C8" s="21">
        <f>C5+C6</f>
        <v>62.357142857142847</v>
      </c>
      <c r="D8" s="21">
        <f>MAX((D5+D6),0)</f>
        <v>611.71655599999997</v>
      </c>
      <c r="E8" s="21">
        <f>MAX((E5+E6),0)</f>
        <v>23.677122699082457</v>
      </c>
      <c r="F8" s="21">
        <f>MAX((F5+F6),0)</f>
        <v>2681.1425386475803</v>
      </c>
      <c r="G8" s="21"/>
      <c r="H8" s="21"/>
      <c r="I8" s="21"/>
      <c r="J8" s="21">
        <f>MAX((J5+J6),0)</f>
        <v>209.01250967083644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0.18682043520442418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141.73076270653081</v>
      </c>
      <c r="C12" s="23">
        <f ca="1">C8*C10</f>
        <v>0</v>
      </c>
      <c r="D12" s="23">
        <f>D8*D10</f>
        <v>123.566744312</v>
      </c>
      <c r="E12" s="23">
        <f>E8*E10</f>
        <v>5.3747068526917179</v>
      </c>
      <c r="F12" s="23">
        <f>F8*F10</f>
        <v>715.86505781890401</v>
      </c>
      <c r="G12" s="23"/>
      <c r="H12" s="23"/>
      <c r="I12" s="23"/>
      <c r="J12" s="23">
        <f>J8*J10</f>
        <v>73.990428423476089</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0.11277831504684227</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216.31046816604376</v>
      </c>
      <c r="C26" s="245">
        <f>B26*'GWP N2O_CH4'!B5</f>
        <v>4542.5198314869194</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50.648578508014559</v>
      </c>
      <c r="C27" s="245">
        <f>B27*'GWP N2O_CH4'!B5</f>
        <v>1063.6201486683058</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3.8118585443829569</v>
      </c>
      <c r="C28" s="245">
        <f>B28*'GWP N2O_CH4'!B4</f>
        <v>1181.6761487587166</v>
      </c>
      <c r="D28" s="50"/>
    </row>
    <row r="29" spans="1:4">
      <c r="A29" s="41" t="s">
        <v>265</v>
      </c>
      <c r="B29" s="245">
        <f>B34*'ha_N2O bodem landbouw'!B4</f>
        <v>7.7948857514790033</v>
      </c>
      <c r="C29" s="245">
        <f>B29*'GWP N2O_CH4'!B4</f>
        <v>2416.4145829584909</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1.7092781015369937E-3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3.7822167394117292E-4</v>
      </c>
      <c r="C5" s="431" t="s">
        <v>204</v>
      </c>
      <c r="D5" s="416">
        <f>SUM(D6:D11)</f>
        <v>6.7912808971436265E-4</v>
      </c>
      <c r="E5" s="416">
        <f>SUM(E6:E11)</f>
        <v>5.8749446521632676E-4</v>
      </c>
      <c r="F5" s="429" t="s">
        <v>204</v>
      </c>
      <c r="G5" s="416">
        <f>SUM(G6:G11)</f>
        <v>0.2745273958308746</v>
      </c>
      <c r="H5" s="416">
        <f>SUM(H6:H11)</f>
        <v>6.0312803398489774E-2</v>
      </c>
      <c r="I5" s="431" t="s">
        <v>204</v>
      </c>
      <c r="J5" s="431" t="s">
        <v>204</v>
      </c>
      <c r="K5" s="431" t="s">
        <v>204</v>
      </c>
      <c r="L5" s="431" t="s">
        <v>204</v>
      </c>
      <c r="M5" s="416">
        <f>SUM(M6:M11)</f>
        <v>1.9817576020358791E-2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2.8005627625730798E-4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4.7276222575002382E-4</v>
      </c>
      <c r="E6" s="882">
        <f>vkm_GW_PW*SUMIFS(TableVerdeelsleutelVkm[LPG],TableVerdeelsleutelVkm[Voertuigtype],"Lichte voertuigen")*SUMIFS(TableECFTransport[EnergieConsumptieFactor (PJ per km)],TableECFTransport[Index],CONCATENATE($A6,"_LPG_LPG"))</f>
        <v>4.1426850455608032E-4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0.12940943501825633</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4.2170470641082404E-2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1.025152935823067E-2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2.1923533823012126E-6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8.3675997834356197E-2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1.16312319419543E-6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4.8232836564962222E-3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9.5739753455604805E-5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2.0636586396433887E-4</v>
      </c>
      <c r="E8" s="419">
        <f>vkm_NGW_PW*SUMIFS(TableVerdeelsleutelVkm[LPG],TableVerdeelsleutelVkm[Voertuigtype],"Lichte voertuigen")*SUMIFS(TableECFTransport[EnergieConsumptieFactor (PJ per km)],TableECFTransport[Index],CONCATENATE($A8,"_LPG_LPG"))</f>
        <v>1.7322596066024644E-4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4.9995106602509526E-2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1.8141020241538897E-2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4.0829396053787314E-3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2.3329084595897652E-7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1.1446856375752573E-2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1.4939267427968816E-7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6.598234002531682E-4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105.06157609477026</v>
      </c>
      <c r="C14" s="21"/>
      <c r="D14" s="21">
        <f t="shared" ref="D14:M14" si="0">((D5)*10^9/3600)+D12</f>
        <v>188.64669158732295</v>
      </c>
      <c r="E14" s="21">
        <f t="shared" si="0"/>
        <v>163.19290700453521</v>
      </c>
      <c r="F14" s="21"/>
      <c r="G14" s="21">
        <f t="shared" si="0"/>
        <v>76257.609953020728</v>
      </c>
      <c r="H14" s="21">
        <f t="shared" si="0"/>
        <v>16753.556499580493</v>
      </c>
      <c r="I14" s="21"/>
      <c r="J14" s="21"/>
      <c r="K14" s="21"/>
      <c r="L14" s="21"/>
      <c r="M14" s="21">
        <f t="shared" si="0"/>
        <v>5504.8822278774414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0.18682043520442418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19.627649369287706</v>
      </c>
      <c r="C18" s="23"/>
      <c r="D18" s="23">
        <f t="shared" ref="D18:M18" si="1">D14*D16</f>
        <v>38.106631700639241</v>
      </c>
      <c r="E18" s="23">
        <f t="shared" si="1"/>
        <v>37.044789890029492</v>
      </c>
      <c r="F18" s="23"/>
      <c r="G18" s="23">
        <f t="shared" si="1"/>
        <v>20360.781857456535</v>
      </c>
      <c r="H18" s="23">
        <f t="shared" si="1"/>
        <v>4171.6355683955426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9.408092919828042E-5</v>
      </c>
      <c r="C50" s="315">
        <f t="shared" ref="C50:P50" si="2">SUM(C51:C52)</f>
        <v>0</v>
      </c>
      <c r="D50" s="315">
        <f t="shared" si="2"/>
        <v>0</v>
      </c>
      <c r="E50" s="315">
        <f t="shared" si="2"/>
        <v>0</v>
      </c>
      <c r="F50" s="315">
        <f t="shared" si="2"/>
        <v>0</v>
      </c>
      <c r="G50" s="315">
        <f t="shared" si="2"/>
        <v>6.8163050182680372E-3</v>
      </c>
      <c r="H50" s="315">
        <f t="shared" si="2"/>
        <v>0</v>
      </c>
      <c r="I50" s="315">
        <f t="shared" si="2"/>
        <v>0</v>
      </c>
      <c r="J50" s="315">
        <f t="shared" si="2"/>
        <v>0</v>
      </c>
      <c r="K50" s="315">
        <f t="shared" si="2"/>
        <v>0</v>
      </c>
      <c r="L50" s="315">
        <f t="shared" si="2"/>
        <v>0</v>
      </c>
      <c r="M50" s="315">
        <f t="shared" si="2"/>
        <v>3.855505107967233E-4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9.408092919828042E-5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6.8163050182680372E-3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3.855505107967233E-4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26.133591443966782</v>
      </c>
      <c r="C54" s="21">
        <f t="shared" ref="C54:P54" si="3">(C50)*10^9/3600</f>
        <v>0</v>
      </c>
      <c r="D54" s="21">
        <f t="shared" si="3"/>
        <v>0</v>
      </c>
      <c r="E54" s="21">
        <f t="shared" si="3"/>
        <v>0</v>
      </c>
      <c r="F54" s="21">
        <f t="shared" si="3"/>
        <v>0</v>
      </c>
      <c r="G54" s="21">
        <f t="shared" si="3"/>
        <v>1893.4180606300104</v>
      </c>
      <c r="H54" s="21">
        <f t="shared" si="3"/>
        <v>0</v>
      </c>
      <c r="I54" s="21">
        <f t="shared" si="3"/>
        <v>0</v>
      </c>
      <c r="J54" s="21">
        <f t="shared" si="3"/>
        <v>0</v>
      </c>
      <c r="K54" s="21">
        <f t="shared" si="3"/>
        <v>0</v>
      </c>
      <c r="L54" s="21">
        <f t="shared" si="3"/>
        <v>0</v>
      </c>
      <c r="M54" s="21">
        <f t="shared" si="3"/>
        <v>107.09736411020091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0.18682043520442418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4.8822889270164902</v>
      </c>
      <c r="C58" s="23">
        <f t="shared" ref="C58:P58" ca="1" si="4">C54*C56</f>
        <v>0</v>
      </c>
      <c r="D58" s="23">
        <f t="shared" si="4"/>
        <v>0</v>
      </c>
      <c r="E58" s="23">
        <f t="shared" si="4"/>
        <v>0</v>
      </c>
      <c r="F58" s="23">
        <f t="shared" si="4"/>
        <v>0</v>
      </c>
      <c r="G58" s="23">
        <f t="shared" si="4"/>
        <v>505.54262218821282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19385.227937630967</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43.649999999999991</v>
      </c>
      <c r="C8" s="541">
        <f>B48</f>
        <v>0</v>
      </c>
      <c r="D8" s="542"/>
      <c r="E8" s="542">
        <f>E48</f>
        <v>0</v>
      </c>
      <c r="F8" s="543"/>
      <c r="G8" s="544"/>
      <c r="H8" s="542">
        <f>I48</f>
        <v>0</v>
      </c>
      <c r="I8" s="542">
        <f>G48+F48</f>
        <v>0</v>
      </c>
      <c r="J8" s="542">
        <f>H48+D48+C48</f>
        <v>51.35294117647058</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19428.877937630969</v>
      </c>
      <c r="C10" s="556">
        <f t="shared" ref="C10:L10" si="0">SUM(C8:C9)</f>
        <v>0</v>
      </c>
      <c r="D10" s="556">
        <f t="shared" si="0"/>
        <v>0</v>
      </c>
      <c r="E10" s="556">
        <f t="shared" si="0"/>
        <v>0</v>
      </c>
      <c r="F10" s="556">
        <f t="shared" si="0"/>
        <v>0</v>
      </c>
      <c r="G10" s="556">
        <f t="shared" si="0"/>
        <v>0</v>
      </c>
      <c r="H10" s="556">
        <f t="shared" si="0"/>
        <v>0</v>
      </c>
      <c r="I10" s="556">
        <f t="shared" si="0"/>
        <v>0</v>
      </c>
      <c r="J10" s="556">
        <f t="shared" si="0"/>
        <v>51.35294117647058</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62.357142857142847</v>
      </c>
      <c r="C17" s="572">
        <f>B49</f>
        <v>0</v>
      </c>
      <c r="D17" s="573"/>
      <c r="E17" s="573">
        <f>E49</f>
        <v>0</v>
      </c>
      <c r="F17" s="574"/>
      <c r="G17" s="575"/>
      <c r="H17" s="572">
        <f>I49</f>
        <v>0</v>
      </c>
      <c r="I17" s="573">
        <f>G49+F49</f>
        <v>0</v>
      </c>
      <c r="J17" s="573">
        <f>H49+D49+C49</f>
        <v>73.361344537815114</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62.357142857142847</v>
      </c>
      <c r="C20" s="555">
        <f>SUM(C17:C19)</f>
        <v>0</v>
      </c>
      <c r="D20" s="555">
        <f t="shared" ref="D20:L20" si="1">SUM(D17:D19)</f>
        <v>0</v>
      </c>
      <c r="E20" s="555">
        <f t="shared" si="1"/>
        <v>0</v>
      </c>
      <c r="F20" s="555">
        <f t="shared" si="1"/>
        <v>0</v>
      </c>
      <c r="G20" s="555">
        <f t="shared" si="1"/>
        <v>0</v>
      </c>
      <c r="H20" s="555">
        <f t="shared" si="1"/>
        <v>0</v>
      </c>
      <c r="I20" s="555">
        <f t="shared" si="1"/>
        <v>0</v>
      </c>
      <c r="J20" s="555">
        <f t="shared" si="1"/>
        <v>73.361344537815114</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72029</v>
      </c>
      <c r="C28" s="783">
        <v>3900</v>
      </c>
      <c r="D28" s="633"/>
      <c r="E28" s="632"/>
      <c r="F28" s="632"/>
      <c r="G28" s="632" t="s">
        <v>900</v>
      </c>
      <c r="H28" s="632" t="s">
        <v>901</v>
      </c>
      <c r="I28" s="632"/>
      <c r="J28" s="782"/>
      <c r="K28" s="782"/>
      <c r="L28" s="632" t="s">
        <v>902</v>
      </c>
      <c r="M28" s="632">
        <v>9.6999999999999993</v>
      </c>
      <c r="N28" s="632">
        <v>43.649999999999991</v>
      </c>
      <c r="O28" s="632">
        <v>62.357142857142847</v>
      </c>
      <c r="P28" s="632">
        <v>0</v>
      </c>
      <c r="Q28" s="632">
        <v>124.71428571428569</v>
      </c>
      <c r="R28" s="632">
        <v>0</v>
      </c>
      <c r="S28" s="632">
        <v>0</v>
      </c>
      <c r="T28" s="632">
        <v>0</v>
      </c>
      <c r="U28" s="632">
        <v>0</v>
      </c>
      <c r="V28" s="632">
        <v>0</v>
      </c>
      <c r="W28" s="632">
        <v>0</v>
      </c>
      <c r="X28" s="632">
        <v>10</v>
      </c>
      <c r="Y28" s="632" t="s">
        <v>105</v>
      </c>
      <c r="Z28" s="634" t="s">
        <v>105</v>
      </c>
    </row>
    <row r="29" spans="1:26" s="566" customFormat="1" hidden="1">
      <c r="A29" s="588" t="s">
        <v>268</v>
      </c>
      <c r="B29" s="589"/>
      <c r="C29" s="589"/>
      <c r="D29" s="589"/>
      <c r="E29" s="589"/>
      <c r="F29" s="589"/>
      <c r="G29" s="589"/>
      <c r="H29" s="589"/>
      <c r="I29" s="589"/>
      <c r="J29" s="589"/>
      <c r="K29" s="589"/>
      <c r="L29" s="590"/>
      <c r="M29" s="590">
        <f>SUM(M28:M28)</f>
        <v>9.6999999999999993</v>
      </c>
      <c r="N29" s="590">
        <f>SUM(N28:N28)</f>
        <v>43.649999999999991</v>
      </c>
      <c r="O29" s="590">
        <f>SUM(O28:O28)</f>
        <v>62.357142857142847</v>
      </c>
      <c r="P29" s="590">
        <f>SUM(P28:P28)</f>
        <v>0</v>
      </c>
      <c r="Q29" s="590">
        <f>SUM(Q28:Q28)</f>
        <v>124.71428571428569</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9.6999999999999993</v>
      </c>
      <c r="N32" s="595">
        <f>SUMIF($Z$28:$Z$28,"landbouw",N28:N28)</f>
        <v>43.649999999999991</v>
      </c>
      <c r="O32" s="595">
        <f>SUMIF($Z$28:$Z$28,"landbouw",O28:O28)</f>
        <v>62.357142857142847</v>
      </c>
      <c r="P32" s="595">
        <f>SUMIF($Z$28:$Z$28,"landbouw",P28:P28)</f>
        <v>0</v>
      </c>
      <c r="Q32" s="595">
        <f>SUMIF($Z$28:$Z$28,"landbouw",Q28:Q28)</f>
        <v>124.71428571428569</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0.58823529411764708</v>
      </c>
      <c r="C45" s="615">
        <f>IF(ISERROR(N29/(O29+N29)),0,N29/(N29+O29))</f>
        <v>0.41176470588235292</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51.35294117647058</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73.361344537815114</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2021-11-11T12:43:27Z</dcterms:modified>
</cp:coreProperties>
</file>