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D7507F5-6B43-488D-9F40-8BF9CB336C9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<sst xmlns="http://schemas.openxmlformats.org/spreadsheetml/2006/main" count="2472" uniqueCount="900">
  <si>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</si>
  <si>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</si>
  <si>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</si>
  <si>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</si>
  <si>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</si>
  <si>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</si>
  <si>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</si>
  <si>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</si>
  <si>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</si>
  <si>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</si>
  <si>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</si>
  <si>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</si>
  <si>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</si>
  <si>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</si>
  <si>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</si>
  <si>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</si>
  <si>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</si>
  <si>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</si>
  <si>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</si>
  <si>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</si>
  <si>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</si>
  <si>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</si>
  <si>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</si>
  <si>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</si>
  <si>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</si>
  <si>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</si>
  <si>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</si>
  <si>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</si>
  <si>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</si>
  <si>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</si>
  <si>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</si>
  <si>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</si>
  <si>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</si>
  <si>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</si>
  <si>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</si>
  <si>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</si>
  <si>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</si>
  <si>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</si>
  <si>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</si>
  <si>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</si>
  <si>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</si>
  <si>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</si>
  <si>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</si>
  <si>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</si>
  <si>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</si>
  <si>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</si>
  <si>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</si>
  <si>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</si>
  <si>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</si>
  <si>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</si>
  <si>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</si>
  <si>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</si>
  <si>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</si>
  <si>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</si>
  <si>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</si>
  <si>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</si>
  <si>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</si>
  <si>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</si>
  <si>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</si>
  <si>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</si>
  <si>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</si>
  <si>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</si>
  <si>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</si>
  <si>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</si>
  <si>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</si>
  <si>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</si>
  <si>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</si>
  <si>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</si>
  <si>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</si>
  <si>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</si>
  <si>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</si>
  <si>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</si>
  <si>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</si>
  <si>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</si>
  <si>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</si>
  <si>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</si>
  <si>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</si>
  <si>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</si>
  <si>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</si>
  <si>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</si>
  <si>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</si>
  <si>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</si>
  <si>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</si>
  <si>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</si>
  <si>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</si>
  <si>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</si>
  <si>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</si>
  <si>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</si>
  <si>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</si>
  <si>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</si>
  <si>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</si>
  <si>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</si>
  <si>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</si>
  <si>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</si>
  <si>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</si>
  <si>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</si>
  <si>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</si>
  <si>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</si>
  <si>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</si>
  <si>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</si>
  <si>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</si>
  <si>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</si>
  <si>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</si>
  <si>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</si>
  <si>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</si>
  <si>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</si>
  <si>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</si>
  <si>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</si>
  <si>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</si>
  <si>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</si>
  <si>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</si>
  <si>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</si>
  <si>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</si>
  <si>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</si>
  <si>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</si>
  <si>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</si>
  <si>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</si>
  <si>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</si>
  <si>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</si>
  <si>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</si>
  <si>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</si>
  <si>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</si>
  <si>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</si>
  <si>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</si>
  <si>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</si>
  <si>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</si>
  <si>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</si>
  <si>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</si>
  <si>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</si>
  <si>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</si>
  <si>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</si>
  <si>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</si>
  <si>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</si>
  <si>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</si>
  <si>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</si>
  <si>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</si>
  <si>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</si>
  <si>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</si>
  <si>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</si>
  <si>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</si>
  <si>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</si>
  <si>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</si>
  <si>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</si>
  <si>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</si>
  <si>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</si>
  <si>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</si>
  <si>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</si>
  <si>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</si>
  <si>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</si>
  <si>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</si>
  <si>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</si>
  <si>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</si>
  <si>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</si>
  <si>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</si>
  <si>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</si>
  <si>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</si>
  <si>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</si>
  <si>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</si>
  <si>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</si>
  <si>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</si>
  <si>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</si>
  <si>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</si>
  <si>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</si>
  <si>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</si>
  <si>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</si>
  <si>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</si>
  <si>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</si>
  <si>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</si>
  <si>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</si>
  <si>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</si>
  <si>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</si>
  <si>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</si>
  <si>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</si>
  <si>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</si>
  <si>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</si>
  <si>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</si>
  <si>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</si>
  <si>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</si>
  <si>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</si>
  <si>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</si>
  <si>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</si>
  <si>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</si>
  <si>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</si>
  <si>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</si>
  <si>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</si>
  <si>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</si>
  <si>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</si>
  <si>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</si>
  <si>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</si>
  <si>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</si>
  <si>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</si>
  <si>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</si>
  <si>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</si>
  <si>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</si>
  <si>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</si>
  <si>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</si>
  <si>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</si>
  <si>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</si>
  <si>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</si>
  <si>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</si>
  <si>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</si>
  <si>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</si>
  <si>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</si>
  <si>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</si>
  <si>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</si>
  <si>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</si>
  <si>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</si>
  <si>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</si>
  <si>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</si>
  <si>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</si>
  <si>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</si>
  <si>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</si>
  <si>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</si>
  <si>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</si>
  <si>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</si>
  <si>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</si>
  <si>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</si>
  <si>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</si>
  <si>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</si>
  <si>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</si>
  <si>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</si>
  <si>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</si>
  <si>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</si>
  <si>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</si>
  <si>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</si>
  <si>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</si>
  <si>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</si>
  <si>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</si>
  <si>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</si>
  <si>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</si>
  <si>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</si>
  <si>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</si>
  <si>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</si>
  <si>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</si>
  <si>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</si>
  <si>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</si>
  <si>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</si>
  <si>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</si>
  <si>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</si>
  <si>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</si>
  <si>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</si>
  <si>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</si>
  <si>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</si>
  <si>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</si>
  <si>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</si>
  <si>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</si>
  <si>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</si>
  <si>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</si>
  <si>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</si>
  <si>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</si>
  <si>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</si>
  <si>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</si>
  <si>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</si>
  <si>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</si>
  <si>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</si>
  <si>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</si>
  <si>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</si>
  <si>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</si>
  <si>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</si>
  <si>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</si>
  <si>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</si>
  <si>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</si>
  <si>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</si>
  <si>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</si>
  <si>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</si>
  <si>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</si>
  <si>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</si>
  <si>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</si>
  <si>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</si>
  <si>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</si>
  <si>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</si>
  <si>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</si>
  <si>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</si>
  <si>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</si>
  <si>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</si>
  <si>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</si>
  <si>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</si>
  <si>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</si>
  <si>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</si>
  <si>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</si>
  <si>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</si>
  <si>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</si>
  <si>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</si>
  <si>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</si>
  <si>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</si>
  <si>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</si>
  <si>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</si>
  <si>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</si>
  <si>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</si>
  <si>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</si>
  <si>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</si>
  <si>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</si>
  <si>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</si>
  <si>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</si>
  <si>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</si>
  <si>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</si>
  <si>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</si>
  <si>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</si>
  <si>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</si>
  <si>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</si>
  <si>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</si>
  <si>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</si>
  <si>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</si>
  <si>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</si>
  <si>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</si>
  <si>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</si>
  <si>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</si>
  <si>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</si>
  <si>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</si>
  <si>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</si>
  <si>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</si>
  <si>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</si>
  <si>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</si>
  <si>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</si>
  <si>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</si>
  <si>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</si>
  <si>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</si>
  <si>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</si>
  <si>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</si>
  <si>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</si>
  <si>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</si>
  <si>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</si>
  <si>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</si>
  <si>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</si>
  <si>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</si>
  <si>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</si>
  <si>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</si>
  <si>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</si>
  <si>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</si>
  <si>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</si>
  <si>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</si>
  <si>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</si>
  <si>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</si>
  <si>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</si>
  <si>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</si>
  <si>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</si>
  <si>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</si>
  <si>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</si>
  <si>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</si>
  <si>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</si>
  <si>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</si>
  <si>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</si>
  <si>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</si>
  <si>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</si>
  <si>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</si>
  <si>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</si>
  <si>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</si>
  <si>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</si>
  <si>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</si>
  <si>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</si>
  <si>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</si>
  <si>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</si>
  <si>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</si>
  <si>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</si>
  <si>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</si>
  <si>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</si>
  <si>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</si>
  <si>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</si>
  <si>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</si>
  <si>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</si>
  <si>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</si>
  <si>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</si>
  <si>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</si>
  <si>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</si>
  <si>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</si>
  <si>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</si>
  <si>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</si>
  <si>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</si>
  <si>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</si>
  <si>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</si>
  <si>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</si>
  <si>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</si>
  <si>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</si>
  <si>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</si>
  <si>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</si>
  <si>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</si>
  <si>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</si>
  <si>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</si>
  <si>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</si>
  <si>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</si>
  <si>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</si>
  <si>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</si>
  <si>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</si>
  <si>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</si>
  <si>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</si>
  <si>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</si>
  <si>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</si>
  <si>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</si>
  <si>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</si>
  <si>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</si>
  <si>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</si>
  <si>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</si>
  <si>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</si>
  <si>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</si>
  <si>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</si>
  <si>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</si>
  <si>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</si>
  <si>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</si>
  <si>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</si>
  <si>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</si>
  <si>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</si>
  <si>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</si>
  <si>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</si>
  <si>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</si>
  <si>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</si>
  <si>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</si>
  <si>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</si>
  <si>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</si>
  <si>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</si>
  <si>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</si>
  <si>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</si>
  <si>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</si>
  <si>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</si>
  <si>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</si>
  <si>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</si>
  <si>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</si>
  <si>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</si>
  <si>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</si>
  <si>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</si>
  <si>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</si>
  <si>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</si>
  <si>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</si>
  <si>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</si>
  <si>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</si>
  <si>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</si>
  <si>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</si>
  <si>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</si>
  <si>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</si>
  <si>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</si>
  <si>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</si>
  <si>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</si>
  <si>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</si>
  <si>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</si>
  <si>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</si>
  <si>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</si>
  <si>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</si>
  <si>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</si>
  <si>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</si>
  <si>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</si>
  <si>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</si>
  <si>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</si>
  <si>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</si>
  <si>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</si>
  <si>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</si>
  <si>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</si>
  <si>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</si>
  <si>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</si>
  <si>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</si>
  <si>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</si>
  <si>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</si>
  <si>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</si>
  <si>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</si>
  <si>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</si>
  <si>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</si>
  <si>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</si>
  <si>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</si>
  <si>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</si>
  <si>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</si>
  <si>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</si>
  <si>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</si>
  <si>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</si>
  <si>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</si>
  <si>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</si>
  <si>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</si>
  <si>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</si>
  <si>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</si>
  <si>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</si>
  <si>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</si>
  <si>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</si>
  <si>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</si>
  <si>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</si>
  <si>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</si>
  <si>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</si>
  <si>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</si>
  <si>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</si>
  <si>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</si>
  <si>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</si>
  <si>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</si>
  <si>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</si>
  <si>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</si>
  <si>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</si>
  <si>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</si>
  <si>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</si>
  <si>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</si>
  <si>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</si>
  <si>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</si>
  <si>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</si>
  <si>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</si>
  <si>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</si>
  <si>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</si>
  <si>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</si>
  <si>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</si>
  <si>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</si>
  <si>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</si>
  <si>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</si>
  <si>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</si>
  <si>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</si>
  <si>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</si>
  <si>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</si>
  <si>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</si>
  <si>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</si>
  <si>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</si>
  <si>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</si>
  <si>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</si>
  <si>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</si>
  <si>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</si>
  <si>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</si>
  <si>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</si>
  <si>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</si>
  <si>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</si>
  <si>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</si>
  <si>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</si>
  <si>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</si>
  <si>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</si>
  <si>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</si>
  <si>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</si>
  <si>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</si>
  <si>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</si>
  <si>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</si>
  <si>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</si>
  <si>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</si>
  <si>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</si>
  <si>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</si>
  <si>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</si>
  <si>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</si>
  <si>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</si>
  <si>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</si>
  <si>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</si>
  <si>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</si>
  <si>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</si>
  <si>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</si>
  <si>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</si>
  <si>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</si>
  <si>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</si>
  <si>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</si>
  <si>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</si>
  <si>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</si>
  <si>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</si>
  <si>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</si>
  <si>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</si>
  <si>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</si>
  <si>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</si>
  <si>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</si>
  <si>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</si>
  <si>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</si>
  <si>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</si>
  <si>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</si>
  <si>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</si>
  <si>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</si>
  <si>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</si>
  <si>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</si>
  <si>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</si>
  <si>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</si>
  <si>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</si>
  <si>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</si>
  <si>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</si>
  <si>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</si>
  <si>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</si>
  <si>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</si>
  <si>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</si>
  <si>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</si>
  <si>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</si>
  <si>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</si>
  <si>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</si>
  <si>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</si>
  <si>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</si>
  <si>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</si>
  <si>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</si>
  <si>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</si>
  <si>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</si>
  <si>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</si>
  <si>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</si>
  <si>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</si>
  <si>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</si>
  <si>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</si>
  <si>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</si>
  <si>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</si>
  <si>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</si>
  <si>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</si>
  <si>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</si>
  <si>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</si>
  <si>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</si>
  <si>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</si>
  <si>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</si>
  <si>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</si>
  <si>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</si>
  <si>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</si>
  <si>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</si>
  <si>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</si>
  <si>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</si>
  <si>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</si>
  <si>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</si>
  <si>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</si>
  <si>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</si>
  <si>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</si>
  <si>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</si>
  <si>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</si>
  <si>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</si>
  <si>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</si>
  <si>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</si>
  <si>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</si>
  <si>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</si>
  <si>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</si>
  <si>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</si>
  <si>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</si>
  <si>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</si>
  <si>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</si>
  <si>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</si>
  <si>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</si>
  <si>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</si>
  <si>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</si>
  <si>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</si>
  <si>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</si>
  <si>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</si>
  <si>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</si>
  <si>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</si>
  <si>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</si>
  <si>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</si>
  <si>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</si>
  <si>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</si>
  <si>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</si>
  <si>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</si>
  <si>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</si>
  <si>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</si>
  <si>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</si>
  <si>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</si>
  <si>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</si>
  <si>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</si>
  <si>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</si>
  <si>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</si>
  <si>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</si>
  <si>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</si>
  <si>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</si>
  <si>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</si>
  <si>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</si>
  <si>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</si>
  <si>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</si>
  <si>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</si>
  <si>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</si>
  <si>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</si>
  <si>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</si>
  <si>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</si>
  <si>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</si>
  <si>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</si>
  <si>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</si>
  <si>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</si>
  <si>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</si>
  <si>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</si>
  <si>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</si>
  <si>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</si>
  <si>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</si>
  <si>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</si>
  <si>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</si>
  <si>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</si>
  <si>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</si>
  <si>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</si>
  <si>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</si>
  <si>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</si>
  <si>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</si>
  <si>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</si>
  <si>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</si>
  <si>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</si>
  <si>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</si>
  <si>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</si>
  <si>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</si>
  <si>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</si>
  <si>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</si>
  <si>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</si>
  <si>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</si>
  <si>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</si>
  <si>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</si>
  <si>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</si>
  <si>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</si>
  <si>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</si>
  <si>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</si>
  <si>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</si>
  <si>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</si>
  <si>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</si>
  <si>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</si>
  <si>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</si>
  <si>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</si>
  <si>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</si>
  <si>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</si>
  <si>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</si>
  <si>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</si>
  <si>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</si>
  <si>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</si>
  <si>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</si>
  <si>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</si>
  <si>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</si>
  <si>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</si>
  <si>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</si>
  <si>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</si>
  <si>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</si>
  <si>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</si>
  <si>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</si>
  <si>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</si>
  <si>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</si>
  <si>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</si>
  <si>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</si>
  <si>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</si>
  <si>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</si>
  <si>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</si>
  <si>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</si>
  <si>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</si>
  <si>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</si>
  <si>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</si>
  <si>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</si>
  <si>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</si>
  <si>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</si>
  <si>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</si>
  <si>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</si>
  <si>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</si>
  <si>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</si>
  <si>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</si>
  <si>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</si>
  <si>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</si>
  <si>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</si>
  <si>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</si>
  <si>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</si>
  <si>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</si>
  <si>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</si>
  <si>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</si>
  <si>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</si>
  <si>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</si>
  <si>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</si>
  <si>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</si>
  <si>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</si>
  <si>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</si>
  <si>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</si>
  <si>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</si>
  <si>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</si>
  <si>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</si>
  <si>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</si>
  <si>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</si>
  <si>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</si>
  <si>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</si>
  <si>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</si>
  <si>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</si>
  <si>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</si>
  <si>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</si>
  <si>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</si>
  <si>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</si>
  <si>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</si>
  <si>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</si>
  <si>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</si>
  <si>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</si>
  <si>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</si>
  <si>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</si>
  <si>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</si>
  <si>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</si>
  <si>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</si>
  <si>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</si>
  <si>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</si>
  <si>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</si>
  <si>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</si>
  <si>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</si>
  <si>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</si>
  <si>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</si>
  <si>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</si>
  <si>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</si>
  <si>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</si>
  <si>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</si>
  <si>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</si>
  <si>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</si>
  <si>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</si>
  <si>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</si>
  <si>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</si>
  <si>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</si>
  <si>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</si>
  <si>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</si>
  <si>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</si>
  <si>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</si>
  <si>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</si>
  <si>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</si>
  <si>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</si>
  <si>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</si>
  <si>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</si>
  <si>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</si>
  <si>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</si>
  <si>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</si>
  <si>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</si>
  <si>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</si>
  <si>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</si>
  <si>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</si>
  <si>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</si>
  <si>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</si>
  <si>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</si>
  <si>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</si>
  <si>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</si>
  <si>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</si>
  <si>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</si>
  <si>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</si>
  <si>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</si>
  <si>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</si>
  <si>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</si>
  <si>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</si>
  <si>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</si>
  <si>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</si>
  <si>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</si>
  <si>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</si>
  <si>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</si>
  <si>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</si>
  <si>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</si>
  <si>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</si>
  <si>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</si>
  <si>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</si>
  <si>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</si>
  <si>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</si>
  <si>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</si>
  <si>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</si>
  <si>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</si>
  <si>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</si>
  <si>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</si>
  <si>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</si>
  <si>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</si>
  <si>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</si>
  <si>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</si>
  <si>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</si>
  <si>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</si>
  <si>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</si>
  <si>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</si>
  <si>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</si>
  <si>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</si>
  <si>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</si>
  <si>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</si>
  <si>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</si>
  <si>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</si>
  <si>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</si>
  <si>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</si>
  <si>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</si>
  <si>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</si>
  <si>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</si>
  <si>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</si>
  <si>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</si>
  <si>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</si>
  <si>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</si>
  <si>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</si>
  <si>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</si>
  <si>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</si>
  <si>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</si>
  <si>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</si>
  <si>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</si>
  <si>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</si>
  <si>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</si>
  <si>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</si>
  <si>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</si>
  <si>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</si>
  <si>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</si>
  <si>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</si>
  <si>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</si>
  <si>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</si>
  <si>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</si>
  <si>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</si>
  <si>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</si>
  <si>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</si>
  <si>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</si>
  <si>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</si>
  <si>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</si>
  <si>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</si>
  <si>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</si>
  <si>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</si>
  <si>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</si>
  <si>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</si>
  <si>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</si>
  <si>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</si>
  <si>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</si>
  <si>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</si>
  <si>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</si>
  <si>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</si>
  <si>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</si>
  <si>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</si>
  <si>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</si>
  <si>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</si>
  <si>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</si>
  <si>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</si>
  <si>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</si>
  <si>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</si>
  <si>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</si>
  <si>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</si>
  <si>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</si>
  <si>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</si>
  <si>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</si>
  <si>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</si>
  <si>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</si>
  <si>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</si>
  <si>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</si>
  <si>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</si>
  <si>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</si>
  <si>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</si>
  <si>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</si>
  <si>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</si>
  <si>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</si>
  <si>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</si>
  <si>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</si>
  <si>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</si>
  <si>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</si>
  <si>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44040</t>
  </si>
  <si>
    <t>MELLE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</si>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</sst>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57746CD-9CC4-4D73-930C-5848B7E7819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98472.844496868274</c:v>
                </c:pt>
                <c:pt idx="1">
                  <c:v>42998.650607075921</c:v>
                </c:pt>
                <c:pt idx="2">
                  <c:v>871.26599999999996</c:v>
                </c:pt>
                <c:pt idx="3">
                  <c:v>1834.3374477043117</c:v>
                </c:pt>
                <c:pt idx="4">
                  <c:v>16183.760238391704</c:v>
                </c:pt>
                <c:pt idx="5">
                  <c:v>234375.46088081028</c:v>
                </c:pt>
                <c:pt idx="6">
                  <c:v>1401.7354682752461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98472.844496868274</c:v>
                </c:pt>
                <c:pt idx="1">
                  <c:v>42998.650607075921</c:v>
                </c:pt>
                <c:pt idx="2">
                  <c:v>871.26599999999996</c:v>
                </c:pt>
                <c:pt idx="3">
                  <c:v>1834.3374477043117</c:v>
                </c:pt>
                <c:pt idx="4">
                  <c:v>16183.760238391704</c:v>
                </c:pt>
                <c:pt idx="5">
                  <c:v>234375.46088081028</c:v>
                </c:pt>
                <c:pt idx="6">
                  <c:v>1401.7354682752461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18427.706864634911</c:v>
                </c:pt>
                <c:pt idx="1">
                  <c:v>7718.3448087627257</c:v>
                </c:pt>
                <c:pt idx="2">
                  <c:v>119.85578014209629</c:v>
                </c:pt>
                <c:pt idx="3">
                  <c:v>409.86693642561107</c:v>
                </c:pt>
                <c:pt idx="4">
                  <c:v>2938.430574961681</c:v>
                </c:pt>
                <c:pt idx="5">
                  <c:v>58387.52318171323</c:v>
                </c:pt>
                <c:pt idx="6">
                  <c:v>311.257226159038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18427.706864634911</c:v>
                </c:pt>
                <c:pt idx="1">
                  <c:v>7718.3448087627257</c:v>
                </c:pt>
                <c:pt idx="2">
                  <c:v>119.85578014209629</c:v>
                </c:pt>
                <c:pt idx="3">
                  <c:v>409.86693642561107</c:v>
                </c:pt>
                <c:pt idx="4">
                  <c:v>2938.430574961681</c:v>
                </c:pt>
                <c:pt idx="5">
                  <c:v>58387.52318171323</c:v>
                </c:pt>
                <c:pt idx="6">
                  <c:v>311.257226159038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44040</v>
      </c>
      <c r="B6" s="384"/>
      <c r="C6" s="385"/>
    </row>
    <row r="7" spans="1:7" s="382" customFormat="1" ht="15.75" customHeight="1">
      <c r="A7" s="386" t="str">
        <f>txtMunicipality</f>
        <v>MELLE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14977.315877999999</v>
      </c>
      <c r="D10" s="679">
        <f ca="1">tertiair!C16</f>
        <v>0</v>
      </c>
      <c r="E10" s="679">
        <f ca="1">tertiair!D16</f>
        <v>26236.425766452005</v>
      </c>
      <c r="F10" s="679">
        <f>tertiair!E16</f>
        <v>198.32254802499048</v>
      </c>
      <c r="G10" s="679">
        <f ca="1">tertiair!F16</f>
        <v>1621.9503283269812</v>
      </c>
      <c r="H10" s="679">
        <f>tertiair!G16</f>
        <v>0</v>
      </c>
      <c r="I10" s="679">
        <f>tertiair!H16</f>
        <v>0</v>
      </c>
      <c r="J10" s="679">
        <f>tertiair!I16</f>
        <v>0</v>
      </c>
      <c r="K10" s="679">
        <f>tertiair!J16</f>
        <v>1.9539295907603775E-2</v>
      </c>
      <c r="L10" s="679">
        <f>tertiair!K16</f>
        <v>0</v>
      </c>
      <c r="M10" s="679">
        <f ca="1">tertiair!L16</f>
        <v>0</v>
      </c>
      <c r="N10" s="679">
        <f>tertiair!M16</f>
        <v>0</v>
      </c>
      <c r="O10" s="679">
        <f ca="1">tertiair!N16</f>
        <v>773.54888713786841</v>
      </c>
      <c r="P10" s="679">
        <f>tertiair!O16</f>
        <v>9.7945215316823084</v>
      </c>
      <c r="Q10" s="680">
        <f>tertiair!P16</f>
        <v>52.539138306495019</v>
      </c>
      <c r="R10" s="682">
        <f ca="1">SUM(C10:Q10)</f>
        <v>43869.916607075924</v>
      </c>
      <c r="S10" s="67"/>
    </row>
    <row r="11" spans="1:19" s="442" customFormat="1">
      <c r="A11" s="800" t="s">
        <v>213</v>
      </c>
      <c r="B11" s="805"/>
      <c r="C11" s="679">
        <f>huishoudens!B8</f>
        <v>20145.583458508201</v>
      </c>
      <c r="D11" s="679">
        <f>huishoudens!C8</f>
        <v>0</v>
      </c>
      <c r="E11" s="679">
        <f>huishoudens!D8</f>
        <v>52489.520662480005</v>
      </c>
      <c r="F11" s="679">
        <f>huishoudens!E8</f>
        <v>1109.6351717051039</v>
      </c>
      <c r="G11" s="679">
        <f>huishoudens!F8</f>
        <v>17888.797896672331</v>
      </c>
      <c r="H11" s="679">
        <f>huishoudens!G8</f>
        <v>0</v>
      </c>
      <c r="I11" s="679">
        <f>huishoudens!H8</f>
        <v>0</v>
      </c>
      <c r="J11" s="679">
        <f>huishoudens!I8</f>
        <v>0</v>
      </c>
      <c r="K11" s="679">
        <f>huishoudens!J8</f>
        <v>71.464958913074355</v>
      </c>
      <c r="L11" s="679">
        <f>huishoudens!K8</f>
        <v>0</v>
      </c>
      <c r="M11" s="679">
        <f>huishoudens!L8</f>
        <v>0</v>
      </c>
      <c r="N11" s="679">
        <f>huishoudens!M8</f>
        <v>0</v>
      </c>
      <c r="O11" s="679">
        <f>huishoudens!N8</f>
        <v>6173.4552504340782</v>
      </c>
      <c r="P11" s="679">
        <f>huishoudens!O8</f>
        <v>267.83435961724928</v>
      </c>
      <c r="Q11" s="680">
        <f>huishoudens!P8</f>
        <v>326.5527385382357</v>
      </c>
      <c r="R11" s="682">
        <f>SUM(C11:Q11)</f>
        <v>98472.844496868274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5822.790712</v>
      </c>
      <c r="D13" s="679">
        <f>industrie!C18</f>
        <v>0</v>
      </c>
      <c r="E13" s="679">
        <f>industrie!D18</f>
        <v>8040.5285603719994</v>
      </c>
      <c r="F13" s="679">
        <f>industrie!E18</f>
        <v>444.00731602569283</v>
      </c>
      <c r="G13" s="679">
        <f>industrie!F18</f>
        <v>1532.2694940150889</v>
      </c>
      <c r="H13" s="679">
        <f>industrie!G18</f>
        <v>0</v>
      </c>
      <c r="I13" s="679">
        <f>industrie!H18</f>
        <v>0</v>
      </c>
      <c r="J13" s="679">
        <f>industrie!I18</f>
        <v>0</v>
      </c>
      <c r="K13" s="679">
        <f>industrie!J18</f>
        <v>9.3940648299420282</v>
      </c>
      <c r="L13" s="679">
        <f>industrie!K18</f>
        <v>0</v>
      </c>
      <c r="M13" s="679">
        <f>industrie!L18</f>
        <v>0</v>
      </c>
      <c r="N13" s="679">
        <f>industrie!M18</f>
        <v>0</v>
      </c>
      <c r="O13" s="679">
        <f>industrie!N18</f>
        <v>334.77009114898266</v>
      </c>
      <c r="P13" s="679">
        <f>industrie!O18</f>
        <v>0</v>
      </c>
      <c r="Q13" s="680">
        <f>industrie!P18</f>
        <v>0</v>
      </c>
      <c r="R13" s="682">
        <f>SUM(C13:Q13)</f>
        <v>16183.760238391704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40945.690048508201</v>
      </c>
      <c r="D16" s="715">
        <f t="shared" ref="D16:R16" ca="1" si="0">SUM(D9:D15)</f>
        <v>0</v>
      </c>
      <c r="E16" s="715">
        <f t="shared" ca="1" si="0"/>
        <v>86766.474989304013</v>
      </c>
      <c r="F16" s="715">
        <f t="shared" si="0"/>
        <v>1751.9650357557871</v>
      </c>
      <c r="G16" s="715">
        <f t="shared" ca="1" si="0"/>
        <v>21043.017719014402</v>
      </c>
      <c r="H16" s="715">
        <f t="shared" si="0"/>
        <v>0</v>
      </c>
      <c r="I16" s="715">
        <f t="shared" si="0"/>
        <v>0</v>
      </c>
      <c r="J16" s="715">
        <f t="shared" si="0"/>
        <v>0</v>
      </c>
      <c r="K16" s="715">
        <f t="shared" si="0"/>
        <v>80.878563038923986</v>
      </c>
      <c r="L16" s="715">
        <f t="shared" si="0"/>
        <v>0</v>
      </c>
      <c r="M16" s="715">
        <f t="shared" ca="1" si="0"/>
        <v>0</v>
      </c>
      <c r="N16" s="715">
        <f t="shared" si="0"/>
        <v>0</v>
      </c>
      <c r="O16" s="715">
        <f t="shared" ca="1" si="0"/>
        <v>7281.7742287209294</v>
      </c>
      <c r="P16" s="715">
        <f t="shared" si="0"/>
        <v>277.62888114893161</v>
      </c>
      <c r="Q16" s="715">
        <f t="shared" si="0"/>
        <v>379.09187684473073</v>
      </c>
      <c r="R16" s="715">
        <f t="shared" ca="1" si="0"/>
        <v>158526.52134233591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373.19425029266728</v>
      </c>
      <c r="D19" s="679">
        <f>transport!C54</f>
        <v>0</v>
      </c>
      <c r="E19" s="679">
        <f>transport!D54</f>
        <v>0</v>
      </c>
      <c r="F19" s="679">
        <f>transport!E54</f>
        <v>0</v>
      </c>
      <c r="G19" s="679">
        <f>transport!F54</f>
        <v>0</v>
      </c>
      <c r="H19" s="679">
        <f>transport!G54</f>
        <v>973.47838169430861</v>
      </c>
      <c r="I19" s="679">
        <f>transport!H54</f>
        <v>0</v>
      </c>
      <c r="J19" s="679">
        <f>transport!I54</f>
        <v>0</v>
      </c>
      <c r="K19" s="679">
        <f>transport!J54</f>
        <v>0</v>
      </c>
      <c r="L19" s="679">
        <f>transport!K54</f>
        <v>0</v>
      </c>
      <c r="M19" s="679">
        <f>transport!L54</f>
        <v>0</v>
      </c>
      <c r="N19" s="679">
        <f>transport!M54</f>
        <v>55.062836288270304</v>
      </c>
      <c r="O19" s="679">
        <f>transport!N54</f>
        <v>0</v>
      </c>
      <c r="P19" s="679">
        <f>transport!O54</f>
        <v>0</v>
      </c>
      <c r="Q19" s="680">
        <f>transport!P54</f>
        <v>0</v>
      </c>
      <c r="R19" s="682">
        <f>SUM(C19:Q19)</f>
        <v>1401.7354682752461</v>
      </c>
      <c r="S19" s="67"/>
    </row>
    <row r="20" spans="1:19" s="442" customFormat="1">
      <c r="A20" s="800" t="s">
        <v>295</v>
      </c>
      <c r="B20" s="805"/>
      <c r="C20" s="679">
        <f>transport!B14</f>
        <v>271.04508373781835</v>
      </c>
      <c r="D20" s="679">
        <f>transport!C14</f>
        <v>0</v>
      </c>
      <c r="E20" s="679">
        <f>transport!D14</f>
        <v>386.30906734767223</v>
      </c>
      <c r="F20" s="679">
        <f>transport!E14</f>
        <v>396.36823510693006</v>
      </c>
      <c r="G20" s="679">
        <f>transport!F14</f>
        <v>0</v>
      </c>
      <c r="H20" s="679">
        <f>transport!G14</f>
        <v>184633.56297923322</v>
      </c>
      <c r="I20" s="679">
        <f>transport!H14</f>
        <v>35682.993998699843</v>
      </c>
      <c r="J20" s="679">
        <f>transport!I14</f>
        <v>0</v>
      </c>
      <c r="K20" s="679">
        <f>transport!J14</f>
        <v>0</v>
      </c>
      <c r="L20" s="679">
        <f>transport!K14</f>
        <v>0</v>
      </c>
      <c r="M20" s="679">
        <f>transport!L14</f>
        <v>0</v>
      </c>
      <c r="N20" s="679">
        <f>transport!M14</f>
        <v>13005.181516684808</v>
      </c>
      <c r="O20" s="679">
        <f>transport!N14</f>
        <v>0</v>
      </c>
      <c r="P20" s="679">
        <f>transport!O14</f>
        <v>0</v>
      </c>
      <c r="Q20" s="680">
        <f>transport!P14</f>
        <v>0</v>
      </c>
      <c r="R20" s="682">
        <f>SUM(C20:Q20)</f>
        <v>234375.46088081028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644.23933403048568</v>
      </c>
      <c r="D22" s="803">
        <f t="shared" ref="D22:R22" si="1">SUM(D18:D21)</f>
        <v>0</v>
      </c>
      <c r="E22" s="803">
        <f t="shared" si="1"/>
        <v>386.30906734767223</v>
      </c>
      <c r="F22" s="803">
        <f t="shared" si="1"/>
        <v>396.36823510693006</v>
      </c>
      <c r="G22" s="803">
        <f t="shared" si="1"/>
        <v>0</v>
      </c>
      <c r="H22" s="803">
        <f t="shared" si="1"/>
        <v>185607.04136092751</v>
      </c>
      <c r="I22" s="803">
        <f t="shared" si="1"/>
        <v>35682.993998699843</v>
      </c>
      <c r="J22" s="803">
        <f t="shared" si="1"/>
        <v>0</v>
      </c>
      <c r="K22" s="803">
        <f t="shared" si="1"/>
        <v>0</v>
      </c>
      <c r="L22" s="803">
        <f t="shared" si="1"/>
        <v>0</v>
      </c>
      <c r="M22" s="803">
        <f t="shared" si="1"/>
        <v>0</v>
      </c>
      <c r="N22" s="803">
        <f t="shared" si="1"/>
        <v>13060.244352973079</v>
      </c>
      <c r="O22" s="803">
        <f t="shared" si="1"/>
        <v>0</v>
      </c>
      <c r="P22" s="803">
        <f t="shared" si="1"/>
        <v>0</v>
      </c>
      <c r="Q22" s="803">
        <f t="shared" si="1"/>
        <v>0</v>
      </c>
      <c r="R22" s="803">
        <f t="shared" si="1"/>
        <v>235777.19634908551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189.14519300000001</v>
      </c>
      <c r="D24" s="679">
        <f>+landbouw!C8</f>
        <v>0</v>
      </c>
      <c r="E24" s="679">
        <f>+landbouw!D8</f>
        <v>918.71821821999993</v>
      </c>
      <c r="F24" s="679">
        <f>+landbouw!E8</f>
        <v>5.9031591011400977</v>
      </c>
      <c r="G24" s="679">
        <f>+landbouw!F8</f>
        <v>668.46006500125407</v>
      </c>
      <c r="H24" s="679">
        <f>+landbouw!G8</f>
        <v>0</v>
      </c>
      <c r="I24" s="679">
        <f>+landbouw!H8</f>
        <v>0</v>
      </c>
      <c r="J24" s="679">
        <f>+landbouw!I8</f>
        <v>0</v>
      </c>
      <c r="K24" s="679">
        <f>+landbouw!J8</f>
        <v>52.110812381917704</v>
      </c>
      <c r="L24" s="679">
        <f>+landbouw!K8</f>
        <v>0</v>
      </c>
      <c r="M24" s="679">
        <f>+landbouw!L8</f>
        <v>0</v>
      </c>
      <c r="N24" s="679">
        <f>+landbouw!M8</f>
        <v>0</v>
      </c>
      <c r="O24" s="679">
        <f>+landbouw!N8</f>
        <v>0</v>
      </c>
      <c r="P24" s="679">
        <f>+landbouw!O8</f>
        <v>0</v>
      </c>
      <c r="Q24" s="680">
        <f>+landbouw!P8</f>
        <v>0</v>
      </c>
      <c r="R24" s="682">
        <f>SUM(C24:Q24)</f>
        <v>1834.3374477043117</v>
      </c>
      <c r="S24" s="67"/>
    </row>
    <row r="25" spans="1:19" s="442" customFormat="1" ht="15" thickBot="1">
      <c r="A25" s="822" t="s">
        <v>708</v>
      </c>
      <c r="B25" s="941"/>
      <c r="C25" s="942">
        <f>IF(Onbekend_ele_kWh="---",0,Onbekend_ele_kWh)/1000+IF(REST_rest_ele_kWh="---",0,REST_rest_ele_kWh)/1000</f>
        <v>641.69449100000008</v>
      </c>
      <c r="D25" s="942"/>
      <c r="E25" s="942">
        <f>IF(onbekend_gas_kWh="---",0,onbekend_gas_kWh)/1000+IF(REST_rest_gas_kWh="---",0,REST_rest_gas_kWh)/1000</f>
        <v>4488.4930109999996</v>
      </c>
      <c r="F25" s="942"/>
      <c r="G25" s="942"/>
      <c r="H25" s="942"/>
      <c r="I25" s="942"/>
      <c r="J25" s="942"/>
      <c r="K25" s="942"/>
      <c r="L25" s="942"/>
      <c r="M25" s="942"/>
      <c r="N25" s="942"/>
      <c r="O25" s="942"/>
      <c r="P25" s="942"/>
      <c r="Q25" s="943"/>
      <c r="R25" s="682">
        <f>SUM(C25:Q25)</f>
        <v>5130.1875019999998</v>
      </c>
      <c r="S25" s="67"/>
    </row>
    <row r="26" spans="1:19" s="442" customFormat="1" ht="15.75" thickBot="1">
      <c r="A26" s="687" t="s">
        <v>709</v>
      </c>
      <c r="B26" s="808"/>
      <c r="C26" s="803">
        <f>SUM(C24:C25)</f>
        <v>830.83968400000003</v>
      </c>
      <c r="D26" s="803">
        <f t="shared" ref="D26:R26" si="2">SUM(D24:D25)</f>
        <v>0</v>
      </c>
      <c r="E26" s="803">
        <f t="shared" si="2"/>
        <v>5407.21122922</v>
      </c>
      <c r="F26" s="803">
        <f t="shared" si="2"/>
        <v>5.9031591011400977</v>
      </c>
      <c r="G26" s="803">
        <f t="shared" si="2"/>
        <v>668.46006500125407</v>
      </c>
      <c r="H26" s="803">
        <f t="shared" si="2"/>
        <v>0</v>
      </c>
      <c r="I26" s="803">
        <f t="shared" si="2"/>
        <v>0</v>
      </c>
      <c r="J26" s="803">
        <f t="shared" si="2"/>
        <v>0</v>
      </c>
      <c r="K26" s="803">
        <f t="shared" si="2"/>
        <v>52.110812381917704</v>
      </c>
      <c r="L26" s="803">
        <f t="shared" si="2"/>
        <v>0</v>
      </c>
      <c r="M26" s="803">
        <f t="shared" si="2"/>
        <v>0</v>
      </c>
      <c r="N26" s="803">
        <f t="shared" si="2"/>
        <v>0</v>
      </c>
      <c r="O26" s="803">
        <f t="shared" si="2"/>
        <v>0</v>
      </c>
      <c r="P26" s="803">
        <f t="shared" si="2"/>
        <v>0</v>
      </c>
      <c r="Q26" s="803">
        <f t="shared" si="2"/>
        <v>0</v>
      </c>
      <c r="R26" s="803">
        <f t="shared" si="2"/>
        <v>6964.5249497043114</v>
      </c>
      <c r="S26" s="67"/>
    </row>
    <row r="27" spans="1:19" s="442" customFormat="1" ht="17.25" thickTop="1" thickBot="1">
      <c r="A27" s="688" t="s">
        <v>109</v>
      </c>
      <c r="B27" s="795"/>
      <c r="C27" s="689">
        <f ca="1">C22+C16+C26</f>
        <v>42420.769066538684</v>
      </c>
      <c r="D27" s="689">
        <f t="shared" ref="D27:R27" ca="1" si="3">D22+D16+D26</f>
        <v>0</v>
      </c>
      <c r="E27" s="689">
        <f t="shared" ca="1" si="3"/>
        <v>92559.995285871686</v>
      </c>
      <c r="F27" s="689">
        <f t="shared" si="3"/>
        <v>2154.2364299638575</v>
      </c>
      <c r="G27" s="689">
        <f t="shared" ca="1" si="3"/>
        <v>21711.477784015657</v>
      </c>
      <c r="H27" s="689">
        <f t="shared" si="3"/>
        <v>185607.04136092751</v>
      </c>
      <c r="I27" s="689">
        <f t="shared" si="3"/>
        <v>35682.993998699843</v>
      </c>
      <c r="J27" s="689">
        <f t="shared" si="3"/>
        <v>0</v>
      </c>
      <c r="K27" s="689">
        <f t="shared" si="3"/>
        <v>132.9893754208417</v>
      </c>
      <c r="L27" s="689">
        <f t="shared" si="3"/>
        <v>0</v>
      </c>
      <c r="M27" s="689">
        <f t="shared" ca="1" si="3"/>
        <v>0</v>
      </c>
      <c r="N27" s="689">
        <f t="shared" si="3"/>
        <v>13060.244352973079</v>
      </c>
      <c r="O27" s="689">
        <f t="shared" ca="1" si="3"/>
        <v>7281.7742287209294</v>
      </c>
      <c r="P27" s="689">
        <f t="shared" si="3"/>
        <v>277.62888114893161</v>
      </c>
      <c r="Q27" s="689">
        <f t="shared" si="3"/>
        <v>379.09187684473073</v>
      </c>
      <c r="R27" s="689">
        <f t="shared" ca="1" si="3"/>
        <v>401268.24264112569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2060.3557111057885</v>
      </c>
      <c r="D40" s="679">
        <f ca="1">tertiair!C20</f>
        <v>0</v>
      </c>
      <c r="E40" s="679">
        <f ca="1">tertiair!D20</f>
        <v>5299.7580048233049</v>
      </c>
      <c r="F40" s="679">
        <f>tertiair!E20</f>
        <v>45.019218401672838</v>
      </c>
      <c r="G40" s="679">
        <f ca="1">tertiair!F20</f>
        <v>433.060737663304</v>
      </c>
      <c r="H40" s="679">
        <f>tertiair!G20</f>
        <v>0</v>
      </c>
      <c r="I40" s="679">
        <f>tertiair!H20</f>
        <v>0</v>
      </c>
      <c r="J40" s="679">
        <f>tertiair!I20</f>
        <v>0</v>
      </c>
      <c r="K40" s="679">
        <f>tertiair!J20</f>
        <v>6.9169107512917364E-3</v>
      </c>
      <c r="L40" s="679">
        <f>tertiair!K20</f>
        <v>0</v>
      </c>
      <c r="M40" s="679">
        <f ca="1">tertiair!L20</f>
        <v>0</v>
      </c>
      <c r="N40" s="679">
        <f>tertiair!M20</f>
        <v>0</v>
      </c>
      <c r="O40" s="679">
        <f ca="1">tertiair!N20</f>
        <v>0</v>
      </c>
      <c r="P40" s="679">
        <f>tertiair!O20</f>
        <v>0</v>
      </c>
      <c r="Q40" s="762">
        <f>tertiair!P20</f>
        <v>0</v>
      </c>
      <c r="R40" s="841">
        <f t="shared" ca="1" si="4"/>
        <v>7838.2005889048223</v>
      </c>
    </row>
    <row r="41" spans="1:18">
      <c r="A41" s="813" t="s">
        <v>213</v>
      </c>
      <c r="B41" s="820"/>
      <c r="C41" s="679">
        <f ca="1">huishoudens!B12</f>
        <v>2771.3288729701503</v>
      </c>
      <c r="D41" s="679">
        <f ca="1">huishoudens!C12</f>
        <v>0</v>
      </c>
      <c r="E41" s="679">
        <f>huishoudens!D12</f>
        <v>10602.883173820961</v>
      </c>
      <c r="F41" s="679">
        <f>huishoudens!E12</f>
        <v>251.88718397705858</v>
      </c>
      <c r="G41" s="679">
        <f>huishoudens!F12</f>
        <v>4776.309038411513</v>
      </c>
      <c r="H41" s="679">
        <f>huishoudens!G12</f>
        <v>0</v>
      </c>
      <c r="I41" s="679">
        <f>huishoudens!H12</f>
        <v>0</v>
      </c>
      <c r="J41" s="679">
        <f>huishoudens!I12</f>
        <v>0</v>
      </c>
      <c r="K41" s="679">
        <f>huishoudens!J12</f>
        <v>25.29859545522832</v>
      </c>
      <c r="L41" s="679">
        <f>huishoudens!K12</f>
        <v>0</v>
      </c>
      <c r="M41" s="679">
        <f>huishoudens!L12</f>
        <v>0</v>
      </c>
      <c r="N41" s="679">
        <f>huishoudens!M12</f>
        <v>0</v>
      </c>
      <c r="O41" s="679">
        <f>huishoudens!N12</f>
        <v>0</v>
      </c>
      <c r="P41" s="679">
        <f>huishoudens!O12</f>
        <v>0</v>
      </c>
      <c r="Q41" s="762">
        <f>huishoudens!P12</f>
        <v>0</v>
      </c>
      <c r="R41" s="841">
        <f t="shared" ca="1" si="4"/>
        <v>18427.706864634911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801.01269117687639</v>
      </c>
      <c r="D43" s="679">
        <f ca="1">industrie!C22</f>
        <v>0</v>
      </c>
      <c r="E43" s="679">
        <f>industrie!D22</f>
        <v>1624.1867691951441</v>
      </c>
      <c r="F43" s="679">
        <f>industrie!E22</f>
        <v>100.78966073783228</v>
      </c>
      <c r="G43" s="679">
        <f>industrie!F22</f>
        <v>409.11595490202876</v>
      </c>
      <c r="H43" s="679">
        <f>industrie!G22</f>
        <v>0</v>
      </c>
      <c r="I43" s="679">
        <f>industrie!H22</f>
        <v>0</v>
      </c>
      <c r="J43" s="679">
        <f>industrie!I22</f>
        <v>0</v>
      </c>
      <c r="K43" s="679">
        <f>industrie!J22</f>
        <v>3.3254989497994778</v>
      </c>
      <c r="L43" s="679">
        <f>industrie!K22</f>
        <v>0</v>
      </c>
      <c r="M43" s="679">
        <f>industrie!L22</f>
        <v>0</v>
      </c>
      <c r="N43" s="679">
        <f>industrie!M22</f>
        <v>0</v>
      </c>
      <c r="O43" s="679">
        <f>industrie!N22</f>
        <v>0</v>
      </c>
      <c r="P43" s="679">
        <f>industrie!O22</f>
        <v>0</v>
      </c>
      <c r="Q43" s="762">
        <f>industrie!P22</f>
        <v>0</v>
      </c>
      <c r="R43" s="840">
        <f t="shared" ca="1" si="4"/>
        <v>2938.430574961681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5632.6972752528154</v>
      </c>
      <c r="D46" s="715">
        <f t="shared" ref="D46:Q46" ca="1" si="5">SUM(D39:D45)</f>
        <v>0</v>
      </c>
      <c r="E46" s="715">
        <f t="shared" ca="1" si="5"/>
        <v>17526.827947839411</v>
      </c>
      <c r="F46" s="715">
        <f t="shared" si="5"/>
        <v>397.69606311656366</v>
      </c>
      <c r="G46" s="715">
        <f t="shared" ca="1" si="5"/>
        <v>5618.4857309768458</v>
      </c>
      <c r="H46" s="715">
        <f t="shared" si="5"/>
        <v>0</v>
      </c>
      <c r="I46" s="715">
        <f t="shared" si="5"/>
        <v>0</v>
      </c>
      <c r="J46" s="715">
        <f t="shared" si="5"/>
        <v>0</v>
      </c>
      <c r="K46" s="715">
        <f t="shared" si="5"/>
        <v>28.631011315779091</v>
      </c>
      <c r="L46" s="715">
        <f t="shared" si="5"/>
        <v>0</v>
      </c>
      <c r="M46" s="715">
        <f t="shared" ca="1" si="5"/>
        <v>0</v>
      </c>
      <c r="N46" s="715">
        <f t="shared" si="5"/>
        <v>0</v>
      </c>
      <c r="O46" s="715">
        <f t="shared" ca="1" si="5"/>
        <v>0</v>
      </c>
      <c r="P46" s="715">
        <f t="shared" si="5"/>
        <v>0</v>
      </c>
      <c r="Q46" s="715">
        <f t="shared" si="5"/>
        <v>0</v>
      </c>
      <c r="R46" s="715">
        <f ca="1">SUM(R39:R45)</f>
        <v>29204.338028501414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51.338498246657608</v>
      </c>
      <c r="D49" s="679">
        <f ca="1">transport!C58</f>
        <v>0</v>
      </c>
      <c r="E49" s="679">
        <f>transport!D58</f>
        <v>0</v>
      </c>
      <c r="F49" s="679">
        <f>transport!E58</f>
        <v>0</v>
      </c>
      <c r="G49" s="679">
        <f>transport!F58</f>
        <v>0</v>
      </c>
      <c r="H49" s="679">
        <f>transport!G58</f>
        <v>259.9187279123804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311.257226159038</v>
      </c>
    </row>
    <row r="50" spans="1:18">
      <c r="A50" s="816" t="s">
        <v>295</v>
      </c>
      <c r="B50" s="826"/>
      <c r="C50" s="685">
        <f ca="1">transport!B18</f>
        <v>37.286339608197764</v>
      </c>
      <c r="D50" s="685">
        <f>transport!C18</f>
        <v>0</v>
      </c>
      <c r="E50" s="685">
        <f>transport!D18</f>
        <v>78.034431604229795</v>
      </c>
      <c r="F50" s="685">
        <f>transport!E18</f>
        <v>89.975589369273123</v>
      </c>
      <c r="G50" s="685">
        <f>transport!F18</f>
        <v>0</v>
      </c>
      <c r="H50" s="685">
        <f>transport!G18</f>
        <v>49297.161315455269</v>
      </c>
      <c r="I50" s="685">
        <f>transport!H18</f>
        <v>8885.0655056762607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58387.52318171323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88.624837854855372</v>
      </c>
      <c r="D52" s="715">
        <f t="shared" ref="D52:Q52" ca="1" si="6">SUM(D48:D51)</f>
        <v>0</v>
      </c>
      <c r="E52" s="715">
        <f t="shared" si="6"/>
        <v>78.034431604229795</v>
      </c>
      <c r="F52" s="715">
        <f t="shared" si="6"/>
        <v>89.975589369273123</v>
      </c>
      <c r="G52" s="715">
        <f t="shared" si="6"/>
        <v>0</v>
      </c>
      <c r="H52" s="715">
        <f t="shared" si="6"/>
        <v>49557.080043367649</v>
      </c>
      <c r="I52" s="715">
        <f t="shared" si="6"/>
        <v>8885.0655056762607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58698.780407872269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26.01977429067859</v>
      </c>
      <c r="D54" s="685">
        <f ca="1">+landbouw!C12</f>
        <v>0</v>
      </c>
      <c r="E54" s="685">
        <f>+landbouw!D12</f>
        <v>185.58108008043999</v>
      </c>
      <c r="F54" s="685">
        <f>+landbouw!E12</f>
        <v>1.3400171159588021</v>
      </c>
      <c r="G54" s="685">
        <f>+landbouw!F12</f>
        <v>178.47883735533483</v>
      </c>
      <c r="H54" s="685">
        <f>+landbouw!G12</f>
        <v>0</v>
      </c>
      <c r="I54" s="685">
        <f>+landbouw!H12</f>
        <v>0</v>
      </c>
      <c r="J54" s="685">
        <f>+landbouw!I12</f>
        <v>0</v>
      </c>
      <c r="K54" s="685">
        <f>+landbouw!J12</f>
        <v>18.447227583198867</v>
      </c>
      <c r="L54" s="685">
        <f>+landbouw!K12</f>
        <v>0</v>
      </c>
      <c r="M54" s="685">
        <f>+landbouw!L12</f>
        <v>0</v>
      </c>
      <c r="N54" s="685">
        <f>+landbouw!M12</f>
        <v>0</v>
      </c>
      <c r="O54" s="685">
        <f>+landbouw!N12</f>
        <v>0</v>
      </c>
      <c r="P54" s="685">
        <f>+landbouw!O12</f>
        <v>0</v>
      </c>
      <c r="Q54" s="686">
        <f>+landbouw!P12</f>
        <v>0</v>
      </c>
      <c r="R54" s="714">
        <f ca="1">SUM(C54:Q54)</f>
        <v>409.86693642561107</v>
      </c>
    </row>
    <row r="55" spans="1:18" ht="15" thickBot="1">
      <c r="A55" s="816" t="s">
        <v>708</v>
      </c>
      <c r="B55" s="826"/>
      <c r="C55" s="685">
        <f ca="1">C25*'EF ele_warmte'!B12</f>
        <v>88.274756310576109</v>
      </c>
      <c r="D55" s="685"/>
      <c r="E55" s="685">
        <f>E25*EF_CO2_aardgas</f>
        <v>906.67558822199999</v>
      </c>
      <c r="F55" s="685"/>
      <c r="G55" s="685"/>
      <c r="H55" s="685"/>
      <c r="I55" s="685"/>
      <c r="J55" s="685"/>
      <c r="K55" s="685"/>
      <c r="L55" s="685"/>
      <c r="M55" s="685"/>
      <c r="N55" s="685"/>
      <c r="O55" s="685"/>
      <c r="P55" s="685"/>
      <c r="Q55" s="686"/>
      <c r="R55" s="714">
        <f ca="1">SUM(C55:Q55)</f>
        <v>994.95034453257608</v>
      </c>
    </row>
    <row r="56" spans="1:18" ht="15.75" thickBot="1">
      <c r="A56" s="814" t="s">
        <v>709</v>
      </c>
      <c r="B56" s="827"/>
      <c r="C56" s="715">
        <f ca="1">SUM(C54:C55)</f>
        <v>114.29453060125471</v>
      </c>
      <c r="D56" s="715">
        <f t="shared" ref="D56:Q56" ca="1" si="7">SUM(D54:D55)</f>
        <v>0</v>
      </c>
      <c r="E56" s="715">
        <f t="shared" si="7"/>
        <v>1092.2566683024399</v>
      </c>
      <c r="F56" s="715">
        <f t="shared" si="7"/>
        <v>1.3400171159588021</v>
      </c>
      <c r="G56" s="715">
        <f t="shared" si="7"/>
        <v>178.47883735533483</v>
      </c>
      <c r="H56" s="715">
        <f t="shared" si="7"/>
        <v>0</v>
      </c>
      <c r="I56" s="715">
        <f t="shared" si="7"/>
        <v>0</v>
      </c>
      <c r="J56" s="715">
        <f t="shared" si="7"/>
        <v>0</v>
      </c>
      <c r="K56" s="715">
        <f t="shared" si="7"/>
        <v>18.447227583198867</v>
      </c>
      <c r="L56" s="715">
        <f t="shared" si="7"/>
        <v>0</v>
      </c>
      <c r="M56" s="715">
        <f t="shared" si="7"/>
        <v>0</v>
      </c>
      <c r="N56" s="715">
        <f t="shared" si="7"/>
        <v>0</v>
      </c>
      <c r="O56" s="715">
        <f t="shared" si="7"/>
        <v>0</v>
      </c>
      <c r="P56" s="715">
        <f t="shared" si="7"/>
        <v>0</v>
      </c>
      <c r="Q56" s="716">
        <f t="shared" si="7"/>
        <v>0</v>
      </c>
      <c r="R56" s="717">
        <f ca="1">SUM(R54:R55)</f>
        <v>1404.8172809581872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5835.616643708925</v>
      </c>
      <c r="D61" s="723">
        <f t="shared" ref="D61:Q61" ca="1" si="8">D46+D52+D56</f>
        <v>0</v>
      </c>
      <c r="E61" s="723">
        <f t="shared" ca="1" si="8"/>
        <v>18697.11904774608</v>
      </c>
      <c r="F61" s="723">
        <f t="shared" si="8"/>
        <v>489.01166960179557</v>
      </c>
      <c r="G61" s="723">
        <f t="shared" ca="1" si="8"/>
        <v>5796.9645683321805</v>
      </c>
      <c r="H61" s="723">
        <f t="shared" si="8"/>
        <v>49557.080043367649</v>
      </c>
      <c r="I61" s="723">
        <f t="shared" si="8"/>
        <v>8885.0655056762607</v>
      </c>
      <c r="J61" s="723">
        <f t="shared" si="8"/>
        <v>0</v>
      </c>
      <c r="K61" s="723">
        <f t="shared" si="8"/>
        <v>47.078238898977958</v>
      </c>
      <c r="L61" s="723">
        <f t="shared" si="8"/>
        <v>0</v>
      </c>
      <c r="M61" s="723">
        <f t="shared" ca="1" si="8"/>
        <v>0</v>
      </c>
      <c r="N61" s="723">
        <f t="shared" si="8"/>
        <v>0</v>
      </c>
      <c r="O61" s="723">
        <f t="shared" ca="1" si="8"/>
        <v>0</v>
      </c>
      <c r="P61" s="723">
        <f t="shared" si="8"/>
        <v>0</v>
      </c>
      <c r="Q61" s="723">
        <f t="shared" si="8"/>
        <v>0</v>
      </c>
      <c r="R61" s="723">
        <f ca="1">R46+R52+R56</f>
        <v>89307.935717331871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0.13756508361636549</v>
      </c>
      <c r="D63" s="769">
        <f t="shared" ca="1" si="9"/>
        <v>0</v>
      </c>
      <c r="E63" s="967">
        <f t="shared" ca="1" si="9"/>
        <v>0.20199999999999999</v>
      </c>
      <c r="F63" s="769">
        <f t="shared" si="9"/>
        <v>0.22699999999999995</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12205.281112915147</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3809.982778470031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16015.263891385177</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20145.583458508201</v>
      </c>
      <c r="C4" s="446">
        <f>huishoudens!C8</f>
        <v>0</v>
      </c>
      <c r="D4" s="446">
        <f>huishoudens!D8</f>
        <v>52489.520662480005</v>
      </c>
      <c r="E4" s="446">
        <f>huishoudens!E8</f>
        <v>1109.6351717051039</v>
      </c>
      <c r="F4" s="446">
        <f>huishoudens!F8</f>
        <v>17888.797896672331</v>
      </c>
      <c r="G4" s="446">
        <f>huishoudens!G8</f>
        <v>0</v>
      </c>
      <c r="H4" s="446">
        <f>huishoudens!H8</f>
        <v>0</v>
      </c>
      <c r="I4" s="446">
        <f>huishoudens!I8</f>
        <v>0</v>
      </c>
      <c r="J4" s="446">
        <f>huishoudens!J8</f>
        <v>71.464958913074355</v>
      </c>
      <c r="K4" s="446">
        <f>huishoudens!K8</f>
        <v>0</v>
      </c>
      <c r="L4" s="446">
        <f>huishoudens!L8</f>
        <v>0</v>
      </c>
      <c r="M4" s="446">
        <f>huishoudens!M8</f>
        <v>0</v>
      </c>
      <c r="N4" s="446">
        <f>huishoudens!N8</f>
        <v>6173.4552504340782</v>
      </c>
      <c r="O4" s="446">
        <f>huishoudens!O8</f>
        <v>267.83435961724928</v>
      </c>
      <c r="P4" s="447">
        <f>huishoudens!P8</f>
        <v>326.5527385382357</v>
      </c>
      <c r="Q4" s="448">
        <f>SUM(B4:P4)</f>
        <v>98472.844496868274</v>
      </c>
    </row>
    <row r="5" spans="1:17">
      <c r="A5" s="445" t="s">
        <v>149</v>
      </c>
      <c r="B5" s="446">
        <f ca="1">tertiair!B16</f>
        <v>14106.049878</v>
      </c>
      <c r="C5" s="446">
        <f ca="1">tertiair!C16</f>
        <v>0</v>
      </c>
      <c r="D5" s="446">
        <f ca="1">tertiair!D16</f>
        <v>26236.425766452005</v>
      </c>
      <c r="E5" s="446">
        <f>tertiair!E16</f>
        <v>198.32254802499048</v>
      </c>
      <c r="F5" s="446">
        <f ca="1">tertiair!F16</f>
        <v>1621.9503283269812</v>
      </c>
      <c r="G5" s="446">
        <f>tertiair!G16</f>
        <v>0</v>
      </c>
      <c r="H5" s="446">
        <f>tertiair!H16</f>
        <v>0</v>
      </c>
      <c r="I5" s="446">
        <f>tertiair!I16</f>
        <v>0</v>
      </c>
      <c r="J5" s="446">
        <f>tertiair!J16</f>
        <v>1.9539295907603775E-2</v>
      </c>
      <c r="K5" s="446">
        <f>tertiair!K16</f>
        <v>0</v>
      </c>
      <c r="L5" s="446">
        <f ca="1">tertiair!L16</f>
        <v>0</v>
      </c>
      <c r="M5" s="446">
        <f>tertiair!M16</f>
        <v>0</v>
      </c>
      <c r="N5" s="446">
        <f ca="1">tertiair!N16</f>
        <v>773.54888713786841</v>
      </c>
      <c r="O5" s="446">
        <f>tertiair!O16</f>
        <v>9.7945215316823084</v>
      </c>
      <c r="P5" s="447">
        <f>tertiair!P16</f>
        <v>52.539138306495019</v>
      </c>
      <c r="Q5" s="445">
        <f t="shared" ref="Q5:Q14" ca="1" si="0">SUM(B5:P5)</f>
        <v>42998.650607075921</v>
      </c>
    </row>
    <row r="6" spans="1:17">
      <c r="A6" s="445" t="s">
        <v>187</v>
      </c>
      <c r="B6" s="446">
        <f>'openbare verlichting'!B8</f>
        <v>871.26599999999996</v>
      </c>
      <c r="C6" s="446"/>
      <c r="D6" s="446"/>
      <c r="E6" s="446"/>
      <c r="F6" s="446"/>
      <c r="G6" s="446"/>
      <c r="H6" s="446"/>
      <c r="I6" s="446"/>
      <c r="J6" s="446"/>
      <c r="K6" s="446"/>
      <c r="L6" s="446"/>
      <c r="M6" s="446"/>
      <c r="N6" s="446"/>
      <c r="O6" s="446"/>
      <c r="P6" s="447"/>
      <c r="Q6" s="445">
        <f t="shared" si="0"/>
        <v>871.26599999999996</v>
      </c>
    </row>
    <row r="7" spans="1:17">
      <c r="A7" s="445" t="s">
        <v>105</v>
      </c>
      <c r="B7" s="446">
        <f>landbouw!B8</f>
        <v>189.14519300000001</v>
      </c>
      <c r="C7" s="446">
        <f>landbouw!C8</f>
        <v>0</v>
      </c>
      <c r="D7" s="446">
        <f>landbouw!D8</f>
        <v>918.71821821999993</v>
      </c>
      <c r="E7" s="446">
        <f>landbouw!E8</f>
        <v>5.9031591011400977</v>
      </c>
      <c r="F7" s="446">
        <f>landbouw!F8</f>
        <v>668.46006500125407</v>
      </c>
      <c r="G7" s="446">
        <f>landbouw!G8</f>
        <v>0</v>
      </c>
      <c r="H7" s="446">
        <f>landbouw!H8</f>
        <v>0</v>
      </c>
      <c r="I7" s="446">
        <f>landbouw!I8</f>
        <v>0</v>
      </c>
      <c r="J7" s="446">
        <f>landbouw!J8</f>
        <v>52.110812381917704</v>
      </c>
      <c r="K7" s="446">
        <f>landbouw!K8</f>
        <v>0</v>
      </c>
      <c r="L7" s="446">
        <f>landbouw!L8</f>
        <v>0</v>
      </c>
      <c r="M7" s="446">
        <f>landbouw!M8</f>
        <v>0</v>
      </c>
      <c r="N7" s="446">
        <f>landbouw!N8</f>
        <v>0</v>
      </c>
      <c r="O7" s="446">
        <f>landbouw!O8</f>
        <v>0</v>
      </c>
      <c r="P7" s="447">
        <f>landbouw!P8</f>
        <v>0</v>
      </c>
      <c r="Q7" s="445">
        <f t="shared" si="0"/>
        <v>1834.3374477043117</v>
      </c>
    </row>
    <row r="8" spans="1:17">
      <c r="A8" s="445" t="s">
        <v>612</v>
      </c>
      <c r="B8" s="446">
        <f>industrie!B18</f>
        <v>5822.790712</v>
      </c>
      <c r="C8" s="446">
        <f>industrie!C18</f>
        <v>0</v>
      </c>
      <c r="D8" s="446">
        <f>industrie!D18</f>
        <v>8040.5285603719994</v>
      </c>
      <c r="E8" s="446">
        <f>industrie!E18</f>
        <v>444.00731602569283</v>
      </c>
      <c r="F8" s="446">
        <f>industrie!F18</f>
        <v>1532.2694940150889</v>
      </c>
      <c r="G8" s="446">
        <f>industrie!G18</f>
        <v>0</v>
      </c>
      <c r="H8" s="446">
        <f>industrie!H18</f>
        <v>0</v>
      </c>
      <c r="I8" s="446">
        <f>industrie!I18</f>
        <v>0</v>
      </c>
      <c r="J8" s="446">
        <f>industrie!J18</f>
        <v>9.3940648299420282</v>
      </c>
      <c r="K8" s="446">
        <f>industrie!K18</f>
        <v>0</v>
      </c>
      <c r="L8" s="446">
        <f>industrie!L18</f>
        <v>0</v>
      </c>
      <c r="M8" s="446">
        <f>industrie!M18</f>
        <v>0</v>
      </c>
      <c r="N8" s="446">
        <f>industrie!N18</f>
        <v>334.77009114898266</v>
      </c>
      <c r="O8" s="446">
        <f>industrie!O18</f>
        <v>0</v>
      </c>
      <c r="P8" s="447">
        <f>industrie!P18</f>
        <v>0</v>
      </c>
      <c r="Q8" s="445">
        <f t="shared" si="0"/>
        <v>16183.760238391704</v>
      </c>
    </row>
    <row r="9" spans="1:17" s="451" customFormat="1">
      <c r="A9" s="449" t="s">
        <v>538</v>
      </c>
      <c r="B9" s="450">
        <f>transport!B14</f>
        <v>271.04508373781835</v>
      </c>
      <c r="C9" s="450">
        <f>transport!C14</f>
        <v>0</v>
      </c>
      <c r="D9" s="450">
        <f>transport!D14</f>
        <v>386.30906734767223</v>
      </c>
      <c r="E9" s="450">
        <f>transport!E14</f>
        <v>396.36823510693006</v>
      </c>
      <c r="F9" s="450">
        <f>transport!F14</f>
        <v>0</v>
      </c>
      <c r="G9" s="450">
        <f>transport!G14</f>
        <v>184633.56297923322</v>
      </c>
      <c r="H9" s="450">
        <f>transport!H14</f>
        <v>35682.993998699843</v>
      </c>
      <c r="I9" s="450">
        <f>transport!I14</f>
        <v>0</v>
      </c>
      <c r="J9" s="450">
        <f>transport!J14</f>
        <v>0</v>
      </c>
      <c r="K9" s="450">
        <f>transport!K14</f>
        <v>0</v>
      </c>
      <c r="L9" s="450">
        <f>transport!L14</f>
        <v>0</v>
      </c>
      <c r="M9" s="450">
        <f>transport!M14</f>
        <v>13005.181516684808</v>
      </c>
      <c r="N9" s="450">
        <f>transport!N14</f>
        <v>0</v>
      </c>
      <c r="O9" s="450">
        <f>transport!O14</f>
        <v>0</v>
      </c>
      <c r="P9" s="450">
        <f>transport!P14</f>
        <v>0</v>
      </c>
      <c r="Q9" s="449">
        <f>SUM(B9:P9)</f>
        <v>234375.46088081028</v>
      </c>
    </row>
    <row r="10" spans="1:17">
      <c r="A10" s="445" t="s">
        <v>528</v>
      </c>
      <c r="B10" s="446">
        <f>transport!B54</f>
        <v>373.19425029266728</v>
      </c>
      <c r="C10" s="446">
        <f>transport!C54</f>
        <v>0</v>
      </c>
      <c r="D10" s="446">
        <f>transport!D54</f>
        <v>0</v>
      </c>
      <c r="E10" s="446">
        <f>transport!E54</f>
        <v>0</v>
      </c>
      <c r="F10" s="446">
        <f>transport!F54</f>
        <v>0</v>
      </c>
      <c r="G10" s="446">
        <f>transport!G54</f>
        <v>973.47838169430861</v>
      </c>
      <c r="H10" s="446">
        <f>transport!H54</f>
        <v>0</v>
      </c>
      <c r="I10" s="446">
        <f>transport!I54</f>
        <v>0</v>
      </c>
      <c r="J10" s="446">
        <f>transport!J54</f>
        <v>0</v>
      </c>
      <c r="K10" s="446">
        <f>transport!K54</f>
        <v>0</v>
      </c>
      <c r="L10" s="446">
        <f>transport!L54</f>
        <v>0</v>
      </c>
      <c r="M10" s="446">
        <f>transport!M54</f>
        <v>55.062836288270304</v>
      </c>
      <c r="N10" s="446">
        <f>transport!N54</f>
        <v>0</v>
      </c>
      <c r="O10" s="446">
        <f>transport!O54</f>
        <v>0</v>
      </c>
      <c r="P10" s="447">
        <f>transport!P54</f>
        <v>0</v>
      </c>
      <c r="Q10" s="445">
        <f t="shared" si="0"/>
        <v>1401.7354682752461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641.69449100000008</v>
      </c>
      <c r="C14" s="453"/>
      <c r="D14" s="453">
        <f>'SEAP template'!E25</f>
        <v>4488.4930109999996</v>
      </c>
      <c r="E14" s="453"/>
      <c r="F14" s="453"/>
      <c r="G14" s="453"/>
      <c r="H14" s="453"/>
      <c r="I14" s="453"/>
      <c r="J14" s="453"/>
      <c r="K14" s="453"/>
      <c r="L14" s="453"/>
      <c r="M14" s="453"/>
      <c r="N14" s="453"/>
      <c r="O14" s="453"/>
      <c r="P14" s="454"/>
      <c r="Q14" s="445">
        <f t="shared" si="0"/>
        <v>5130.1875019999998</v>
      </c>
    </row>
    <row r="15" spans="1:17" s="457" customFormat="1">
      <c r="A15" s="455" t="s">
        <v>532</v>
      </c>
      <c r="B15" s="456">
        <f ca="1">SUM(B4:B14)</f>
        <v>42420.769066538691</v>
      </c>
      <c r="C15" s="456">
        <f t="shared" ref="C15:Q15" ca="1" si="1">SUM(C4:C14)</f>
        <v>0</v>
      </c>
      <c r="D15" s="456">
        <f t="shared" ca="1" si="1"/>
        <v>92559.995285871686</v>
      </c>
      <c r="E15" s="456">
        <f t="shared" si="1"/>
        <v>2154.2364299638575</v>
      </c>
      <c r="F15" s="456">
        <f t="shared" ca="1" si="1"/>
        <v>21711.477784015657</v>
      </c>
      <c r="G15" s="456">
        <f t="shared" si="1"/>
        <v>185607.04136092751</v>
      </c>
      <c r="H15" s="456">
        <f t="shared" si="1"/>
        <v>35682.993998699843</v>
      </c>
      <c r="I15" s="456">
        <f t="shared" si="1"/>
        <v>0</v>
      </c>
      <c r="J15" s="456">
        <f t="shared" si="1"/>
        <v>132.9893754208417</v>
      </c>
      <c r="K15" s="456">
        <f t="shared" si="1"/>
        <v>0</v>
      </c>
      <c r="L15" s="456">
        <f t="shared" ca="1" si="1"/>
        <v>0</v>
      </c>
      <c r="M15" s="456">
        <f t="shared" si="1"/>
        <v>13060.244352973079</v>
      </c>
      <c r="N15" s="456">
        <f t="shared" ca="1" si="1"/>
        <v>7281.7742287209294</v>
      </c>
      <c r="O15" s="456">
        <f t="shared" si="1"/>
        <v>277.62888114893161</v>
      </c>
      <c r="P15" s="456">
        <f t="shared" si="1"/>
        <v>379.09187684473073</v>
      </c>
      <c r="Q15" s="456">
        <f t="shared" ca="1" si="1"/>
        <v>401268.24264112581</v>
      </c>
    </row>
    <row r="17" spans="1:17">
      <c r="A17" s="458" t="s">
        <v>533</v>
      </c>
      <c r="B17" s="774">
        <f ca="1">huishoudens!B10</f>
        <v>0.13756508361636549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2771.3288729701503</v>
      </c>
      <c r="C22" s="446">
        <f t="shared" ref="C22:C32" ca="1" si="3">C4*$C$17</f>
        <v>0</v>
      </c>
      <c r="D22" s="446">
        <f t="shared" ref="D22:D32" si="4">D4*$D$17</f>
        <v>10602.883173820961</v>
      </c>
      <c r="E22" s="446">
        <f t="shared" ref="E22:E32" si="5">E4*$E$17</f>
        <v>251.88718397705858</v>
      </c>
      <c r="F22" s="446">
        <f t="shared" ref="F22:F32" si="6">F4*$F$17</f>
        <v>4776.309038411513</v>
      </c>
      <c r="G22" s="446">
        <f t="shared" ref="G22:G32" si="7">G4*$G$17</f>
        <v>0</v>
      </c>
      <c r="H22" s="446">
        <f t="shared" ref="H22:H32" si="8">H4*$H$17</f>
        <v>0</v>
      </c>
      <c r="I22" s="446">
        <f t="shared" ref="I22:I32" si="9">I4*$I$17</f>
        <v>0</v>
      </c>
      <c r="J22" s="446">
        <f t="shared" ref="J22:J32" si="10">J4*$J$17</f>
        <v>25.29859545522832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18427.706864634911</v>
      </c>
    </row>
    <row r="23" spans="1:17">
      <c r="A23" s="445" t="s">
        <v>149</v>
      </c>
      <c r="B23" s="446">
        <f t="shared" ca="1" si="2"/>
        <v>1940.4999309636921</v>
      </c>
      <c r="C23" s="446">
        <f t="shared" ca="1" si="3"/>
        <v>0</v>
      </c>
      <c r="D23" s="446">
        <f t="shared" ca="1" si="4"/>
        <v>5299.7580048233049</v>
      </c>
      <c r="E23" s="446">
        <f t="shared" si="5"/>
        <v>45.019218401672838</v>
      </c>
      <c r="F23" s="446">
        <f t="shared" ca="1" si="6"/>
        <v>433.060737663304</v>
      </c>
      <c r="G23" s="446">
        <f t="shared" si="7"/>
        <v>0</v>
      </c>
      <c r="H23" s="446">
        <f t="shared" si="8"/>
        <v>0</v>
      </c>
      <c r="I23" s="446">
        <f t="shared" si="9"/>
        <v>0</v>
      </c>
      <c r="J23" s="446">
        <f t="shared" si="10"/>
        <v>6.9169107512917364E-3</v>
      </c>
      <c r="K23" s="446">
        <f t="shared" si="11"/>
        <v>0</v>
      </c>
      <c r="L23" s="446">
        <f t="shared" ca="1" si="12"/>
        <v>0</v>
      </c>
      <c r="M23" s="446">
        <f t="shared" si="13"/>
        <v>0</v>
      </c>
      <c r="N23" s="446">
        <f t="shared" ca="1" si="14"/>
        <v>0</v>
      </c>
      <c r="O23" s="446">
        <f t="shared" si="15"/>
        <v>0</v>
      </c>
      <c r="P23" s="447">
        <f t="shared" si="16"/>
        <v>0</v>
      </c>
      <c r="Q23" s="445">
        <f t="shared" ref="Q23:Q31" ca="1" si="17">SUM(B23:P23)</f>
        <v>7718.3448087627257</v>
      </c>
    </row>
    <row r="24" spans="1:17">
      <c r="A24" s="445" t="s">
        <v>187</v>
      </c>
      <c r="B24" s="446">
        <f t="shared" ca="1" si="2"/>
        <v>119.85578014209629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119.85578014209629</v>
      </c>
    </row>
    <row r="25" spans="1:17">
      <c r="A25" s="445" t="s">
        <v>105</v>
      </c>
      <c r="B25" s="446">
        <f t="shared" ca="1" si="2"/>
        <v>26.01977429067859</v>
      </c>
      <c r="C25" s="446">
        <f t="shared" ca="1" si="3"/>
        <v>0</v>
      </c>
      <c r="D25" s="446">
        <f t="shared" si="4"/>
        <v>185.58108008043999</v>
      </c>
      <c r="E25" s="446">
        <f t="shared" si="5"/>
        <v>1.3400171159588021</v>
      </c>
      <c r="F25" s="446">
        <f t="shared" si="6"/>
        <v>178.47883735533483</v>
      </c>
      <c r="G25" s="446">
        <f t="shared" si="7"/>
        <v>0</v>
      </c>
      <c r="H25" s="446">
        <f t="shared" si="8"/>
        <v>0</v>
      </c>
      <c r="I25" s="446">
        <f t="shared" si="9"/>
        <v>0</v>
      </c>
      <c r="J25" s="446">
        <f t="shared" si="10"/>
        <v>18.447227583198867</v>
      </c>
      <c r="K25" s="446">
        <f t="shared" si="11"/>
        <v>0</v>
      </c>
      <c r="L25" s="446">
        <f t="shared" si="12"/>
        <v>0</v>
      </c>
      <c r="M25" s="446">
        <f t="shared" si="13"/>
        <v>0</v>
      </c>
      <c r="N25" s="446">
        <f t="shared" si="14"/>
        <v>0</v>
      </c>
      <c r="O25" s="446">
        <f t="shared" si="15"/>
        <v>0</v>
      </c>
      <c r="P25" s="447">
        <f t="shared" si="16"/>
        <v>0</v>
      </c>
      <c r="Q25" s="445">
        <f t="shared" ca="1" si="17"/>
        <v>409.86693642561107</v>
      </c>
    </row>
    <row r="26" spans="1:17">
      <c r="A26" s="445" t="s">
        <v>612</v>
      </c>
      <c r="B26" s="446">
        <f t="shared" ca="1" si="2"/>
        <v>801.01269117687639</v>
      </c>
      <c r="C26" s="446">
        <f t="shared" ca="1" si="3"/>
        <v>0</v>
      </c>
      <c r="D26" s="446">
        <f t="shared" si="4"/>
        <v>1624.1867691951441</v>
      </c>
      <c r="E26" s="446">
        <f t="shared" si="5"/>
        <v>100.78966073783228</v>
      </c>
      <c r="F26" s="446">
        <f t="shared" si="6"/>
        <v>409.11595490202876</v>
      </c>
      <c r="G26" s="446">
        <f t="shared" si="7"/>
        <v>0</v>
      </c>
      <c r="H26" s="446">
        <f t="shared" si="8"/>
        <v>0</v>
      </c>
      <c r="I26" s="446">
        <f t="shared" si="9"/>
        <v>0</v>
      </c>
      <c r="J26" s="446">
        <f t="shared" si="10"/>
        <v>3.3254989497994778</v>
      </c>
      <c r="K26" s="446">
        <f t="shared" si="11"/>
        <v>0</v>
      </c>
      <c r="L26" s="446">
        <f t="shared" si="12"/>
        <v>0</v>
      </c>
      <c r="M26" s="446">
        <f t="shared" si="13"/>
        <v>0</v>
      </c>
      <c r="N26" s="446">
        <f t="shared" si="14"/>
        <v>0</v>
      </c>
      <c r="O26" s="446">
        <f t="shared" si="15"/>
        <v>0</v>
      </c>
      <c r="P26" s="447">
        <f t="shared" si="16"/>
        <v>0</v>
      </c>
      <c r="Q26" s="445">
        <f t="shared" ca="1" si="17"/>
        <v>2938.430574961681</v>
      </c>
    </row>
    <row r="27" spans="1:17" s="451" customFormat="1">
      <c r="A27" s="449" t="s">
        <v>538</v>
      </c>
      <c r="B27" s="768">
        <f t="shared" ca="1" si="2"/>
        <v>37.286339608197764</v>
      </c>
      <c r="C27" s="450">
        <f t="shared" ca="1" si="3"/>
        <v>0</v>
      </c>
      <c r="D27" s="450">
        <f t="shared" si="4"/>
        <v>78.034431604229795</v>
      </c>
      <c r="E27" s="450">
        <f t="shared" si="5"/>
        <v>89.975589369273123</v>
      </c>
      <c r="F27" s="450">
        <f t="shared" si="6"/>
        <v>0</v>
      </c>
      <c r="G27" s="450">
        <f t="shared" si="7"/>
        <v>49297.161315455269</v>
      </c>
      <c r="H27" s="450">
        <f t="shared" si="8"/>
        <v>8885.0655056762607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58387.52318171323</v>
      </c>
    </row>
    <row r="28" spans="1:17" ht="16.5" customHeight="1">
      <c r="A28" s="445" t="s">
        <v>528</v>
      </c>
      <c r="B28" s="446">
        <f t="shared" ca="1" si="2"/>
        <v>51.338498246657608</v>
      </c>
      <c r="C28" s="446">
        <f t="shared" ca="1" si="3"/>
        <v>0</v>
      </c>
      <c r="D28" s="446">
        <f t="shared" si="4"/>
        <v>0</v>
      </c>
      <c r="E28" s="446">
        <f t="shared" si="5"/>
        <v>0</v>
      </c>
      <c r="F28" s="446">
        <f t="shared" si="6"/>
        <v>0</v>
      </c>
      <c r="G28" s="446">
        <f t="shared" si="7"/>
        <v>259.9187279123804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311.257226159038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88.274756310576109</v>
      </c>
      <c r="C32" s="446">
        <f t="shared" ca="1" si="3"/>
        <v>0</v>
      </c>
      <c r="D32" s="446">
        <f t="shared" si="4"/>
        <v>906.67558822199999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994.95034453257608</v>
      </c>
    </row>
    <row r="33" spans="1:17" s="457" customFormat="1">
      <c r="A33" s="455" t="s">
        <v>532</v>
      </c>
      <c r="B33" s="456">
        <f ca="1">SUM(B22:B32)</f>
        <v>5835.616643708925</v>
      </c>
      <c r="C33" s="456">
        <f t="shared" ref="C33:Q33" ca="1" si="19">SUM(C22:C32)</f>
        <v>0</v>
      </c>
      <c r="D33" s="456">
        <f t="shared" ca="1" si="19"/>
        <v>18697.119047746077</v>
      </c>
      <c r="E33" s="456">
        <f t="shared" si="19"/>
        <v>489.01166960179557</v>
      </c>
      <c r="F33" s="456">
        <f t="shared" ca="1" si="19"/>
        <v>5796.9645683321805</v>
      </c>
      <c r="G33" s="456">
        <f t="shared" si="19"/>
        <v>49557.080043367649</v>
      </c>
      <c r="H33" s="456">
        <f t="shared" si="19"/>
        <v>8885.0655056762607</v>
      </c>
      <c r="I33" s="456">
        <f t="shared" si="19"/>
        <v>0</v>
      </c>
      <c r="J33" s="456">
        <f t="shared" si="19"/>
        <v>47.078238898977958</v>
      </c>
      <c r="K33" s="456">
        <f t="shared" si="19"/>
        <v>0</v>
      </c>
      <c r="L33" s="456">
        <f t="shared" ca="1" si="19"/>
        <v>0</v>
      </c>
      <c r="M33" s="456">
        <f t="shared" si="19"/>
        <v>0</v>
      </c>
      <c r="N33" s="456">
        <f t="shared" ca="1" si="19"/>
        <v>0</v>
      </c>
      <c r="O33" s="456">
        <f t="shared" si="19"/>
        <v>0</v>
      </c>
      <c r="P33" s="456">
        <f t="shared" si="19"/>
        <v>0</v>
      </c>
      <c r="Q33" s="456">
        <f t="shared" ca="1" si="19"/>
        <v>89307.935717331871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12205.281112915147</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3809.982778470031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16015.263891385177</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0.13756508361636549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0.13756508361636549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0.13756508361636549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0.13756508361636549</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4670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479.32</v>
      </c>
      <c r="C14" s="326"/>
      <c r="D14" s="326"/>
      <c r="E14" s="326"/>
      <c r="F14" s="326"/>
    </row>
    <row r="15" spans="1:6">
      <c r="A15" s="1296" t="s">
        <v>177</v>
      </c>
      <c r="B15" s="1297">
        <v>7</v>
      </c>
      <c r="C15" s="326"/>
      <c r="D15" s="326"/>
      <c r="E15" s="326"/>
      <c r="F15" s="326"/>
    </row>
    <row r="16" spans="1:6">
      <c r="A16" s="1296" t="s">
        <v>6</v>
      </c>
      <c r="B16" s="1297">
        <v>215</v>
      </c>
      <c r="C16" s="326"/>
      <c r="D16" s="326"/>
      <c r="E16" s="326"/>
      <c r="F16" s="326"/>
    </row>
    <row r="17" spans="1:6">
      <c r="A17" s="1296" t="s">
        <v>7</v>
      </c>
      <c r="B17" s="1297">
        <v>101</v>
      </c>
      <c r="C17" s="326"/>
      <c r="D17" s="326"/>
      <c r="E17" s="326"/>
      <c r="F17" s="326"/>
    </row>
    <row r="18" spans="1:6">
      <c r="A18" s="1296" t="s">
        <v>8</v>
      </c>
      <c r="B18" s="1297">
        <v>165</v>
      </c>
      <c r="C18" s="326"/>
      <c r="D18" s="326"/>
      <c r="E18" s="326"/>
      <c r="F18" s="326"/>
    </row>
    <row r="19" spans="1:6">
      <c r="A19" s="1296" t="s">
        <v>9</v>
      </c>
      <c r="B19" s="1297">
        <v>149</v>
      </c>
      <c r="C19" s="326"/>
      <c r="D19" s="326"/>
      <c r="E19" s="326"/>
      <c r="F19" s="326"/>
    </row>
    <row r="20" spans="1:6">
      <c r="A20" s="1296" t="s">
        <v>10</v>
      </c>
      <c r="B20" s="1297">
        <v>66</v>
      </c>
      <c r="C20" s="326"/>
      <c r="D20" s="326"/>
      <c r="E20" s="326"/>
      <c r="F20" s="326"/>
    </row>
    <row r="21" spans="1:6">
      <c r="A21" s="1296" t="s">
        <v>11</v>
      </c>
      <c r="B21" s="1297">
        <v>952</v>
      </c>
      <c r="C21" s="326"/>
      <c r="D21" s="326"/>
      <c r="E21" s="326"/>
      <c r="F21" s="326"/>
    </row>
    <row r="22" spans="1:6">
      <c r="A22" s="1296" t="s">
        <v>12</v>
      </c>
      <c r="B22" s="1297">
        <v>920</v>
      </c>
      <c r="C22" s="326"/>
      <c r="D22" s="326"/>
      <c r="E22" s="326"/>
      <c r="F22" s="326"/>
    </row>
    <row r="23" spans="1:6">
      <c r="A23" s="1296" t="s">
        <v>13</v>
      </c>
      <c r="B23" s="1297">
        <v>60</v>
      </c>
      <c r="C23" s="326"/>
      <c r="D23" s="326"/>
      <c r="E23" s="326"/>
      <c r="F23" s="326"/>
    </row>
    <row r="24" spans="1:6">
      <c r="A24" s="1296" t="s">
        <v>14</v>
      </c>
      <c r="B24" s="1297">
        <v>2</v>
      </c>
      <c r="C24" s="326"/>
      <c r="D24" s="326"/>
      <c r="E24" s="326"/>
      <c r="F24" s="326"/>
    </row>
    <row r="25" spans="1:6">
      <c r="A25" s="1296" t="s">
        <v>15</v>
      </c>
      <c r="B25" s="1297">
        <v>201</v>
      </c>
      <c r="C25" s="326"/>
      <c r="D25" s="326"/>
      <c r="E25" s="326"/>
      <c r="F25" s="326"/>
    </row>
    <row r="26" spans="1:6">
      <c r="A26" s="1296" t="s">
        <v>16</v>
      </c>
      <c r="B26" s="1297">
        <v>68</v>
      </c>
      <c r="C26" s="326"/>
      <c r="D26" s="326"/>
      <c r="E26" s="326"/>
      <c r="F26" s="326"/>
    </row>
    <row r="27" spans="1:6">
      <c r="A27" s="1296" t="s">
        <v>17</v>
      </c>
      <c r="B27" s="1297">
        <v>6</v>
      </c>
      <c r="C27" s="326"/>
      <c r="D27" s="326"/>
      <c r="E27" s="326"/>
      <c r="F27" s="326"/>
    </row>
    <row r="28" spans="1:6">
      <c r="A28" s="1296" t="s">
        <v>18</v>
      </c>
      <c r="B28" s="1298">
        <v>517</v>
      </c>
      <c r="C28" s="326"/>
      <c r="D28" s="326"/>
      <c r="E28" s="326"/>
      <c r="F28" s="326"/>
    </row>
    <row r="29" spans="1:6">
      <c r="A29" s="1296" t="s">
        <v>689</v>
      </c>
      <c r="B29" s="1298">
        <v>167</v>
      </c>
      <c r="C29" s="326"/>
      <c r="D29" s="326"/>
      <c r="E29" s="326"/>
      <c r="F29" s="326"/>
    </row>
    <row r="30" spans="1:6">
      <c r="A30" s="1291" t="s">
        <v>690</v>
      </c>
      <c r="B30" s="1299">
        <v>34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5</v>
      </c>
      <c r="D36" s="1297">
        <v>1941092.477</v>
      </c>
      <c r="E36" s="1297">
        <v>11</v>
      </c>
      <c r="F36" s="1297">
        <v>2429925.2409999999</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3529</v>
      </c>
      <c r="D39" s="1297">
        <v>58192373.240000002</v>
      </c>
      <c r="E39" s="1297">
        <v>4599</v>
      </c>
      <c r="F39" s="1297">
        <v>17733751.920000002</v>
      </c>
    </row>
    <row r="40" spans="1:6">
      <c r="A40" s="1296" t="s">
        <v>29</v>
      </c>
      <c r="B40" s="1296" t="s">
        <v>28</v>
      </c>
      <c r="C40" s="1297">
        <v>0</v>
      </c>
      <c r="D40" s="1297">
        <v>0</v>
      </c>
      <c r="E40" s="1297">
        <v>0</v>
      </c>
      <c r="F40" s="1297">
        <v>0</v>
      </c>
    </row>
    <row r="41" spans="1:6">
      <c r="A41" s="1296" t="s">
        <v>31</v>
      </c>
      <c r="B41" s="1296" t="s">
        <v>32</v>
      </c>
      <c r="C41" s="1297">
        <v>56</v>
      </c>
      <c r="D41" s="1297">
        <v>1703540.5090000001</v>
      </c>
      <c r="E41" s="1297">
        <v>115</v>
      </c>
      <c r="F41" s="1297">
        <v>1399816.639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8</v>
      </c>
      <c r="F44" s="1297">
        <v>82280.597999999998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54250.502999999997</v>
      </c>
      <c r="E47" s="1297">
        <v>3</v>
      </c>
      <c r="F47" s="1297">
        <v>5725.9409999999998</v>
      </c>
    </row>
    <row r="48" spans="1:6">
      <c r="A48" s="1296" t="s">
        <v>31</v>
      </c>
      <c r="B48" s="1296" t="s">
        <v>28</v>
      </c>
      <c r="C48" s="1297">
        <v>19</v>
      </c>
      <c r="D48" s="1297">
        <v>763557.26899999997</v>
      </c>
      <c r="E48" s="1297">
        <v>36</v>
      </c>
      <c r="F48" s="1297">
        <v>1051280.9609999999</v>
      </c>
    </row>
    <row r="49" spans="1:6">
      <c r="A49" s="1296" t="s">
        <v>31</v>
      </c>
      <c r="B49" s="1296" t="s">
        <v>39</v>
      </c>
      <c r="C49" s="1297">
        <v>0</v>
      </c>
      <c r="D49" s="1297">
        <v>0</v>
      </c>
      <c r="E49" s="1297">
        <v>0</v>
      </c>
      <c r="F49" s="1297">
        <v>0</v>
      </c>
    </row>
    <row r="50" spans="1:6">
      <c r="A50" s="1296" t="s">
        <v>31</v>
      </c>
      <c r="B50" s="1296" t="s">
        <v>40</v>
      </c>
      <c r="C50" s="1297">
        <v>8</v>
      </c>
      <c r="D50" s="1297">
        <v>6392763.2050000001</v>
      </c>
      <c r="E50" s="1297">
        <v>9</v>
      </c>
      <c r="F50" s="1297">
        <v>3283686.5729999999</v>
      </c>
    </row>
    <row r="51" spans="1:6">
      <c r="A51" s="1296" t="s">
        <v>41</v>
      </c>
      <c r="B51" s="1296" t="s">
        <v>42</v>
      </c>
      <c r="C51" s="1297">
        <v>5</v>
      </c>
      <c r="D51" s="1297">
        <v>902219.598</v>
      </c>
      <c r="E51" s="1297">
        <v>17</v>
      </c>
      <c r="F51" s="1297">
        <v>114663.806</v>
      </c>
    </row>
    <row r="52" spans="1:6">
      <c r="A52" s="1296" t="s">
        <v>41</v>
      </c>
      <c r="B52" s="1296" t="s">
        <v>28</v>
      </c>
      <c r="C52" s="1297">
        <v>2</v>
      </c>
      <c r="D52" s="1297">
        <v>116315.012</v>
      </c>
      <c r="E52" s="1297">
        <v>6</v>
      </c>
      <c r="F52" s="1297">
        <v>74481.387000000002</v>
      </c>
    </row>
    <row r="53" spans="1:6">
      <c r="A53" s="1296" t="s">
        <v>43</v>
      </c>
      <c r="B53" s="1296" t="s">
        <v>44</v>
      </c>
      <c r="C53" s="1297">
        <v>107</v>
      </c>
      <c r="D53" s="1297">
        <v>4488493.0109999999</v>
      </c>
      <c r="E53" s="1297">
        <v>184</v>
      </c>
      <c r="F53" s="1297">
        <v>641694.49100000004</v>
      </c>
    </row>
    <row r="54" spans="1:6">
      <c r="A54" s="1296" t="s">
        <v>45</v>
      </c>
      <c r="B54" s="1296" t="s">
        <v>46</v>
      </c>
      <c r="C54" s="1297">
        <v>0</v>
      </c>
      <c r="D54" s="1297">
        <v>0</v>
      </c>
      <c r="E54" s="1297">
        <v>1</v>
      </c>
      <c r="F54" s="1297">
        <v>871266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20</v>
      </c>
      <c r="D57" s="1297">
        <v>519407.88500000001</v>
      </c>
      <c r="E57" s="1297">
        <v>44</v>
      </c>
      <c r="F57" s="1297">
        <v>663718.14399999997</v>
      </c>
    </row>
    <row r="58" spans="1:6">
      <c r="A58" s="1296" t="s">
        <v>48</v>
      </c>
      <c r="B58" s="1296" t="s">
        <v>50</v>
      </c>
      <c r="C58" s="1297">
        <v>21</v>
      </c>
      <c r="D58" s="1297">
        <v>4878324.2510000002</v>
      </c>
      <c r="E58" s="1297">
        <v>34</v>
      </c>
      <c r="F58" s="1297">
        <v>328901.61599999998</v>
      </c>
    </row>
    <row r="59" spans="1:6">
      <c r="A59" s="1296" t="s">
        <v>48</v>
      </c>
      <c r="B59" s="1296" t="s">
        <v>51</v>
      </c>
      <c r="C59" s="1297">
        <v>60</v>
      </c>
      <c r="D59" s="1297">
        <v>6585816.5499999998</v>
      </c>
      <c r="E59" s="1297">
        <v>116</v>
      </c>
      <c r="F59" s="1297">
        <v>2797688.4360000002</v>
      </c>
    </row>
    <row r="60" spans="1:6">
      <c r="A60" s="1296" t="s">
        <v>48</v>
      </c>
      <c r="B60" s="1296" t="s">
        <v>52</v>
      </c>
      <c r="C60" s="1297">
        <v>36</v>
      </c>
      <c r="D60" s="1297">
        <v>1472269.5</v>
      </c>
      <c r="E60" s="1297">
        <v>45</v>
      </c>
      <c r="F60" s="1297">
        <v>1477485.463</v>
      </c>
    </row>
    <row r="61" spans="1:6">
      <c r="A61" s="1296" t="s">
        <v>48</v>
      </c>
      <c r="B61" s="1296" t="s">
        <v>53</v>
      </c>
      <c r="C61" s="1297">
        <v>136</v>
      </c>
      <c r="D61" s="1297">
        <v>5591763.0690000001</v>
      </c>
      <c r="E61" s="1297">
        <v>277</v>
      </c>
      <c r="F61" s="1297">
        <v>3741097.139</v>
      </c>
    </row>
    <row r="62" spans="1:6">
      <c r="A62" s="1296" t="s">
        <v>48</v>
      </c>
      <c r="B62" s="1296" t="s">
        <v>54</v>
      </c>
      <c r="C62" s="1297">
        <v>9</v>
      </c>
      <c r="D62" s="1297">
        <v>1382141.9110000001</v>
      </c>
      <c r="E62" s="1297">
        <v>11</v>
      </c>
      <c r="F62" s="1297">
        <v>780848.71799999999</v>
      </c>
    </row>
    <row r="63" spans="1:6">
      <c r="A63" s="1296" t="s">
        <v>48</v>
      </c>
      <c r="B63" s="1296" t="s">
        <v>28</v>
      </c>
      <c r="C63" s="1297">
        <v>89</v>
      </c>
      <c r="D63" s="1297">
        <v>8657223.3599999994</v>
      </c>
      <c r="E63" s="1297">
        <v>116</v>
      </c>
      <c r="F63" s="1297">
        <v>4316310.3619999997</v>
      </c>
    </row>
    <row r="64" spans="1:6">
      <c r="A64" s="1296" t="s">
        <v>55</v>
      </c>
      <c r="B64" s="1296" t="s">
        <v>56</v>
      </c>
      <c r="C64" s="1297">
        <v>0</v>
      </c>
      <c r="D64" s="1297">
        <v>0</v>
      </c>
      <c r="E64" s="1297">
        <v>0</v>
      </c>
      <c r="F64" s="1297">
        <v>0</v>
      </c>
    </row>
    <row r="65" spans="1:6">
      <c r="A65" s="1296" t="s">
        <v>55</v>
      </c>
      <c r="B65" s="1296" t="s">
        <v>28</v>
      </c>
      <c r="C65" s="1297">
        <v>2</v>
      </c>
      <c r="D65" s="1297">
        <v>109082.06600000001</v>
      </c>
      <c r="E65" s="1297">
        <v>2</v>
      </c>
      <c r="F65" s="1297">
        <v>261702.511</v>
      </c>
    </row>
    <row r="66" spans="1:6">
      <c r="A66" s="1296" t="s">
        <v>55</v>
      </c>
      <c r="B66" s="1296" t="s">
        <v>57</v>
      </c>
      <c r="C66" s="1297">
        <v>3</v>
      </c>
      <c r="D66" s="1297">
        <v>6343419.0980000002</v>
      </c>
      <c r="E66" s="1297">
        <v>16</v>
      </c>
      <c r="F66" s="1297">
        <v>2736819.662</v>
      </c>
    </row>
    <row r="67" spans="1:6">
      <c r="A67" s="1296" t="s">
        <v>55</v>
      </c>
      <c r="B67" s="1296" t="s">
        <v>58</v>
      </c>
      <c r="C67" s="1297">
        <v>0</v>
      </c>
      <c r="D67" s="1297">
        <v>0</v>
      </c>
      <c r="E67" s="1297">
        <v>0</v>
      </c>
      <c r="F67" s="1297">
        <v>0</v>
      </c>
    </row>
    <row r="68" spans="1:6">
      <c r="A68" s="1291" t="s">
        <v>55</v>
      </c>
      <c r="B68" s="1291" t="s">
        <v>59</v>
      </c>
      <c r="C68" s="1299">
        <v>0</v>
      </c>
      <c r="D68" s="1299">
        <v>0</v>
      </c>
      <c r="E68" s="1299">
        <v>9</v>
      </c>
      <c r="F68" s="1299">
        <v>122885.07399999999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37270594</v>
      </c>
      <c r="E73" s="444"/>
      <c r="F73" s="326"/>
    </row>
    <row r="74" spans="1:6">
      <c r="A74" s="1296" t="s">
        <v>63</v>
      </c>
      <c r="B74" s="1296" t="s">
        <v>633</v>
      </c>
      <c r="C74" s="1309" t="s">
        <v>635</v>
      </c>
      <c r="D74" s="1297">
        <v>3471545.5</v>
      </c>
      <c r="E74" s="444"/>
      <c r="F74" s="326"/>
    </row>
    <row r="75" spans="1:6">
      <c r="A75" s="1296" t="s">
        <v>64</v>
      </c>
      <c r="B75" s="1296" t="s">
        <v>632</v>
      </c>
      <c r="C75" s="1309" t="s">
        <v>636</v>
      </c>
      <c r="D75" s="1297">
        <v>7985389</v>
      </c>
      <c r="E75" s="444"/>
      <c r="F75" s="326"/>
    </row>
    <row r="76" spans="1:6">
      <c r="A76" s="1296" t="s">
        <v>64</v>
      </c>
      <c r="B76" s="1296" t="s">
        <v>633</v>
      </c>
      <c r="C76" s="1309" t="s">
        <v>637</v>
      </c>
      <c r="D76" s="1297">
        <v>588105.5</v>
      </c>
      <c r="E76" s="444"/>
      <c r="F76" s="326"/>
    </row>
    <row r="77" spans="1:6">
      <c r="A77" s="1296" t="s">
        <v>65</v>
      </c>
      <c r="B77" s="1296" t="s">
        <v>632</v>
      </c>
      <c r="C77" s="1309" t="s">
        <v>638</v>
      </c>
      <c r="D77" s="1297">
        <v>202214803</v>
      </c>
      <c r="E77" s="444"/>
      <c r="F77" s="326"/>
    </row>
    <row r="78" spans="1:6">
      <c r="A78" s="1291" t="s">
        <v>65</v>
      </c>
      <c r="B78" s="1291" t="s">
        <v>633</v>
      </c>
      <c r="C78" s="1291" t="s">
        <v>639</v>
      </c>
      <c r="D78" s="1299">
        <v>23684785</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285523</v>
      </c>
      <c r="C83" s="444"/>
      <c r="D83" s="326"/>
      <c r="E83" s="326"/>
      <c r="F83" s="326"/>
    </row>
    <row r="84" spans="1:6">
      <c r="A84" s="1291" t="s">
        <v>323</v>
      </c>
      <c r="B84" s="1299">
        <v>102059</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12205.281112915147</v>
      </c>
      <c r="C90" s="326"/>
      <c r="D90" s="326"/>
      <c r="E90" s="326"/>
      <c r="F90" s="326"/>
    </row>
    <row r="91" spans="1:6">
      <c r="A91" s="1296" t="s">
        <v>67</v>
      </c>
      <c r="B91" s="1297">
        <v>2411.8315385081974</v>
      </c>
      <c r="C91" s="326"/>
      <c r="D91" s="326"/>
      <c r="E91" s="326"/>
      <c r="F91" s="326"/>
    </row>
    <row r="92" spans="1:6">
      <c r="A92" s="1291" t="s">
        <v>68</v>
      </c>
      <c r="B92" s="1292">
        <v>1398.1512399618334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2031</v>
      </c>
      <c r="C97" s="326"/>
      <c r="D97" s="326"/>
      <c r="E97" s="326"/>
      <c r="F97" s="326"/>
    </row>
    <row r="98" spans="1:6">
      <c r="A98" s="1296" t="s">
        <v>71</v>
      </c>
      <c r="B98" s="1297">
        <v>0</v>
      </c>
      <c r="C98" s="326"/>
      <c r="D98" s="326"/>
      <c r="E98" s="326"/>
      <c r="F98" s="326"/>
    </row>
    <row r="99" spans="1:6">
      <c r="A99" s="1296" t="s">
        <v>72</v>
      </c>
      <c r="B99" s="1297">
        <v>23</v>
      </c>
      <c r="C99" s="326"/>
      <c r="D99" s="326"/>
      <c r="E99" s="326"/>
      <c r="F99" s="326"/>
    </row>
    <row r="100" spans="1:6">
      <c r="A100" s="1296" t="s">
        <v>73</v>
      </c>
      <c r="B100" s="1297">
        <v>497</v>
      </c>
      <c r="C100" s="326"/>
      <c r="D100" s="326"/>
      <c r="E100" s="326"/>
      <c r="F100" s="326"/>
    </row>
    <row r="101" spans="1:6">
      <c r="A101" s="1296" t="s">
        <v>74</v>
      </c>
      <c r="B101" s="1297">
        <v>48</v>
      </c>
      <c r="C101" s="326"/>
      <c r="D101" s="326"/>
      <c r="E101" s="326"/>
      <c r="F101" s="326"/>
    </row>
    <row r="102" spans="1:6">
      <c r="A102" s="1296" t="s">
        <v>75</v>
      </c>
      <c r="B102" s="1297">
        <v>61</v>
      </c>
      <c r="C102" s="326"/>
      <c r="D102" s="326"/>
      <c r="E102" s="326"/>
      <c r="F102" s="326"/>
    </row>
    <row r="103" spans="1:6">
      <c r="A103" s="1296" t="s">
        <v>76</v>
      </c>
      <c r="B103" s="1297">
        <v>100</v>
      </c>
      <c r="C103" s="326"/>
      <c r="D103" s="326"/>
      <c r="E103" s="326"/>
      <c r="F103" s="326"/>
    </row>
    <row r="104" spans="1:6">
      <c r="A104" s="1296" t="s">
        <v>77</v>
      </c>
      <c r="B104" s="1297">
        <v>1227</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15</v>
      </c>
      <c r="C123" s="1297">
        <v>18</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117</v>
      </c>
      <c r="C129" s="326"/>
      <c r="D129" s="326"/>
      <c r="E129" s="326"/>
      <c r="F129" s="326"/>
    </row>
    <row r="130" spans="1:6">
      <c r="A130" s="1296" t="s">
        <v>283</v>
      </c>
      <c r="B130" s="1297">
        <v>2</v>
      </c>
      <c r="C130" s="326"/>
      <c r="D130" s="326"/>
      <c r="E130" s="326"/>
      <c r="F130" s="326"/>
    </row>
    <row r="131" spans="1:6">
      <c r="A131" s="1296" t="s">
        <v>284</v>
      </c>
      <c r="B131" s="1297">
        <v>1</v>
      </c>
      <c r="C131" s="326"/>
      <c r="D131" s="326"/>
      <c r="E131" s="326"/>
      <c r="F131" s="326"/>
    </row>
    <row r="132" spans="1:6">
      <c r="A132" s="1291" t="s">
        <v>285</v>
      </c>
      <c r="B132" s="1292">
        <v>15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42420.769066538684</v>
      </c>
      <c r="C3" s="43" t="s">
        <v>163</v>
      </c>
      <c r="D3" s="43"/>
      <c r="E3" s="154"/>
      <c r="F3" s="43"/>
      <c r="G3" s="43"/>
      <c r="H3" s="43"/>
      <c r="I3" s="43"/>
      <c r="J3" s="43"/>
      <c r="K3" s="96"/>
    </row>
    <row r="4" spans="1:11">
      <c r="A4" s="352" t="s">
        <v>164</v>
      </c>
      <c r="B4" s="49">
        <f>IF(ISERROR('SEAP template'!B78+'SEAP template'!C78),0,'SEAP template'!B78+'SEAP template'!C78)</f>
        <v>16015.263891385177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0.13756508361636549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871.26599999999996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871.26599999999996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0.13756508361636549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119.85578014209629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17733.751920000002</v>
      </c>
      <c r="C5" s="17">
        <f>IF(ISERROR('Eigen informatie GS &amp; warmtenet'!B59),0,'Eigen informatie GS &amp; warmtenet'!B59)</f>
        <v>0</v>
      </c>
      <c r="D5" s="30">
        <f>(SUM(HH_hh_gas_kWh,HH_rest_gas_kWh)/1000)*0.902</f>
        <v>52489.520662480005</v>
      </c>
      <c r="E5" s="17">
        <f>B32*B41</f>
        <v>1109.6351717051039</v>
      </c>
      <c r="F5" s="17">
        <f>B36*B45</f>
        <v>17888.797896672331</v>
      </c>
      <c r="G5" s="18"/>
      <c r="H5" s="17"/>
      <c r="I5" s="17"/>
      <c r="J5" s="17">
        <f>B35*B44+C35*C44</f>
        <v>71.464958913074355</v>
      </c>
      <c r="K5" s="17"/>
      <c r="L5" s="17"/>
      <c r="M5" s="17"/>
      <c r="N5" s="17">
        <f>B34*B43+C34*C43</f>
        <v>6173.4552504340782</v>
      </c>
      <c r="O5" s="17">
        <f>B52*B53*B54</f>
        <v>267.83435961724928</v>
      </c>
      <c r="P5" s="17">
        <f>B60*B61*B62/1000-B60*B61*B62/1000/B63</f>
        <v>326.5527385382357</v>
      </c>
    </row>
    <row r="6" spans="1:16">
      <c r="A6" s="16" t="s">
        <v>598</v>
      </c>
      <c r="B6" s="776">
        <f>kWh_PV_kleiner_dan_10kW</f>
        <v>2411.8315385081974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20145.583458508201</v>
      </c>
      <c r="C8" s="21">
        <f>C5</f>
        <v>0</v>
      </c>
      <c r="D8" s="21">
        <f>D5</f>
        <v>52489.520662480005</v>
      </c>
      <c r="E8" s="21">
        <f>E5</f>
        <v>1109.6351717051039</v>
      </c>
      <c r="F8" s="21">
        <f>F5</f>
        <v>17888.797896672331</v>
      </c>
      <c r="G8" s="21"/>
      <c r="H8" s="21"/>
      <c r="I8" s="21"/>
      <c r="J8" s="21">
        <f>J5</f>
        <v>71.464958913074355</v>
      </c>
      <c r="K8" s="21"/>
      <c r="L8" s="21">
        <f>L5</f>
        <v>0</v>
      </c>
      <c r="M8" s="21">
        <f>M5</f>
        <v>0</v>
      </c>
      <c r="N8" s="21">
        <f>N5</f>
        <v>6173.4552504340782</v>
      </c>
      <c r="O8" s="21">
        <f>O5</f>
        <v>267.83435961724928</v>
      </c>
      <c r="P8" s="21">
        <f>P5</f>
        <v>326.5527385382357</v>
      </c>
    </row>
    <row r="9" spans="1:16">
      <c r="B9" s="19"/>
      <c r="C9" s="19"/>
      <c r="D9" s="256"/>
      <c r="E9" s="19"/>
      <c r="F9" s="19"/>
      <c r="G9" s="19"/>
      <c r="H9" s="19"/>
      <c r="I9" s="19"/>
      <c r="J9" s="19"/>
      <c r="K9" s="19"/>
      <c r="L9" s="19"/>
      <c r="M9" s="19"/>
      <c r="N9" s="19"/>
      <c r="O9" s="19"/>
      <c r="P9" s="19"/>
    </row>
    <row r="10" spans="1:16">
      <c r="A10" s="24" t="s">
        <v>207</v>
      </c>
      <c r="B10" s="25">
        <f ca="1">'EF ele_warmte'!B12</f>
        <v>0.13756508361636549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2771.3288729701503</v>
      </c>
      <c r="C12" s="23">
        <f ca="1">C10*C8</f>
        <v>0</v>
      </c>
      <c r="D12" s="23">
        <f>D8*D10</f>
        <v>10602.883173820961</v>
      </c>
      <c r="E12" s="23">
        <f>E10*E8</f>
        <v>251.88718397705858</v>
      </c>
      <c r="F12" s="23">
        <f>F10*F8</f>
        <v>4776.309038411513</v>
      </c>
      <c r="G12" s="23"/>
      <c r="H12" s="23"/>
      <c r="I12" s="23"/>
      <c r="J12" s="23">
        <f>J10*J8</f>
        <v>25.29859545522832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4670</v>
      </c>
      <c r="C26" s="36"/>
      <c r="D26" s="226"/>
    </row>
    <row r="27" spans="1:7" s="15" customFormat="1">
      <c r="A27" s="228" t="s">
        <v>800</v>
      </c>
      <c r="B27" s="37">
        <f>SUM(HH_hh_gas_aantal,HH_rest_gas_aantal)</f>
        <v>3529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3352.55</v>
      </c>
      <c r="C31" s="166" t="s">
        <v>104</v>
      </c>
      <c r="D31" s="231"/>
      <c r="G31" s="15"/>
    </row>
    <row r="32" spans="1:7">
      <c r="A32" s="169" t="s">
        <v>72</v>
      </c>
      <c r="B32" s="166">
        <f>IF((B21*($B$26-($B$27-0.05*$B$27)-$B$60))&lt;0,0,B21*($B$26-($B$27-0.05*$B$27)-$B$60))</f>
        <v>20.42264935981229</v>
      </c>
      <c r="C32" s="166" t="s">
        <v>104</v>
      </c>
      <c r="D32" s="231"/>
      <c r="G32" s="15"/>
    </row>
    <row r="33" spans="1:7">
      <c r="A33" s="169" t="s">
        <v>73</v>
      </c>
      <c r="B33" s="166">
        <f>IF((B22*($B$26-($B$27-0.05*$B$27)-$B$60))&lt;0,0,B22*($B$26-($B$27-0.05*$B$27)-$B$60))</f>
        <v>331.6233781023472</v>
      </c>
      <c r="C33" s="166" t="s">
        <v>104</v>
      </c>
      <c r="D33" s="231"/>
      <c r="G33" s="15"/>
    </row>
    <row r="34" spans="1:7">
      <c r="A34" s="169" t="s">
        <v>74</v>
      </c>
      <c r="B34" s="166">
        <f>IF((B24*($B$26-($B$27-0.05*$B$27)-$B$60))&lt;0,0,B24*($B$26-($B$27-0.05*$B$27)-$B$60))</f>
        <v>63.576639520170779</v>
      </c>
      <c r="C34" s="166">
        <f>B26*C24</f>
        <v>956.91073889656127</v>
      </c>
      <c r="D34" s="231"/>
      <c r="G34" s="15"/>
    </row>
    <row r="35" spans="1:7">
      <c r="A35" s="169" t="s">
        <v>76</v>
      </c>
      <c r="B35" s="166">
        <f>IF((B19*($B$26-($B$27-0.05*$B$27)-$B$60))&lt;0,0,B19*($B$26-($B$27-0.05*$B$27)-$B$60))</f>
        <v>8.8776769877816442</v>
      </c>
      <c r="C35" s="166">
        <f>B35/2</f>
        <v>4.4388384938908221</v>
      </c>
      <c r="D35" s="232"/>
      <c r="G35" s="15"/>
    </row>
    <row r="36" spans="1:7">
      <c r="A36" s="169" t="s">
        <v>77</v>
      </c>
      <c r="B36" s="166">
        <f>IF((B18*($B$26-($B$27-0.05*$B$27)-$B$60))&lt;0,0,B18*($B$26-($B$27-0.05*$B$27)-$B$60))</f>
        <v>861.94965602988759</v>
      </c>
      <c r="C36" s="166" t="s">
        <v>104</v>
      </c>
      <c r="D36" s="232"/>
      <c r="G36" s="15"/>
    </row>
    <row r="37" spans="1:7">
      <c r="A37" s="169" t="s">
        <v>78</v>
      </c>
      <c r="B37" s="166">
        <f>B60</f>
        <v>31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135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14106.049878</v>
      </c>
      <c r="C5" s="17">
        <f>IF(ISERROR('Eigen informatie GS &amp; warmtenet'!B60),0,'Eigen informatie GS &amp; warmtenet'!B60)</f>
        <v>0</v>
      </c>
      <c r="D5" s="30">
        <f>SUM(D6:D12)</f>
        <v>26236.425766452005</v>
      </c>
      <c r="E5" s="17">
        <f>SUM(E6:E12)</f>
        <v>198.32254802499048</v>
      </c>
      <c r="F5" s="17">
        <f>SUM(F6:F12)</f>
        <v>1621.9503283269812</v>
      </c>
      <c r="G5" s="18"/>
      <c r="H5" s="17"/>
      <c r="I5" s="17"/>
      <c r="J5" s="17">
        <f>SUM(J6:J12)</f>
        <v>1.9539295907603775E-2</v>
      </c>
      <c r="K5" s="17"/>
      <c r="L5" s="17"/>
      <c r="M5" s="17"/>
      <c r="N5" s="17">
        <f>SUM(N6:N12)</f>
        <v>773.54888713786841</v>
      </c>
      <c r="O5" s="17">
        <f>B38*B39*B40</f>
        <v>9.7945215316823084</v>
      </c>
      <c r="P5" s="17">
        <f>B46*B47*B48/1000-B46*B47*B48/1000/B49</f>
        <v>52.539138306495019</v>
      </c>
      <c r="R5" s="32"/>
    </row>
    <row r="6" spans="1:18">
      <c r="A6" s="32" t="s">
        <v>53</v>
      </c>
      <c r="B6" s="37">
        <f>B26</f>
        <v>3741.097139</v>
      </c>
      <c r="C6" s="33"/>
      <c r="D6" s="37">
        <f>IF(ISERROR(TER_kantoor_gas_kWh/1000),0,TER_kantoor_gas_kWh/1000)*0.902</f>
        <v>5043.7702882380008</v>
      </c>
      <c r="E6" s="33">
        <f>$C$26*'E Balans VL '!I12/100/3.6*1000000</f>
        <v>30.103409187291518</v>
      </c>
      <c r="F6" s="33">
        <f>$C$26*('E Balans VL '!L12+'E Balans VL '!N12)/100/3.6*1000000</f>
        <v>457.38848032467354</v>
      </c>
      <c r="G6" s="34"/>
      <c r="H6" s="33"/>
      <c r="I6" s="33"/>
      <c r="J6" s="33">
        <f>$C$26*('E Balans VL '!D12+'E Balans VL '!E12)/100/3.6*1000000</f>
        <v>0</v>
      </c>
      <c r="K6" s="33"/>
      <c r="L6" s="33"/>
      <c r="M6" s="33"/>
      <c r="N6" s="33">
        <f>$C$26*'E Balans VL '!Y12/100/3.6*1000000</f>
        <v>2.0106554831183474</v>
      </c>
      <c r="O6" s="33"/>
      <c r="P6" s="33"/>
      <c r="R6" s="32"/>
    </row>
    <row r="7" spans="1:18">
      <c r="A7" s="32" t="s">
        <v>52</v>
      </c>
      <c r="B7" s="37">
        <f t="shared" ref="B7:B12" si="0">B27</f>
        <v>1477.485463</v>
      </c>
      <c r="C7" s="33"/>
      <c r="D7" s="37">
        <f>IF(ISERROR(TER_horeca_gas_kWh/1000),0,TER_horeca_gas_kWh/1000)*0.902</f>
        <v>1327.9870890000002</v>
      </c>
      <c r="E7" s="33">
        <f>$C$27*'E Balans VL '!I9/100/3.6*1000000</f>
        <v>15.864565802612068</v>
      </c>
      <c r="F7" s="33">
        <f>$C$27*('E Balans VL '!L9+'E Balans VL '!N9)/100/3.6*1000000</f>
        <v>177.70567410793097</v>
      </c>
      <c r="G7" s="34"/>
      <c r="H7" s="33"/>
      <c r="I7" s="33"/>
      <c r="J7" s="33">
        <f>$C$27*('E Balans VL '!D9+'E Balans VL '!E9)/100/3.6*1000000</f>
        <v>0</v>
      </c>
      <c r="K7" s="33"/>
      <c r="L7" s="33"/>
      <c r="M7" s="33"/>
      <c r="N7" s="33">
        <f>$C$27*'E Balans VL '!Y9/100/3.6*1000000</f>
        <v>0.22150501605744652</v>
      </c>
      <c r="O7" s="33"/>
      <c r="P7" s="33"/>
      <c r="R7" s="32"/>
    </row>
    <row r="8" spans="1:18">
      <c r="A8" s="6" t="s">
        <v>51</v>
      </c>
      <c r="B8" s="37">
        <f t="shared" si="0"/>
        <v>2797.6884360000004</v>
      </c>
      <c r="C8" s="33"/>
      <c r="D8" s="37">
        <f>IF(ISERROR(TER_handel_gas_kWh/1000),0,TER_handel_gas_kWh/1000)*0.902</f>
        <v>5940.4065280999994</v>
      </c>
      <c r="E8" s="33">
        <f>$C$28*'E Balans VL '!I13/100/3.6*1000000</f>
        <v>75.081392582180882</v>
      </c>
      <c r="F8" s="33">
        <f>$C$28*('E Balans VL '!L13+'E Balans VL '!N13)/100/3.6*1000000</f>
        <v>266.985703775339</v>
      </c>
      <c r="G8" s="34"/>
      <c r="H8" s="33"/>
      <c r="I8" s="33"/>
      <c r="J8" s="33">
        <f>$C$28*('E Balans VL '!D13+'E Balans VL '!E13)/100/3.6*1000000</f>
        <v>0</v>
      </c>
      <c r="K8" s="33"/>
      <c r="L8" s="33"/>
      <c r="M8" s="33"/>
      <c r="N8" s="33">
        <f>$C$28*'E Balans VL '!Y13/100/3.6*1000000</f>
        <v>1.1090355068263722</v>
      </c>
      <c r="O8" s="33"/>
      <c r="P8" s="33"/>
      <c r="R8" s="32"/>
    </row>
    <row r="9" spans="1:18">
      <c r="A9" s="32" t="s">
        <v>50</v>
      </c>
      <c r="B9" s="37">
        <f t="shared" si="0"/>
        <v>328.90161599999999</v>
      </c>
      <c r="C9" s="33"/>
      <c r="D9" s="37">
        <f>IF(ISERROR(TER_gezond_gas_kWh/1000),0,TER_gezond_gas_kWh/1000)*0.902</f>
        <v>4400.2484744020003</v>
      </c>
      <c r="E9" s="33">
        <f>$C$29*'E Balans VL '!I10/100/3.6*1000000</f>
        <v>0.61646872340064196</v>
      </c>
      <c r="F9" s="33">
        <f>$C$29*('E Balans VL '!L10+'E Balans VL '!N10)/100/3.6*1000000</f>
        <v>27.038713831209311</v>
      </c>
      <c r="G9" s="34"/>
      <c r="H9" s="33"/>
      <c r="I9" s="33"/>
      <c r="J9" s="33">
        <f>$C$29*('E Balans VL '!D10+'E Balans VL '!E10)/100/3.6*1000000</f>
        <v>0</v>
      </c>
      <c r="K9" s="33"/>
      <c r="L9" s="33"/>
      <c r="M9" s="33"/>
      <c r="N9" s="33">
        <f>$C$29*'E Balans VL '!Y10/100/3.6*1000000</f>
        <v>2.5590999683457203</v>
      </c>
      <c r="O9" s="33"/>
      <c r="P9" s="33"/>
      <c r="R9" s="32"/>
    </row>
    <row r="10" spans="1:18">
      <c r="A10" s="32" t="s">
        <v>49</v>
      </c>
      <c r="B10" s="37">
        <f t="shared" si="0"/>
        <v>663.71814399999994</v>
      </c>
      <c r="C10" s="33"/>
      <c r="D10" s="37">
        <f>IF(ISERROR(TER_ander_gas_kWh/1000),0,TER_ander_gas_kWh/1000)*0.902</f>
        <v>468.50591226999995</v>
      </c>
      <c r="E10" s="33">
        <f>$C$30*'E Balans VL '!I14/100/3.6*1000000</f>
        <v>1.0231282443280376</v>
      </c>
      <c r="F10" s="33">
        <f>$C$30*('E Balans VL '!L14+'E Balans VL '!N14)/100/3.6*1000000</f>
        <v>103.04242508546739</v>
      </c>
      <c r="G10" s="34"/>
      <c r="H10" s="33"/>
      <c r="I10" s="33"/>
      <c r="J10" s="33">
        <f>$C$30*('E Balans VL '!D14+'E Balans VL '!E14)/100/3.6*1000000</f>
        <v>1.1267315468014759E-2</v>
      </c>
      <c r="K10" s="33"/>
      <c r="L10" s="33"/>
      <c r="M10" s="33"/>
      <c r="N10" s="33">
        <f>$C$30*'E Balans VL '!Y14/100/3.6*1000000</f>
        <v>439.09465206356037</v>
      </c>
      <c r="O10" s="33"/>
      <c r="P10" s="33"/>
      <c r="R10" s="32"/>
    </row>
    <row r="11" spans="1:18">
      <c r="A11" s="32" t="s">
        <v>54</v>
      </c>
      <c r="B11" s="37">
        <f t="shared" si="0"/>
        <v>780.84871799999996</v>
      </c>
      <c r="C11" s="33"/>
      <c r="D11" s="37">
        <f>IF(ISERROR(TER_onderwijs_gas_kWh/1000),0,TER_onderwijs_gas_kWh/1000)*0.902</f>
        <v>1246.6920037220002</v>
      </c>
      <c r="E11" s="33">
        <f>$C$31*'E Balans VL '!I11/100/3.6*1000000</f>
        <v>19.916975549809845</v>
      </c>
      <c r="F11" s="33">
        <f>$C$31*('E Balans VL '!L11+'E Balans VL '!N11)/100/3.6*1000000</f>
        <v>93.904407967517429</v>
      </c>
      <c r="G11" s="34"/>
      <c r="H11" s="33"/>
      <c r="I11" s="33"/>
      <c r="J11" s="33">
        <f>$C$31*('E Balans VL '!D11+'E Balans VL '!E11)/100/3.6*1000000</f>
        <v>0</v>
      </c>
      <c r="K11" s="33"/>
      <c r="L11" s="33"/>
      <c r="M11" s="33"/>
      <c r="N11" s="33">
        <f>$C$31*'E Balans VL '!Y11/100/3.6*1000000</f>
        <v>1.736588495959108</v>
      </c>
      <c r="O11" s="33"/>
      <c r="P11" s="33"/>
      <c r="R11" s="32"/>
    </row>
    <row r="12" spans="1:18">
      <c r="A12" s="32" t="s">
        <v>248</v>
      </c>
      <c r="B12" s="37">
        <f t="shared" si="0"/>
        <v>4316.3103620000002</v>
      </c>
      <c r="C12" s="33"/>
      <c r="D12" s="37">
        <f>IF(ISERROR(TER_rest_gas_kWh/1000),0,TER_rest_gas_kWh/1000)*0.902</f>
        <v>7808.8154707200001</v>
      </c>
      <c r="E12" s="33">
        <f>$C$32*'E Balans VL '!I8/100/3.6*1000000</f>
        <v>55.716607935367499</v>
      </c>
      <c r="F12" s="33">
        <f>$C$32*('E Balans VL '!L8+'E Balans VL '!N8)/100/3.6*1000000</f>
        <v>495.88492323484343</v>
      </c>
      <c r="G12" s="34"/>
      <c r="H12" s="33"/>
      <c r="I12" s="33"/>
      <c r="J12" s="33">
        <f>$C$32*('E Balans VL '!D8+'E Balans VL '!E8)/100/3.6*1000000</f>
        <v>8.2719804395890162E-3</v>
      </c>
      <c r="K12" s="33"/>
      <c r="L12" s="33"/>
      <c r="M12" s="33"/>
      <c r="N12" s="33">
        <f>$C$32*'E Balans VL '!Y8/100/3.6*1000000</f>
        <v>326.81735060400104</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14106.049878</v>
      </c>
      <c r="C16" s="21">
        <f t="shared" ca="1" si="1"/>
        <v>0</v>
      </c>
      <c r="D16" s="21">
        <f t="shared" ca="1" si="1"/>
        <v>26236.425766452005</v>
      </c>
      <c r="E16" s="21">
        <f t="shared" si="1"/>
        <v>198.32254802499048</v>
      </c>
      <c r="F16" s="21">
        <f t="shared" ca="1" si="1"/>
        <v>1621.9503283269812</v>
      </c>
      <c r="G16" s="21">
        <f t="shared" si="1"/>
        <v>0</v>
      </c>
      <c r="H16" s="21">
        <f t="shared" si="1"/>
        <v>0</v>
      </c>
      <c r="I16" s="21">
        <f t="shared" si="1"/>
        <v>0</v>
      </c>
      <c r="J16" s="21">
        <f t="shared" si="1"/>
        <v>1.9539295907603775E-2</v>
      </c>
      <c r="K16" s="21">
        <f t="shared" si="1"/>
        <v>0</v>
      </c>
      <c r="L16" s="21">
        <f t="shared" ca="1" si="1"/>
        <v>0</v>
      </c>
      <c r="M16" s="21">
        <f t="shared" si="1"/>
        <v>0</v>
      </c>
      <c r="N16" s="21">
        <f t="shared" ca="1" si="1"/>
        <v>773.54888713786841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0.13756508361636549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1940.4999309636921</v>
      </c>
      <c r="C20" s="23">
        <f t="shared" ref="C20:P20" ca="1" si="2">C16*C18</f>
        <v>0</v>
      </c>
      <c r="D20" s="23">
        <f t="shared" ca="1" si="2"/>
        <v>5299.7580048233049</v>
      </c>
      <c r="E20" s="23">
        <f t="shared" si="2"/>
        <v>45.019218401672838</v>
      </c>
      <c r="F20" s="23">
        <f t="shared" ca="1" si="2"/>
        <v>433.060737663304</v>
      </c>
      <c r="G20" s="23">
        <f t="shared" si="2"/>
        <v>0</v>
      </c>
      <c r="H20" s="23">
        <f t="shared" si="2"/>
        <v>0</v>
      </c>
      <c r="I20" s="23">
        <f t="shared" si="2"/>
        <v>0</v>
      </c>
      <c r="J20" s="23">
        <f t="shared" si="2"/>
        <v>6.9169107512917364E-3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3741.097139</v>
      </c>
      <c r="C26" s="39">
        <f>IF(ISERROR(B26*3.6/1000000/'E Balans VL '!Z12*100),0,B26*3.6/1000000/'E Balans VL '!Z12*100)</f>
        <v>7.9363953093045253E-2</v>
      </c>
      <c r="D26" s="235" t="s">
        <v>692</v>
      </c>
      <c r="F26" s="6"/>
    </row>
    <row r="27" spans="1:18">
      <c r="A27" s="229" t="s">
        <v>52</v>
      </c>
      <c r="B27" s="33">
        <f>IF(ISERROR(TER_horeca_ele_kWh/1000),0,TER_horeca_ele_kWh/1000)</f>
        <v>1477.485463</v>
      </c>
      <c r="C27" s="39">
        <f>IF(ISERROR(B27*3.6/1000000/'E Balans VL '!Z9*100),0,B27*3.6/1000000/'E Balans VL '!Z9*100)</f>
        <v>0.11126774367856272</v>
      </c>
      <c r="D27" s="235" t="s">
        <v>692</v>
      </c>
      <c r="F27" s="6"/>
    </row>
    <row r="28" spans="1:18">
      <c r="A28" s="169" t="s">
        <v>51</v>
      </c>
      <c r="B28" s="33">
        <f>IF(ISERROR(TER_handel_ele_kWh/1000),0,TER_handel_ele_kWh/1000)</f>
        <v>2797.6884360000004</v>
      </c>
      <c r="C28" s="39">
        <f>IF(ISERROR(B28*3.6/1000000/'E Balans VL '!Z13*100),0,B28*3.6/1000000/'E Balans VL '!Z13*100)</f>
        <v>8.1206982313522413E-2</v>
      </c>
      <c r="D28" s="235" t="s">
        <v>692</v>
      </c>
      <c r="F28" s="6"/>
    </row>
    <row r="29" spans="1:18">
      <c r="A29" s="229" t="s">
        <v>50</v>
      </c>
      <c r="B29" s="33">
        <f>IF(ISERROR(TER_gezond_ele_kWh/1000),0,TER_gezond_ele_kWh/1000)</f>
        <v>328.90161599999999</v>
      </c>
      <c r="C29" s="39">
        <f>IF(ISERROR(B29*3.6/1000000/'E Balans VL '!Z10*100),0,B29*3.6/1000000/'E Balans VL '!Z10*100)</f>
        <v>3.3170120204752303E-2</v>
      </c>
      <c r="D29" s="235" t="s">
        <v>692</v>
      </c>
      <c r="F29" s="6"/>
    </row>
    <row r="30" spans="1:18">
      <c r="A30" s="229" t="s">
        <v>49</v>
      </c>
      <c r="B30" s="33">
        <f>IF(ISERROR(TER_ander_ele_kWh/1000),0,TER_ander_ele_kWh/1000)</f>
        <v>663.71814399999994</v>
      </c>
      <c r="C30" s="39">
        <f>IF(ISERROR(B30*3.6/1000000/'E Balans VL '!Z14*100),0,B30*3.6/1000000/'E Balans VL '!Z14*100)</f>
        <v>4.8161806122923319E-2</v>
      </c>
      <c r="D30" s="235" t="s">
        <v>692</v>
      </c>
      <c r="F30" s="6"/>
    </row>
    <row r="31" spans="1:18">
      <c r="A31" s="229" t="s">
        <v>54</v>
      </c>
      <c r="B31" s="33">
        <f>IF(ISERROR(TER_onderwijs_ele_kWh/1000),0,TER_onderwijs_ele_kWh/1000)</f>
        <v>780.84871799999996</v>
      </c>
      <c r="C31" s="39">
        <f>IF(ISERROR(B31*3.6/1000000/'E Balans VL '!Z11*100),0,B31*3.6/1000000/'E Balans VL '!Z11*100)</f>
        <v>0.22257368227041038</v>
      </c>
      <c r="D31" s="235" t="s">
        <v>692</v>
      </c>
    </row>
    <row r="32" spans="1:18">
      <c r="A32" s="229" t="s">
        <v>248</v>
      </c>
      <c r="B32" s="33">
        <f>IF(ISERROR(TER_rest_ele_kWh/1000),0,TER_rest_ele_kWh/1000)</f>
        <v>4316.3103620000002</v>
      </c>
      <c r="C32" s="39">
        <f>IF(ISERROR(B32*3.6/1000000/'E Balans VL '!Z8*100),0,B32*3.6/1000000/'E Balans VL '!Z8*100)</f>
        <v>3.5358335294245112E-2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5822.790712</v>
      </c>
      <c r="C5" s="17">
        <f>IF(ISERROR('Eigen informatie GS &amp; warmtenet'!B61),0,'Eigen informatie GS &amp; warmtenet'!B61)</f>
        <v>0</v>
      </c>
      <c r="D5" s="30">
        <f>SUM(D6:D15)</f>
        <v>8040.5285603719994</v>
      </c>
      <c r="E5" s="17">
        <f>SUM(E6:E15)</f>
        <v>444.00731602569283</v>
      </c>
      <c r="F5" s="17">
        <f>SUM(F6:F15)</f>
        <v>1532.2694940150889</v>
      </c>
      <c r="G5" s="18"/>
      <c r="H5" s="17"/>
      <c r="I5" s="17"/>
      <c r="J5" s="17">
        <f>SUM(J6:J15)</f>
        <v>9.3940648299420282</v>
      </c>
      <c r="K5" s="17"/>
      <c r="L5" s="17"/>
      <c r="M5" s="17"/>
      <c r="N5" s="17">
        <f>SUM(N6:N15)</f>
        <v>334.77009114898266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82.280597999999998</v>
      </c>
      <c r="C8" s="33"/>
      <c r="D8" s="37">
        <f>IF( ISERROR(IND_metaal_Gas_kWH/1000),0,IND_metaal_Gas_kWH/1000)*0.902</f>
        <v>0</v>
      </c>
      <c r="E8" s="33">
        <f>C30*'E Balans VL '!I18/100/3.6*1000000</f>
        <v>0.59359676464904132</v>
      </c>
      <c r="F8" s="33">
        <f>C30*'E Balans VL '!L18/100/3.6*1000000+C30*'E Balans VL '!N18/100/3.6*1000000</f>
        <v>7.7822274228494184</v>
      </c>
      <c r="G8" s="34"/>
      <c r="H8" s="33"/>
      <c r="I8" s="33"/>
      <c r="J8" s="40">
        <f>C30*'E Balans VL '!D18/100/3.6*1000000+C30*'E Balans VL '!E18/100/3.6*1000000</f>
        <v>8.2758303617256168E-2</v>
      </c>
      <c r="K8" s="33"/>
      <c r="L8" s="33"/>
      <c r="M8" s="33"/>
      <c r="N8" s="33">
        <f>C30*'E Balans VL '!Y18/100/3.6*1000000</f>
        <v>1.0402444516902538</v>
      </c>
      <c r="O8" s="33"/>
      <c r="P8" s="33"/>
      <c r="R8" s="32"/>
    </row>
    <row r="9" spans="1:18">
      <c r="A9" s="6" t="s">
        <v>32</v>
      </c>
      <c r="B9" s="37">
        <f t="shared" si="0"/>
        <v>1399.8166389999999</v>
      </c>
      <c r="C9" s="33"/>
      <c r="D9" s="37">
        <f>IF( ISERROR(IND_andere_gas_kWh/1000),0,IND_andere_gas_kWh/1000)*0.902</f>
        <v>1536.5935391180001</v>
      </c>
      <c r="E9" s="33">
        <f>C31*'E Balans VL '!I19/100/3.6*1000000</f>
        <v>387.90790856038285</v>
      </c>
      <c r="F9" s="33">
        <f>C31*'E Balans VL '!L19/100/3.6*1000000+C31*'E Balans VL '!N19/100/3.6*1000000</f>
        <v>1160.1710554302706</v>
      </c>
      <c r="G9" s="34"/>
      <c r="H9" s="33"/>
      <c r="I9" s="33"/>
      <c r="J9" s="40">
        <f>C31*'E Balans VL '!D19/100/3.6*1000000+C31*'E Balans VL '!E19/100/3.6*1000000</f>
        <v>0</v>
      </c>
      <c r="K9" s="33"/>
      <c r="L9" s="33"/>
      <c r="M9" s="33"/>
      <c r="N9" s="33">
        <f>C31*'E Balans VL '!Y19/100/3.6*1000000</f>
        <v>101.60956638034914</v>
      </c>
      <c r="O9" s="33"/>
      <c r="P9" s="33"/>
      <c r="R9" s="32"/>
    </row>
    <row r="10" spans="1:18">
      <c r="A10" s="6" t="s">
        <v>40</v>
      </c>
      <c r="B10" s="37">
        <f t="shared" si="0"/>
        <v>3283.686573</v>
      </c>
      <c r="C10" s="33"/>
      <c r="D10" s="37">
        <f>IF( ISERROR(IND_voed_gas_kWh/1000),0,IND_voed_gas_kWh/1000)*0.902</f>
        <v>5766.27241091</v>
      </c>
      <c r="E10" s="33">
        <f>C32*'E Balans VL '!I20/100/3.6*1000000</f>
        <v>5.813237490162189</v>
      </c>
      <c r="F10" s="33">
        <f>C32*'E Balans VL '!L20/100/3.6*1000000+C32*'E Balans VL '!N20/100/3.6*1000000</f>
        <v>177.34817799503784</v>
      </c>
      <c r="G10" s="34"/>
      <c r="H10" s="33"/>
      <c r="I10" s="33"/>
      <c r="J10" s="40">
        <f>C32*'E Balans VL '!D20/100/3.6*1000000+C32*'E Balans VL '!E20/100/3.6*1000000</f>
        <v>0</v>
      </c>
      <c r="K10" s="33"/>
      <c r="L10" s="33"/>
      <c r="M10" s="33"/>
      <c r="N10" s="33">
        <f>C32*'E Balans VL '!Y20/100/3.6*1000000</f>
        <v>190.80726771815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5.7259409999999997</v>
      </c>
      <c r="C13" s="33"/>
      <c r="D13" s="37">
        <f>IF( ISERROR(IND_papier_gas_kWh/1000),0,IND_papier_gas_kWh/1000)*0.902</f>
        <v>48.933953705999997</v>
      </c>
      <c r="E13" s="33">
        <f>C35*'E Balans VL '!I23/100/3.6*1000000</f>
        <v>8.4248253856288279E-3</v>
      </c>
      <c r="F13" s="33">
        <f>C35*'E Balans VL '!L23/100/3.6*1000000+C35*'E Balans VL '!N23/100/3.6*1000000</f>
        <v>6.1309405445682093E-2</v>
      </c>
      <c r="G13" s="34"/>
      <c r="H13" s="33"/>
      <c r="I13" s="33"/>
      <c r="J13" s="40">
        <f>C35*'E Balans VL '!D23/100/3.6*1000000+C35*'E Balans VL '!E23/100/3.6*1000000</f>
        <v>0.62645005479687021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1051.2809609999999</v>
      </c>
      <c r="C15" s="33"/>
      <c r="D15" s="37">
        <f>IF( ISERROR(IND_rest_gas_kWh/1000),0,IND_rest_gas_kWh/1000)*0.902</f>
        <v>688.72865663800007</v>
      </c>
      <c r="E15" s="33">
        <f>C37*'E Balans VL '!I15/100/3.6*1000000</f>
        <v>49.684148385113133</v>
      </c>
      <c r="F15" s="33">
        <f>C37*'E Balans VL '!L15/100/3.6*1000000+C37*'E Balans VL '!N15/100/3.6*1000000</f>
        <v>186.90672376148547</v>
      </c>
      <c r="G15" s="34"/>
      <c r="H15" s="33"/>
      <c r="I15" s="33"/>
      <c r="J15" s="40">
        <f>C37*'E Balans VL '!D15/100/3.6*1000000+C37*'E Balans VL '!E15/100/3.6*1000000</f>
        <v>8.6848564715279011</v>
      </c>
      <c r="K15" s="33"/>
      <c r="L15" s="33"/>
      <c r="M15" s="33"/>
      <c r="N15" s="33">
        <f>C37*'E Balans VL '!Y15/100/3.6*1000000</f>
        <v>41.313012598793271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5822.790712</v>
      </c>
      <c r="C18" s="21">
        <f>C5+C16</f>
        <v>0</v>
      </c>
      <c r="D18" s="21">
        <f>MAX((D5+D16),0)</f>
        <v>8040.5285603719994</v>
      </c>
      <c r="E18" s="21">
        <f>MAX((E5+E16),0)</f>
        <v>444.00731602569283</v>
      </c>
      <c r="F18" s="21">
        <f>MAX((F5+F16),0)</f>
        <v>1532.2694940150889</v>
      </c>
      <c r="G18" s="21"/>
      <c r="H18" s="21"/>
      <c r="I18" s="21"/>
      <c r="J18" s="21">
        <f>MAX((J5+J16),0)</f>
        <v>9.3940648299420282</v>
      </c>
      <c r="K18" s="21"/>
      <c r="L18" s="21">
        <f>MAX((L5+L16),0)</f>
        <v>0</v>
      </c>
      <c r="M18" s="21"/>
      <c r="N18" s="21">
        <f>MAX((N5+N16),0)</f>
        <v>334.77009114898266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0.13756508361636549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801.01269117687639</v>
      </c>
      <c r="C22" s="23">
        <f ca="1">C18*C20</f>
        <v>0</v>
      </c>
      <c r="D22" s="23">
        <f>D18*D20</f>
        <v>1624.1867691951441</v>
      </c>
      <c r="E22" s="23">
        <f>E18*E20</f>
        <v>100.78966073783228</v>
      </c>
      <c r="F22" s="23">
        <f>F18*F20</f>
        <v>409.11595490202876</v>
      </c>
      <c r="G22" s="23"/>
      <c r="H22" s="23"/>
      <c r="I22" s="23"/>
      <c r="J22" s="23">
        <f>J18*J20</f>
        <v>3.3254989497994778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82.280597999999998</v>
      </c>
      <c r="C30" s="39">
        <f>IF(ISERROR(B30*3.6/1000000/'E Balans VL '!Z18*100),0,B30*3.6/1000000/'E Balans VL '!Z18*100)</f>
        <v>4.7499305362008063E-3</v>
      </c>
      <c r="D30" s="235" t="s">
        <v>692</v>
      </c>
    </row>
    <row r="31" spans="1:18">
      <c r="A31" s="6" t="s">
        <v>32</v>
      </c>
      <c r="B31" s="37">
        <f>IF( ISERROR(IND_ander_ele_kWh/1000),0,IND_ander_ele_kWh/1000)</f>
        <v>1399.8166389999999</v>
      </c>
      <c r="C31" s="39">
        <f>IF(ISERROR(B31*3.6/1000000/'E Balans VL '!Z19*100),0,B31*3.6/1000000/'E Balans VL '!Z19*100)</f>
        <v>7.0406239611754518E-2</v>
      </c>
      <c r="D31" s="235" t="s">
        <v>692</v>
      </c>
    </row>
    <row r="32" spans="1:18">
      <c r="A32" s="169" t="s">
        <v>40</v>
      </c>
      <c r="B32" s="37">
        <f>IF( ISERROR(IND_voed_ele_kWh/1000),0,IND_voed_ele_kWh/1000)</f>
        <v>3283.686573</v>
      </c>
      <c r="C32" s="39">
        <f>IF(ISERROR(B32*3.6/1000000/'E Balans VL '!Z20*100),0,B32*3.6/1000000/'E Balans VL '!Z20*100)</f>
        <v>0.10936626222640507</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5.7259409999999997</v>
      </c>
      <c r="C35" s="39">
        <f>IF(ISERROR(B35*3.6/1000000/'E Balans VL '!Z22*100),0,B35*3.6/1000000/'E Balans VL '!Z22*100)</f>
        <v>1.0680813979346659E-3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1051.2809609999999</v>
      </c>
      <c r="C37" s="39">
        <f>IF(ISERROR(B37*3.6/1000000/'E Balans VL '!Z15*100),0,B37*3.6/1000000/'E Balans VL '!Z15*100)</f>
        <v>8.2028663615086733E-3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189.14519300000001</v>
      </c>
      <c r="C5" s="17">
        <f>'Eigen informatie GS &amp; warmtenet'!B62</f>
        <v>0</v>
      </c>
      <c r="D5" s="30">
        <f>IF(ISERROR(SUM(LB_lb_gas_kWh,LB_rest_gas_kWh)/1000),0,SUM(LB_lb_gas_kWh,LB_rest_gas_kWh)/1000)*0.902</f>
        <v>918.71821821999993</v>
      </c>
      <c r="E5" s="17">
        <f>B17*'E Balans VL '!I25/3.6*1000000/100</f>
        <v>5.9031591011400977</v>
      </c>
      <c r="F5" s="17">
        <f>B17*('E Balans VL '!L25/3.6*1000000+'E Balans VL '!N25/3.6*1000000)/100</f>
        <v>668.46006500125407</v>
      </c>
      <c r="G5" s="18"/>
      <c r="H5" s="17"/>
      <c r="I5" s="17"/>
      <c r="J5" s="17">
        <f>('E Balans VL '!D25+'E Balans VL '!E25)/3.6*1000000*landbouw!B17/100</f>
        <v>52.110812381917704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189.14519300000001</v>
      </c>
      <c r="C8" s="21">
        <f>C5+C6</f>
        <v>0</v>
      </c>
      <c r="D8" s="21">
        <f>MAX((D5+D6),0)</f>
        <v>918.71821821999993</v>
      </c>
      <c r="E8" s="21">
        <f>MAX((E5+E6),0)</f>
        <v>5.9031591011400977</v>
      </c>
      <c r="F8" s="21">
        <f>MAX((F5+F6),0)</f>
        <v>668.46006500125407</v>
      </c>
      <c r="G8" s="21"/>
      <c r="H8" s="21"/>
      <c r="I8" s="21"/>
      <c r="J8" s="21">
        <f>MAX((J5+J6),0)</f>
        <v>52.110812381917704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0.13756508361636549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26.01977429067859</v>
      </c>
      <c r="C12" s="23">
        <f ca="1">C8*C10</f>
        <v>0</v>
      </c>
      <c r="D12" s="23">
        <f>D8*D10</f>
        <v>185.58108008043999</v>
      </c>
      <c r="E12" s="23">
        <f>E8*E10</f>
        <v>1.3400171159588021</v>
      </c>
      <c r="F12" s="23">
        <f>F8*F10</f>
        <v>178.47883735533483</v>
      </c>
      <c r="G12" s="23"/>
      <c r="H12" s="23"/>
      <c r="I12" s="23"/>
      <c r="J12" s="23">
        <f>J8*J10</f>
        <v>18.447227583198867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2.8117788860629229E-2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57.32159592834779</v>
      </c>
      <c r="C26" s="245">
        <f>B26*'GWP N2O_CH4'!B5</f>
        <v>1203.7535144953035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17.526054577924491</v>
      </c>
      <c r="C27" s="245">
        <f>B27*'GWP N2O_CH4'!B5</f>
        <v>368.04714613641431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0.72461128453326507</v>
      </c>
      <c r="C28" s="245">
        <f>B28*'GWP N2O_CH4'!B4</f>
        <v>224.62949820531216</v>
      </c>
      <c r="D28" s="50"/>
    </row>
    <row r="29" spans="1:4">
      <c r="A29" s="41" t="s">
        <v>265</v>
      </c>
      <c r="B29" s="245">
        <f>B34*'ha_N2O bodem landbouw'!B4</f>
        <v>3.2363008786630481</v>
      </c>
      <c r="C29" s="245">
        <f>B29*'GWP N2O_CH4'!B4</f>
        <v>1003.2532723855448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7.0966251440363786E-4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9.7576230145614599E-4</v>
      </c>
      <c r="C5" s="431" t="s">
        <v>204</v>
      </c>
      <c r="D5" s="416">
        <f>SUM(D6:D11)</f>
        <v>1.39071264245162E-3</v>
      </c>
      <c r="E5" s="416">
        <f>SUM(E6:E11)</f>
        <v>1.4269256463849481E-3</v>
      </c>
      <c r="F5" s="429" t="s">
        <v>204</v>
      </c>
      <c r="G5" s="416">
        <f>SUM(G6:G11)</f>
        <v>0.66468082672523965</v>
      </c>
      <c r="H5" s="416">
        <f>SUM(H6:H11)</f>
        <v>0.12845877839531944</v>
      </c>
      <c r="I5" s="431" t="s">
        <v>204</v>
      </c>
      <c r="J5" s="431" t="s">
        <v>204</v>
      </c>
      <c r="K5" s="431" t="s">
        <v>204</v>
      </c>
      <c r="L5" s="431" t="s">
        <v>204</v>
      </c>
      <c r="M5" s="416">
        <f>SUM(M6:M11)</f>
        <v>4.6818653460065314E-2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1.209183726563125E-4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2.0412197060903185E-4</v>
      </c>
      <c r="E6" s="882">
        <f>vkm_GW_PW*SUMIFS(TableVerdeelsleutelVkm[LPG],TableVerdeelsleutelVkm[Voertuigtype],"Lichte voertuigen")*SUMIFS(TableECFTransport[EnergieConsumptieFactor (PJ per km)],TableECFTransport[Index],CONCATENATE($A6,"_LPG_LPG"))</f>
        <v>1.788664552822292E-4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5.5874406736749739E-2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1.8207714364471148E-2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4.4262469807916597E-3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8.630841791624581E-7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3.2941509562048582E-2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4.5789754308370652E-7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1.8988270089765988E-3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3.4488923473506363E-5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7.4340451410400457E-5</v>
      </c>
      <c r="E8" s="419">
        <f>vkm_NGW_PW*SUMIFS(TableVerdeelsleutelVkm[LPG],TableVerdeelsleutelVkm[Voertuigtype],"Lichte voertuigen")*SUMIFS(TableECFTransport[EnergieConsumptieFactor (PJ per km)],TableECFTransport[Index],CONCATENATE($A8,"_LPG_LPG"))</f>
        <v>6.2402259095081371E-5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1.8010046437641012E-2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6.5350519116585144E-3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1.4708225842899503E-3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1.4621284748491042E-7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7.1742097662241596E-3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9.3630456051670358E-8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4.1353812144500631E-4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8.1345727526016911E-4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1.1122502204321877E-3</v>
      </c>
      <c r="E10" s="419">
        <f>vkm_SW_PW*SUMIFS(TableVerdeelsleutelVkm[LPG],TableVerdeelsleutelVkm[Voertuigtype],"Lichte voertuigen")*SUMIFS(TableECFTransport[EnergieConsumptieFactor (PJ per km)],TableECFTransport[Index],CONCATENATE($A10,"_LPG_LPG"))</f>
        <v>1.1856569320076375E-3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0.33752056810072284</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0.10371224511470765</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2.632214738139102E-2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5.8884330395105876E-6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0.2131600861218533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3.2154764829864287E-6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1.2287071383171084E-2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271.04508373781835</v>
      </c>
      <c r="C14" s="21"/>
      <c r="D14" s="21">
        <f t="shared" ref="D14:M14" si="0">((D5)*10^9/3600)+D12</f>
        <v>386.30906734767223</v>
      </c>
      <c r="E14" s="21">
        <f t="shared" si="0"/>
        <v>396.36823510693006</v>
      </c>
      <c r="F14" s="21"/>
      <c r="G14" s="21">
        <f t="shared" si="0"/>
        <v>184633.56297923322</v>
      </c>
      <c r="H14" s="21">
        <f t="shared" si="0"/>
        <v>35682.993998699843</v>
      </c>
      <c r="I14" s="21"/>
      <c r="J14" s="21"/>
      <c r="K14" s="21"/>
      <c r="L14" s="21"/>
      <c r="M14" s="21">
        <f t="shared" si="0"/>
        <v>13005.181516684808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0.13756508361636549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37.286339608197764</v>
      </c>
      <c r="C18" s="23"/>
      <c r="D18" s="23">
        <f t="shared" ref="D18:M18" si="1">D14*D16</f>
        <v>78.034431604229795</v>
      </c>
      <c r="E18" s="23">
        <f t="shared" si="1"/>
        <v>89.975589369273123</v>
      </c>
      <c r="F18" s="23"/>
      <c r="G18" s="23">
        <f t="shared" si="1"/>
        <v>49297.161315455269</v>
      </c>
      <c r="H18" s="23">
        <f t="shared" si="1"/>
        <v>8885.0655056762607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1.3434993010536021E-3</v>
      </c>
      <c r="C50" s="315">
        <f t="shared" ref="C50:P50" si="2">SUM(C51:C52)</f>
        <v>0</v>
      </c>
      <c r="D50" s="315">
        <f t="shared" si="2"/>
        <v>0</v>
      </c>
      <c r="E50" s="315">
        <f t="shared" si="2"/>
        <v>0</v>
      </c>
      <c r="F50" s="315">
        <f t="shared" si="2"/>
        <v>0</v>
      </c>
      <c r="G50" s="315">
        <f t="shared" si="2"/>
        <v>3.5045221740995112E-3</v>
      </c>
      <c r="H50" s="315">
        <f t="shared" si="2"/>
        <v>0</v>
      </c>
      <c r="I50" s="315">
        <f t="shared" si="2"/>
        <v>0</v>
      </c>
      <c r="J50" s="315">
        <f t="shared" si="2"/>
        <v>0</v>
      </c>
      <c r="K50" s="315">
        <f t="shared" si="2"/>
        <v>0</v>
      </c>
      <c r="L50" s="315">
        <f t="shared" si="2"/>
        <v>0</v>
      </c>
      <c r="M50" s="315">
        <f t="shared" si="2"/>
        <v>1.9822621063777309E-4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4.837059105360222E-5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3.5045221740995112E-3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1.9822621063777309E-4</v>
      </c>
      <c r="N51" s="317"/>
      <c r="O51" s="317"/>
      <c r="P51" s="320"/>
    </row>
    <row r="52" spans="1:18">
      <c r="A52" s="4" t="s">
        <v>317</v>
      </c>
      <c r="B52" s="883">
        <f>vkm_tram*SUMIFS(TableECFTransport[EnergieConsumptieFactor (PJ per km)],TableECFTransport[Index],"Tram_gemiddeld_Electric_Electric")</f>
        <v>1.29512871E-3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373.19425029266728</v>
      </c>
      <c r="C54" s="21">
        <f t="shared" ref="C54:P54" si="3">(C50)*10^9/3600</f>
        <v>0</v>
      </c>
      <c r="D54" s="21">
        <f t="shared" si="3"/>
        <v>0</v>
      </c>
      <c r="E54" s="21">
        <f t="shared" si="3"/>
        <v>0</v>
      </c>
      <c r="F54" s="21">
        <f t="shared" si="3"/>
        <v>0</v>
      </c>
      <c r="G54" s="21">
        <f t="shared" si="3"/>
        <v>973.47838169430861</v>
      </c>
      <c r="H54" s="21">
        <f t="shared" si="3"/>
        <v>0</v>
      </c>
      <c r="I54" s="21">
        <f t="shared" si="3"/>
        <v>0</v>
      </c>
      <c r="J54" s="21">
        <f t="shared" si="3"/>
        <v>0</v>
      </c>
      <c r="K54" s="21">
        <f t="shared" si="3"/>
        <v>0</v>
      </c>
      <c r="L54" s="21">
        <f t="shared" si="3"/>
        <v>0</v>
      </c>
      <c r="M54" s="21">
        <f t="shared" si="3"/>
        <v>55.062836288270304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0.13756508361636549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51.338498246657608</v>
      </c>
      <c r="C58" s="23">
        <f t="shared" ref="C58:P58" ca="1" si="4">C54*C56</f>
        <v>0</v>
      </c>
      <c r="D58" s="23">
        <f t="shared" si="4"/>
        <v>0</v>
      </c>
      <c r="E58" s="23">
        <f t="shared" si="4"/>
        <v>0</v>
      </c>
      <c r="F58" s="23">
        <f t="shared" si="4"/>
        <v>0</v>
      </c>
      <c r="G58" s="23">
        <f t="shared" si="4"/>
        <v>259.9187279123804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12205.281112915147</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3809.982778470031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16015.263891385177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2021-11-11T12:41:52Z</dcterms:modified>
</cp:coreProperties>
</file>