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8010612-37EB-4763-B51C-8A2E79D62D4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6" i="18"/>
  <c r="V36" i="18"/>
  <c r="U36" i="18"/>
  <c r="T36" i="18"/>
  <c r="L6" i="17" s="1"/>
  <c r="L5" i="17" s="1"/>
  <c r="S36" i="18"/>
  <c r="F6" i="17" s="1"/>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<sst xmlns="http://schemas.openxmlformats.org/spreadsheetml/2006/main" count="2497" uniqueCount="904">
  <si>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</si>
  <si>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</si>
  <si>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</si>
  <si>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</si>
  <si>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</si>
  <si>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</si>
  <si>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</si>
  <si>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</si>
  <si>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</si>
  <si>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</si>
  <si>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</si>
  <si>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</si>
  <si>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</si>
  <si>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</si>
  <si>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</si>
  <si>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</si>
  <si>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</si>
  <si>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</si>
  <si>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</si>
  <si>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</si>
  <si>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</si>
  <si>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</si>
  <si>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</si>
  <si>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</si>
  <si>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</si>
  <si>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</si>
  <si>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</si>
  <si>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</si>
  <si>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</si>
  <si>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</si>
  <si>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</si>
  <si>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</si>
  <si>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</si>
  <si>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</si>
  <si>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</si>
  <si>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</si>
  <si>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</si>
  <si>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</si>
  <si>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</si>
  <si>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</si>
  <si>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</si>
  <si>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</si>
  <si>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</si>
  <si>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</si>
  <si>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</si>
  <si>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</si>
  <si>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</si>
  <si>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</si>
  <si>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</si>
  <si>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</si>
  <si>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</si>
  <si>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</si>
  <si>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</si>
  <si>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</si>
  <si>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</si>
  <si>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</si>
  <si>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</si>
  <si>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</si>
  <si>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</si>
  <si>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</si>
  <si>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</si>
  <si>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</si>
  <si>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</si>
  <si>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</si>
  <si>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</si>
  <si>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</si>
  <si>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</si>
  <si>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</si>
  <si>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</si>
  <si>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</si>
  <si>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</si>
  <si>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</si>
  <si>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</si>
  <si>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</si>
  <si>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</si>
  <si>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</si>
  <si>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</si>
  <si>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</si>
  <si>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</si>
  <si>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</si>
  <si>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</si>
  <si>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</si>
  <si>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</si>
  <si>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</si>
  <si>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</si>
  <si>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</si>
  <si>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</si>
  <si>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</si>
  <si>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</si>
  <si>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</si>
  <si>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</si>
  <si>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</si>
  <si>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</si>
  <si>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</si>
  <si>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</si>
  <si>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</si>
  <si>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</si>
  <si>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</si>
  <si>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</si>
  <si>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</si>
  <si>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</si>
  <si>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</si>
  <si>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</si>
  <si>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</si>
  <si>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</si>
  <si>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</si>
  <si>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</si>
  <si>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</si>
  <si>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</si>
  <si>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</si>
  <si>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</si>
  <si>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</si>
  <si>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</si>
  <si>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</si>
  <si>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</si>
  <si>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</si>
  <si>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</si>
  <si>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</si>
  <si>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</si>
  <si>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</si>
  <si>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</si>
  <si>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</si>
  <si>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</si>
  <si>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</si>
  <si>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</si>
  <si>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</si>
  <si>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</si>
  <si>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</si>
  <si>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</si>
  <si>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</si>
  <si>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</si>
  <si>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</si>
  <si>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</si>
  <si>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</si>
  <si>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</si>
  <si>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</si>
  <si>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</si>
  <si>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</si>
  <si>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</si>
  <si>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</si>
  <si>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</si>
  <si>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</si>
  <si>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</si>
  <si>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</si>
  <si>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</si>
  <si>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</si>
  <si>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</si>
  <si>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</si>
  <si>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</si>
  <si>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</si>
  <si>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</si>
  <si>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</si>
  <si>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</si>
  <si>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</si>
  <si>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</si>
  <si>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</si>
  <si>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</si>
  <si>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</si>
  <si>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</si>
  <si>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</si>
  <si>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</si>
  <si>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</si>
  <si>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</si>
  <si>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</si>
  <si>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</si>
  <si>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</si>
  <si>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</si>
  <si>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</si>
  <si>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</si>
  <si>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</si>
  <si>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</si>
  <si>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</si>
  <si>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</si>
  <si>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</si>
  <si>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</si>
  <si>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</si>
  <si>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</si>
  <si>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</si>
  <si>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</si>
  <si>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</si>
  <si>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</si>
  <si>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</si>
  <si>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</si>
  <si>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</si>
  <si>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</si>
  <si>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</si>
  <si>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</si>
  <si>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</si>
  <si>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</si>
  <si>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</si>
  <si>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</si>
  <si>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</si>
  <si>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</si>
  <si>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</si>
  <si>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</si>
  <si>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</si>
  <si>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</si>
  <si>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</si>
  <si>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</si>
  <si>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</si>
  <si>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</si>
  <si>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</si>
  <si>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</si>
  <si>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</si>
  <si>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</si>
  <si>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</si>
  <si>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</si>
  <si>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</si>
  <si>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</si>
  <si>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</si>
  <si>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</si>
  <si>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</si>
  <si>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</si>
  <si>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</si>
  <si>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</si>
  <si>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</si>
  <si>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</si>
  <si>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</si>
  <si>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</si>
  <si>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</si>
  <si>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</si>
  <si>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</si>
  <si>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</si>
  <si>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</si>
  <si>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</si>
  <si>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</si>
  <si>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</si>
  <si>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</si>
  <si>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</si>
  <si>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</si>
  <si>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</si>
  <si>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</si>
  <si>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</si>
  <si>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</si>
  <si>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</si>
  <si>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</si>
  <si>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</si>
  <si>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</si>
  <si>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</si>
  <si>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</si>
  <si>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</si>
  <si>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</si>
  <si>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</si>
  <si>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</si>
  <si>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</si>
  <si>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</si>
  <si>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</si>
  <si>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</si>
  <si>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</si>
  <si>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</si>
  <si>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</si>
  <si>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</si>
  <si>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</si>
  <si>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</si>
  <si>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</si>
  <si>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</si>
  <si>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</si>
  <si>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</si>
  <si>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</si>
  <si>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</si>
  <si>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</si>
  <si>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</si>
  <si>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</si>
  <si>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</si>
  <si>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</si>
  <si>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</si>
  <si>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</si>
  <si>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</si>
  <si>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</si>
  <si>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</si>
  <si>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</si>
  <si>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</si>
  <si>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</si>
  <si>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</si>
  <si>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</si>
  <si>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</si>
  <si>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</si>
  <si>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</si>
  <si>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</si>
  <si>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</si>
  <si>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</si>
  <si>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</si>
  <si>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</si>
  <si>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</si>
  <si>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</si>
  <si>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</si>
  <si>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</si>
  <si>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</si>
  <si>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</si>
  <si>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</si>
  <si>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</si>
  <si>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</si>
  <si>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</si>
  <si>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</si>
  <si>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</si>
  <si>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</si>
  <si>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</si>
  <si>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</si>
  <si>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</si>
  <si>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</si>
  <si>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</si>
  <si>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</si>
  <si>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</si>
  <si>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</si>
  <si>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</si>
  <si>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</si>
  <si>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</si>
  <si>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</si>
  <si>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</si>
  <si>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</si>
  <si>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</si>
  <si>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</si>
  <si>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</si>
  <si>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</si>
  <si>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</si>
  <si>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</si>
  <si>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</si>
  <si>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</si>
  <si>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</si>
  <si>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</si>
  <si>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</si>
  <si>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</si>
  <si>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</si>
  <si>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</si>
  <si>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</si>
  <si>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</si>
  <si>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</si>
  <si>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</si>
  <si>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</si>
  <si>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</si>
  <si>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</si>
  <si>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</si>
  <si>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</si>
  <si>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</si>
  <si>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</si>
  <si>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</si>
  <si>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</si>
  <si>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</si>
  <si>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</si>
  <si>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</si>
  <si>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</si>
  <si>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</si>
  <si>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</si>
  <si>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</si>
  <si>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</si>
  <si>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</si>
  <si>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</si>
  <si>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</si>
  <si>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</si>
  <si>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</si>
  <si>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</si>
  <si>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</si>
  <si>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</si>
  <si>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</si>
  <si>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</si>
  <si>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</si>
  <si>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</si>
  <si>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</si>
  <si>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</si>
  <si>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</si>
  <si>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</si>
  <si>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</si>
  <si>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</si>
  <si>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</si>
  <si>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</si>
  <si>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</si>
  <si>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</si>
  <si>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</si>
  <si>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</si>
  <si>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</si>
  <si>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</si>
  <si>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</si>
  <si>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</si>
  <si>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</si>
  <si>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</si>
  <si>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</si>
  <si>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</si>
  <si>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</si>
  <si>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</si>
  <si>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</si>
  <si>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</si>
  <si>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</si>
  <si>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</si>
  <si>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</si>
  <si>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</si>
  <si>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</si>
  <si>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</si>
  <si>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</si>
  <si>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</si>
  <si>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</si>
  <si>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</si>
  <si>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</si>
  <si>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</si>
  <si>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</si>
  <si>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</si>
  <si>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</si>
  <si>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</si>
  <si>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</si>
  <si>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</si>
  <si>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</si>
  <si>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</si>
  <si>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</si>
  <si>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</si>
  <si>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</si>
  <si>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</si>
  <si>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</si>
  <si>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</si>
  <si>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</si>
  <si>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</si>
  <si>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</si>
  <si>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</si>
  <si>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</si>
  <si>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</si>
  <si>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</si>
  <si>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</si>
  <si>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</si>
  <si>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</si>
  <si>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</si>
  <si>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</si>
  <si>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</si>
  <si>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</si>
  <si>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</si>
  <si>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</si>
  <si>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</si>
  <si>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</si>
  <si>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</si>
  <si>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</si>
  <si>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</si>
  <si>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</si>
  <si>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</si>
  <si>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</si>
  <si>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</si>
  <si>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</si>
  <si>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</si>
  <si>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</si>
  <si>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</si>
  <si>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</si>
  <si>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</si>
  <si>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</si>
  <si>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</si>
  <si>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</si>
  <si>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</si>
  <si>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</si>
  <si>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</si>
  <si>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</si>
  <si>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</si>
  <si>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</si>
  <si>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</si>
  <si>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</si>
  <si>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</si>
  <si>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</si>
  <si>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</si>
  <si>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</si>
  <si>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</si>
  <si>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</si>
  <si>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</si>
  <si>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</si>
  <si>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</si>
  <si>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</si>
  <si>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</si>
  <si>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</si>
  <si>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</si>
  <si>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</si>
  <si>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</si>
  <si>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</si>
  <si>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</si>
  <si>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</si>
  <si>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</si>
  <si>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</si>
  <si>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</si>
  <si>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</si>
  <si>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</si>
  <si>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</si>
  <si>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</si>
  <si>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</si>
  <si>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</si>
  <si>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</si>
  <si>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</si>
  <si>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</si>
  <si>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</si>
  <si>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</si>
  <si>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</si>
  <si>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</si>
  <si>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</si>
  <si>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</si>
  <si>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</si>
  <si>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</si>
  <si>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</si>
  <si>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</si>
  <si>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</si>
  <si>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</si>
  <si>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</si>
  <si>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</si>
  <si>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</si>
  <si>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</si>
  <si>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</si>
  <si>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</si>
  <si>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</si>
  <si>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</si>
  <si>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</si>
  <si>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</si>
  <si>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</si>
  <si>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</si>
  <si>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</si>
  <si>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</si>
  <si>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</si>
  <si>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</si>
  <si>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</si>
  <si>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</si>
  <si>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</si>
  <si>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</si>
  <si>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</si>
  <si>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</si>
  <si>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</si>
  <si>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</si>
  <si>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</si>
  <si>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</si>
  <si>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</si>
  <si>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</si>
  <si>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</si>
  <si>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</si>
  <si>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</si>
  <si>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</si>
  <si>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</si>
  <si>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</si>
  <si>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</si>
  <si>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</si>
  <si>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</si>
  <si>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</si>
  <si>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</si>
  <si>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</si>
  <si>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</si>
  <si>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</si>
  <si>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</si>
  <si>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</si>
  <si>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</si>
  <si>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</si>
  <si>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</si>
  <si>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</si>
  <si>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</si>
  <si>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</si>
  <si>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</si>
  <si>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</si>
  <si>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</si>
  <si>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</si>
  <si>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</si>
  <si>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</si>
  <si>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</si>
  <si>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</si>
  <si>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</si>
  <si>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</si>
  <si>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</si>
  <si>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</si>
  <si>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</si>
  <si>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</si>
  <si>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</si>
  <si>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</si>
  <si>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</si>
  <si>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</si>
  <si>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</si>
  <si>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</si>
  <si>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</si>
  <si>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</si>
  <si>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</si>
  <si>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</si>
  <si>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</si>
  <si>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</si>
  <si>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</si>
  <si>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</si>
  <si>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</si>
  <si>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</si>
  <si>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</si>
  <si>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</si>
  <si>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</si>
  <si>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</si>
  <si>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</si>
  <si>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</si>
  <si>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</si>
  <si>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</si>
  <si>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</si>
  <si>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</si>
  <si>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</si>
  <si>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</si>
  <si>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</si>
  <si>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</si>
  <si>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</si>
  <si>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</si>
  <si>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</si>
  <si>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</si>
  <si>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</si>
  <si>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</si>
  <si>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</si>
  <si>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</si>
  <si>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</si>
  <si>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</si>
  <si>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</si>
  <si>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</si>
  <si>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</si>
  <si>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</si>
  <si>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</si>
  <si>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</si>
  <si>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</si>
  <si>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</si>
  <si>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</si>
  <si>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</si>
  <si>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</si>
  <si>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</si>
  <si>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</si>
  <si>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</si>
  <si>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</si>
  <si>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</si>
  <si>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</si>
  <si>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</si>
  <si>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</si>
  <si>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</si>
  <si>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</si>
  <si>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</si>
  <si>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</si>
  <si>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</si>
  <si>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</si>
  <si>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</si>
  <si>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</si>
  <si>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</si>
  <si>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</si>
  <si>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</si>
  <si>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</si>
  <si>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</si>
  <si>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</si>
  <si>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</si>
  <si>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</si>
  <si>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</si>
  <si>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</si>
  <si>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</si>
  <si>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</si>
  <si>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</si>
  <si>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</si>
  <si>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</si>
  <si>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</si>
  <si>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</si>
  <si>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</si>
  <si>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</si>
  <si>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</si>
  <si>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</si>
  <si>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</si>
  <si>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</si>
  <si>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</si>
  <si>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</si>
  <si>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</si>
  <si>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</si>
  <si>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</si>
  <si>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</si>
  <si>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</si>
  <si>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</si>
  <si>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</si>
  <si>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</si>
  <si>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</si>
  <si>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</si>
  <si>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</si>
  <si>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</si>
  <si>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</si>
  <si>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</si>
  <si>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</si>
  <si>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</si>
  <si>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</si>
  <si>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</si>
  <si>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</si>
  <si>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</si>
  <si>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</si>
  <si>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</si>
  <si>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</si>
  <si>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</si>
  <si>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</si>
  <si>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</si>
  <si>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</si>
  <si>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</si>
  <si>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</si>
  <si>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</si>
  <si>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</si>
  <si>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</si>
  <si>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</si>
  <si>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</si>
  <si>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</si>
  <si>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</si>
  <si>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</si>
  <si>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</si>
  <si>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</si>
  <si>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</si>
  <si>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</si>
  <si>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</si>
  <si>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</si>
  <si>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</si>
  <si>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</si>
  <si>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</si>
  <si>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</si>
  <si>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</si>
  <si>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</si>
  <si>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</si>
  <si>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</si>
  <si>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</si>
  <si>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</si>
  <si>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</si>
  <si>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</si>
  <si>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</si>
  <si>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</si>
  <si>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</si>
  <si>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</si>
  <si>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</si>
  <si>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</si>
  <si>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</si>
  <si>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</si>
  <si>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</si>
  <si>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</si>
  <si>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</si>
  <si>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</si>
  <si>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</si>
  <si>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</si>
  <si>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</si>
  <si>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</si>
  <si>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</si>
  <si>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</si>
  <si>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</si>
  <si>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</si>
  <si>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</si>
  <si>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</si>
  <si>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</si>
  <si>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</si>
  <si>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</si>
  <si>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</si>
  <si>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</si>
  <si>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</si>
  <si>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</si>
  <si>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</si>
  <si>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</si>
  <si>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</si>
  <si>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</si>
  <si>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</si>
  <si>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</si>
  <si>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</si>
  <si>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</si>
  <si>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</si>
  <si>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</si>
  <si>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</si>
  <si>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</si>
  <si>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</si>
  <si>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</si>
  <si>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</si>
  <si>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</si>
  <si>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</si>
  <si>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</si>
  <si>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</si>
  <si>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</si>
  <si>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</si>
  <si>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</si>
  <si>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</si>
  <si>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</si>
  <si>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</si>
  <si>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</si>
  <si>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</si>
  <si>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</si>
  <si>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</si>
  <si>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</si>
  <si>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</si>
  <si>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</si>
  <si>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</si>
  <si>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</si>
  <si>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</si>
  <si>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</si>
  <si>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</si>
  <si>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</si>
  <si>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</si>
  <si>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</si>
  <si>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</si>
  <si>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</si>
  <si>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</si>
  <si>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</si>
  <si>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</si>
  <si>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</si>
  <si>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</si>
  <si>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</si>
  <si>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</si>
  <si>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</si>
  <si>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</si>
  <si>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</si>
  <si>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</si>
  <si>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</si>
  <si>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</si>
  <si>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</si>
  <si>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</si>
  <si>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</si>
  <si>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</si>
  <si>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</si>
  <si>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</si>
  <si>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</si>
  <si>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</si>
  <si>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</si>
  <si>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</si>
  <si>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</si>
  <si>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</si>
  <si>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</si>
  <si>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</si>
  <si>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</si>
  <si>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</si>
  <si>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</si>
  <si>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</si>
  <si>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</si>
  <si>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</si>
  <si>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</si>
  <si>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</si>
  <si>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</si>
  <si>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</si>
  <si>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</si>
  <si>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</si>
  <si>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</si>
  <si>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</si>
  <si>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</si>
  <si>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</si>
  <si>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</si>
  <si>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</si>
  <si>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</si>
  <si>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</si>
  <si>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</si>
  <si>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</si>
  <si>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</si>
  <si>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</si>
  <si>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</si>
  <si>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</si>
  <si>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</si>
  <si>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</si>
  <si>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</si>
  <si>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</si>
  <si>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</si>
  <si>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</si>
  <si>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</si>
  <si>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</si>
  <si>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</si>
  <si>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</si>
  <si>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</si>
  <si>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</si>
  <si>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</si>
  <si>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</si>
  <si>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</si>
  <si>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</si>
  <si>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</si>
  <si>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</si>
  <si>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</si>
  <si>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</si>
  <si>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</si>
  <si>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</si>
  <si>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</si>
  <si>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</si>
  <si>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</si>
  <si>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</si>
  <si>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</si>
  <si>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</si>
  <si>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</si>
  <si>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</si>
  <si>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</si>
  <si>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</si>
  <si>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</si>
  <si>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</si>
  <si>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</si>
  <si>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</si>
  <si>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</si>
  <si>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</si>
  <si>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</si>
  <si>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</si>
  <si>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</si>
  <si>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</si>
  <si>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</si>
  <si>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</si>
  <si>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</si>
  <si>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</si>
  <si>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</si>
  <si>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</si>
  <si>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</si>
  <si>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</si>
  <si>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</si>
  <si>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</si>
  <si>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</si>
  <si>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</si>
  <si>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</si>
  <si>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</si>
  <si>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</si>
  <si>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</si>
  <si>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</si>
  <si>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</si>
  <si>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</si>
  <si>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</si>
  <si>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</si>
  <si>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</si>
  <si>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</si>
  <si>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</si>
  <si>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</si>
  <si>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</si>
  <si>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</si>
  <si>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</si>
  <si>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</si>
  <si>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44034</t>
  </si>
  <si>
    <t>LOCHRISTI</t>
  </si>
  <si>
    <t>referentietaak LNE (2017); Jaarverslag De Lijn</t>
  </si>
  <si>
    <t>interne verbrandingsmotor</t>
  </si>
  <si>
    <t>WKK interne verbrandinsgmotor (gas)</t>
  </si>
  <si>
    <t>IMEWO</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</si>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</sst>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252B900-B865-474F-800B-F11F104D520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183879.85547010289</c:v>
                </c:pt>
                <c:pt idx="1">
                  <c:v>64356.446140134169</c:v>
                </c:pt>
                <c:pt idx="2">
                  <c:v>1647.5350000000001</c:v>
                </c:pt>
                <c:pt idx="3">
                  <c:v>103305.1951875519</c:v>
                </c:pt>
                <c:pt idx="4">
                  <c:v>44051.171034266677</c:v>
                </c:pt>
                <c:pt idx="5">
                  <c:v>290080.36989688542</c:v>
                </c:pt>
                <c:pt idx="6">
                  <c:v>2246.0816527603811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183879.85547010289</c:v>
                </c:pt>
                <c:pt idx="1">
                  <c:v>64356.446140134169</c:v>
                </c:pt>
                <c:pt idx="2">
                  <c:v>1647.5350000000001</c:v>
                </c:pt>
                <c:pt idx="3">
                  <c:v>103305.1951875519</c:v>
                </c:pt>
                <c:pt idx="4">
                  <c:v>44051.171034266677</c:v>
                </c:pt>
                <c:pt idx="5">
                  <c:v>290080.36989688542</c:v>
                </c:pt>
                <c:pt idx="6">
                  <c:v>2246.0816527603811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36594.655127981125</c:v>
                </c:pt>
                <c:pt idx="1">
                  <c:v>12051.96157517631</c:v>
                </c:pt>
                <c:pt idx="2">
                  <c:v>291.65784902160169</c:v>
                </c:pt>
                <c:pt idx="3">
                  <c:v>24224.544386163241</c:v>
                </c:pt>
                <c:pt idx="4">
                  <c:v>8862.1558697286982</c:v>
                </c:pt>
                <c:pt idx="5">
                  <c:v>72419.538208997896</c:v>
                </c:pt>
                <c:pt idx="6">
                  <c:v>565.40681206042052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36594.655127981125</c:v>
                </c:pt>
                <c:pt idx="1">
                  <c:v>12051.96157517631</c:v>
                </c:pt>
                <c:pt idx="2">
                  <c:v>291.65784902160169</c:v>
                </c:pt>
                <c:pt idx="3">
                  <c:v>24224.544386163241</c:v>
                </c:pt>
                <c:pt idx="4">
                  <c:v>8862.1558697286982</c:v>
                </c:pt>
                <c:pt idx="5">
                  <c:v>72419.538208997896</c:v>
                </c:pt>
                <c:pt idx="6">
                  <c:v>565.40681206042052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44034</v>
      </c>
      <c r="B6" s="384"/>
      <c r="C6" s="385"/>
    </row>
    <row r="7" spans="1:7" s="382" customFormat="1" ht="15.75" customHeight="1">
      <c r="A7" s="386" t="str">
        <f>txtMunicipality</f>
        <v>LOCHRISTI</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29573.692063999992</v>
      </c>
      <c r="D10" s="679">
        <f ca="1">tertiair!C16</f>
        <v>192.85714285714286</v>
      </c>
      <c r="E10" s="679">
        <f ca="1">tertiair!D16</f>
        <v>30319.017300143714</v>
      </c>
      <c r="F10" s="679">
        <f>tertiair!E16</f>
        <v>454.10850908057142</v>
      </c>
      <c r="G10" s="679">
        <f ca="1">tertiair!F16</f>
        <v>3127.7873995021887</v>
      </c>
      <c r="H10" s="679">
        <f>tertiair!G16</f>
        <v>0</v>
      </c>
      <c r="I10" s="679">
        <f>tertiair!H16</f>
        <v>0</v>
      </c>
      <c r="J10" s="679">
        <f>tertiair!I16</f>
        <v>0</v>
      </c>
      <c r="K10" s="679">
        <f>tertiair!J16</f>
        <v>5.675385931107782E-2</v>
      </c>
      <c r="L10" s="679">
        <f>tertiair!K16</f>
        <v>0</v>
      </c>
      <c r="M10" s="679">
        <f ca="1">tertiair!L16</f>
        <v>0</v>
      </c>
      <c r="N10" s="679">
        <f>tertiair!M16</f>
        <v>0</v>
      </c>
      <c r="O10" s="679">
        <f ca="1">tertiair!N16</f>
        <v>2226.4864333124115</v>
      </c>
      <c r="P10" s="679">
        <f>tertiair!O16</f>
        <v>4.8972607658411542</v>
      </c>
      <c r="Q10" s="680">
        <f>tertiair!P16</f>
        <v>105.07827661299004</v>
      </c>
      <c r="R10" s="682">
        <f ca="1">SUM(C10:Q10)</f>
        <v>66003.981140134143</v>
      </c>
      <c r="S10" s="67"/>
    </row>
    <row r="11" spans="1:19" s="442" customFormat="1">
      <c r="A11" s="800" t="s">
        <v>213</v>
      </c>
      <c r="B11" s="805"/>
      <c r="C11" s="679">
        <f>huishoudens!B8</f>
        <v>41432.342934056695</v>
      </c>
      <c r="D11" s="679">
        <f>huishoudens!C8</f>
        <v>0</v>
      </c>
      <c r="E11" s="679">
        <f>huishoudens!D8</f>
        <v>73811.550382240006</v>
      </c>
      <c r="F11" s="679">
        <f>huishoudens!E8</f>
        <v>3150.960211432493</v>
      </c>
      <c r="G11" s="679">
        <f>huishoudens!F8</f>
        <v>50797.678228021978</v>
      </c>
      <c r="H11" s="679">
        <f>huishoudens!G8</f>
        <v>0</v>
      </c>
      <c r="I11" s="679">
        <f>huishoudens!H8</f>
        <v>0</v>
      </c>
      <c r="J11" s="679">
        <f>huishoudens!I8</f>
        <v>0</v>
      </c>
      <c r="K11" s="679">
        <f>huishoudens!J8</f>
        <v>202.93448494493089</v>
      </c>
      <c r="L11" s="679">
        <f>huishoudens!K8</f>
        <v>0</v>
      </c>
      <c r="M11" s="679">
        <f>huishoudens!L8</f>
        <v>0</v>
      </c>
      <c r="N11" s="679">
        <f>huishoudens!M8</f>
        <v>0</v>
      </c>
      <c r="O11" s="679">
        <f>huishoudens!N8</f>
        <v>12282.136428026581</v>
      </c>
      <c r="P11" s="679">
        <f>huishoudens!O8</f>
        <v>738.03245761197581</v>
      </c>
      <c r="Q11" s="680">
        <f>huishoudens!P8</f>
        <v>1464.2203437682183</v>
      </c>
      <c r="R11" s="682">
        <f>SUM(C11:Q11)</f>
        <v>183879.85547010289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8344.1465790000002</v>
      </c>
      <c r="D13" s="679">
        <f>industrie!C18</f>
        <v>0</v>
      </c>
      <c r="E13" s="679">
        <f>industrie!D18</f>
        <v>30577.085413952002</v>
      </c>
      <c r="F13" s="679">
        <f>industrie!E18</f>
        <v>1112.7586665195092</v>
      </c>
      <c r="G13" s="679">
        <f>industrie!F18</f>
        <v>3531.9797359699223</v>
      </c>
      <c r="H13" s="679">
        <f>industrie!G18</f>
        <v>0</v>
      </c>
      <c r="I13" s="679">
        <f>industrie!H18</f>
        <v>0</v>
      </c>
      <c r="J13" s="679">
        <f>industrie!I18</f>
        <v>0</v>
      </c>
      <c r="K13" s="679">
        <f>industrie!J18</f>
        <v>36.192771954147709</v>
      </c>
      <c r="L13" s="679">
        <f>industrie!K18</f>
        <v>0</v>
      </c>
      <c r="M13" s="679">
        <f>industrie!L18</f>
        <v>0</v>
      </c>
      <c r="N13" s="679">
        <f>industrie!M18</f>
        <v>0</v>
      </c>
      <c r="O13" s="679">
        <f>industrie!N18</f>
        <v>449.00786687109257</v>
      </c>
      <c r="P13" s="679">
        <f>industrie!O18</f>
        <v>0</v>
      </c>
      <c r="Q13" s="680">
        <f>industrie!P18</f>
        <v>0</v>
      </c>
      <c r="R13" s="682">
        <f>SUM(C13:Q13)</f>
        <v>44051.171034266677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79350.181577056675</v>
      </c>
      <c r="D16" s="715">
        <f t="shared" ref="D16:R16" ca="1" si="0">SUM(D9:D15)</f>
        <v>192.85714285714286</v>
      </c>
      <c r="E16" s="715">
        <f t="shared" ca="1" si="0"/>
        <v>134707.65309633574</v>
      </c>
      <c r="F16" s="715">
        <f t="shared" si="0"/>
        <v>4717.8273870325738</v>
      </c>
      <c r="G16" s="715">
        <f t="shared" ca="1" si="0"/>
        <v>57457.445363494087</v>
      </c>
      <c r="H16" s="715">
        <f t="shared" si="0"/>
        <v>0</v>
      </c>
      <c r="I16" s="715">
        <f t="shared" si="0"/>
        <v>0</v>
      </c>
      <c r="J16" s="715">
        <f t="shared" si="0"/>
        <v>0</v>
      </c>
      <c r="K16" s="715">
        <f t="shared" si="0"/>
        <v>239.18401075838966</v>
      </c>
      <c r="L16" s="715">
        <f t="shared" si="0"/>
        <v>0</v>
      </c>
      <c r="M16" s="715">
        <f t="shared" ca="1" si="0"/>
        <v>0</v>
      </c>
      <c r="N16" s="715">
        <f t="shared" si="0"/>
        <v>0</v>
      </c>
      <c r="O16" s="715">
        <f t="shared" ca="1" si="0"/>
        <v>14957.630728210084</v>
      </c>
      <c r="P16" s="715">
        <f t="shared" si="0"/>
        <v>742.92971837781693</v>
      </c>
      <c r="Q16" s="715">
        <f t="shared" si="0"/>
        <v>1569.2986203812084</v>
      </c>
      <c r="R16" s="715">
        <f t="shared" ca="1" si="0"/>
        <v>293935.00764450373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28.963170136656306</v>
      </c>
      <c r="D19" s="679">
        <f>transport!C54</f>
        <v>0</v>
      </c>
      <c r="E19" s="679">
        <f>transport!D54</f>
        <v>0</v>
      </c>
      <c r="F19" s="679">
        <f>transport!E54</f>
        <v>0</v>
      </c>
      <c r="G19" s="679">
        <f>transport!F54</f>
        <v>0</v>
      </c>
      <c r="H19" s="679">
        <f>transport!G54</f>
        <v>2098.4252986209849</v>
      </c>
      <c r="I19" s="679">
        <f>transport!H54</f>
        <v>0</v>
      </c>
      <c r="J19" s="679">
        <f>transport!I54</f>
        <v>0</v>
      </c>
      <c r="K19" s="679">
        <f>transport!J54</f>
        <v>0</v>
      </c>
      <c r="L19" s="679">
        <f>transport!K54</f>
        <v>0</v>
      </c>
      <c r="M19" s="679">
        <f>transport!L54</f>
        <v>0</v>
      </c>
      <c r="N19" s="679">
        <f>transport!M54</f>
        <v>118.69318400273987</v>
      </c>
      <c r="O19" s="679">
        <f>transport!N54</f>
        <v>0</v>
      </c>
      <c r="P19" s="679">
        <f>transport!O54</f>
        <v>0</v>
      </c>
      <c r="Q19" s="680">
        <f>transport!P54</f>
        <v>0</v>
      </c>
      <c r="R19" s="682">
        <f>SUM(C19:Q19)</f>
        <v>2246.0816527603811</v>
      </c>
      <c r="S19" s="67"/>
    </row>
    <row r="20" spans="1:19" s="442" customFormat="1">
      <c r="A20" s="800" t="s">
        <v>295</v>
      </c>
      <c r="B20" s="805"/>
      <c r="C20" s="679">
        <f>transport!B14</f>
        <v>269.77638471117069</v>
      </c>
      <c r="D20" s="679">
        <f>transport!C14</f>
        <v>0</v>
      </c>
      <c r="E20" s="679">
        <f>transport!D14</f>
        <v>412.81884907385177</v>
      </c>
      <c r="F20" s="679">
        <f>transport!E14</f>
        <v>402.85903275776445</v>
      </c>
      <c r="G20" s="679">
        <f>transport!F14</f>
        <v>0</v>
      </c>
      <c r="H20" s="679">
        <f>transport!G14</f>
        <v>235277.96321298069</v>
      </c>
      <c r="I20" s="679">
        <f>transport!H14</f>
        <v>37661.550092644349</v>
      </c>
      <c r="J20" s="679">
        <f>transport!I14</f>
        <v>0</v>
      </c>
      <c r="K20" s="679">
        <f>transport!J14</f>
        <v>0</v>
      </c>
      <c r="L20" s="679">
        <f>transport!K14</f>
        <v>0</v>
      </c>
      <c r="M20" s="679">
        <f>transport!L14</f>
        <v>0</v>
      </c>
      <c r="N20" s="679">
        <f>transport!M14</f>
        <v>16055.402324717625</v>
      </c>
      <c r="O20" s="679">
        <f>transport!N14</f>
        <v>0</v>
      </c>
      <c r="P20" s="679">
        <f>transport!O14</f>
        <v>0</v>
      </c>
      <c r="Q20" s="680">
        <f>transport!P14</f>
        <v>0</v>
      </c>
      <c r="R20" s="682">
        <f>SUM(C20:Q20)</f>
        <v>290080.36989688542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298.73955484782698</v>
      </c>
      <c r="D22" s="803">
        <f t="shared" ref="D22:R22" si="1">SUM(D18:D21)</f>
        <v>0</v>
      </c>
      <c r="E22" s="803">
        <f t="shared" si="1"/>
        <v>412.81884907385177</v>
      </c>
      <c r="F22" s="803">
        <f t="shared" si="1"/>
        <v>402.85903275776445</v>
      </c>
      <c r="G22" s="803">
        <f t="shared" si="1"/>
        <v>0</v>
      </c>
      <c r="H22" s="803">
        <f t="shared" si="1"/>
        <v>237376.38851160166</v>
      </c>
      <c r="I22" s="803">
        <f t="shared" si="1"/>
        <v>37661.550092644349</v>
      </c>
      <c r="J22" s="803">
        <f t="shared" si="1"/>
        <v>0</v>
      </c>
      <c r="K22" s="803">
        <f t="shared" si="1"/>
        <v>0</v>
      </c>
      <c r="L22" s="803">
        <f t="shared" si="1"/>
        <v>0</v>
      </c>
      <c r="M22" s="803">
        <f t="shared" si="1"/>
        <v>0</v>
      </c>
      <c r="N22" s="803">
        <f t="shared" si="1"/>
        <v>16174.095508720364</v>
      </c>
      <c r="O22" s="803">
        <f t="shared" si="1"/>
        <v>0</v>
      </c>
      <c r="P22" s="803">
        <f t="shared" si="1"/>
        <v>0</v>
      </c>
      <c r="Q22" s="803">
        <f t="shared" si="1"/>
        <v>0</v>
      </c>
      <c r="R22" s="803">
        <f t="shared" si="1"/>
        <v>292326.4515496458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11713.348641999999</v>
      </c>
      <c r="D24" s="679">
        <f>+landbouw!C8</f>
        <v>13285.928571428571</v>
      </c>
      <c r="E24" s="679">
        <f>+landbouw!D8</f>
        <v>33316.967772773132</v>
      </c>
      <c r="F24" s="679">
        <f>+landbouw!E8</f>
        <v>365.56974853095693</v>
      </c>
      <c r="G24" s="679">
        <f>+landbouw!F8</f>
        <v>41396.271670587317</v>
      </c>
      <c r="H24" s="679">
        <f>+landbouw!G8</f>
        <v>0</v>
      </c>
      <c r="I24" s="679">
        <f>+landbouw!H8</f>
        <v>0</v>
      </c>
      <c r="J24" s="679">
        <f>+landbouw!I8</f>
        <v>0</v>
      </c>
      <c r="K24" s="679">
        <f>+landbouw!J8</f>
        <v>3227.1087822319255</v>
      </c>
      <c r="L24" s="679">
        <f>+landbouw!K8</f>
        <v>0</v>
      </c>
      <c r="M24" s="679">
        <f>+landbouw!L8</f>
        <v>0</v>
      </c>
      <c r="N24" s="679">
        <f>+landbouw!M8</f>
        <v>0</v>
      </c>
      <c r="O24" s="679">
        <f>+landbouw!N8</f>
        <v>0</v>
      </c>
      <c r="P24" s="679">
        <f>+landbouw!O8</f>
        <v>0</v>
      </c>
      <c r="Q24" s="680">
        <f>+landbouw!P8</f>
        <v>0</v>
      </c>
      <c r="R24" s="682">
        <f>SUM(C24:Q24)</f>
        <v>103305.1951875519</v>
      </c>
      <c r="S24" s="67"/>
    </row>
    <row r="25" spans="1:19" s="442" customFormat="1" ht="15" thickBot="1">
      <c r="A25" s="822" t="s">
        <v>708</v>
      </c>
      <c r="B25" s="941"/>
      <c r="C25" s="942">
        <f>IF(Onbekend_ele_kWh="---",0,Onbekend_ele_kWh)/1000+IF(REST_rest_ele_kWh="---",0,REST_rest_ele_kWh)/1000</f>
        <v>1184.390365</v>
      </c>
      <c r="D25" s="942"/>
      <c r="E25" s="942">
        <f>IF(onbekend_gas_kWh="---",0,onbekend_gas_kWh)/1000+IF(REST_rest_gas_kWh="---",0,REST_rest_gas_kWh)/1000</f>
        <v>1879.9413629999999</v>
      </c>
      <c r="F25" s="942"/>
      <c r="G25" s="942"/>
      <c r="H25" s="942"/>
      <c r="I25" s="942"/>
      <c r="J25" s="942"/>
      <c r="K25" s="942"/>
      <c r="L25" s="942"/>
      <c r="M25" s="942"/>
      <c r="N25" s="942"/>
      <c r="O25" s="942"/>
      <c r="P25" s="942"/>
      <c r="Q25" s="943"/>
      <c r="R25" s="682">
        <f>SUM(C25:Q25)</f>
        <v>3064.3317280000001</v>
      </c>
      <c r="S25" s="67"/>
    </row>
    <row r="26" spans="1:19" s="442" customFormat="1" ht="15.75" thickBot="1">
      <c r="A26" s="687" t="s">
        <v>709</v>
      </c>
      <c r="B26" s="808"/>
      <c r="C26" s="803">
        <f>SUM(C24:C25)</f>
        <v>12897.739006999998</v>
      </c>
      <c r="D26" s="803">
        <f t="shared" ref="D26:R26" si="2">SUM(D24:D25)</f>
        <v>13285.928571428571</v>
      </c>
      <c r="E26" s="803">
        <f t="shared" si="2"/>
        <v>35196.90913577313</v>
      </c>
      <c r="F26" s="803">
        <f t="shared" si="2"/>
        <v>365.56974853095693</v>
      </c>
      <c r="G26" s="803">
        <f t="shared" si="2"/>
        <v>41396.271670587317</v>
      </c>
      <c r="H26" s="803">
        <f t="shared" si="2"/>
        <v>0</v>
      </c>
      <c r="I26" s="803">
        <f t="shared" si="2"/>
        <v>0</v>
      </c>
      <c r="J26" s="803">
        <f t="shared" si="2"/>
        <v>0</v>
      </c>
      <c r="K26" s="803">
        <f t="shared" si="2"/>
        <v>3227.1087822319255</v>
      </c>
      <c r="L26" s="803">
        <f t="shared" si="2"/>
        <v>0</v>
      </c>
      <c r="M26" s="803">
        <f t="shared" si="2"/>
        <v>0</v>
      </c>
      <c r="N26" s="803">
        <f t="shared" si="2"/>
        <v>0</v>
      </c>
      <c r="O26" s="803">
        <f t="shared" si="2"/>
        <v>0</v>
      </c>
      <c r="P26" s="803">
        <f t="shared" si="2"/>
        <v>0</v>
      </c>
      <c r="Q26" s="803">
        <f t="shared" si="2"/>
        <v>0</v>
      </c>
      <c r="R26" s="803">
        <f t="shared" si="2"/>
        <v>106369.52691555191</v>
      </c>
      <c r="S26" s="67"/>
    </row>
    <row r="27" spans="1:19" s="442" customFormat="1" ht="17.25" thickTop="1" thickBot="1">
      <c r="A27" s="688" t="s">
        <v>109</v>
      </c>
      <c r="B27" s="795"/>
      <c r="C27" s="689">
        <f ca="1">C22+C16+C26</f>
        <v>92546.660138904495</v>
      </c>
      <c r="D27" s="689">
        <f t="shared" ref="D27:R27" ca="1" si="3">D22+D16+D26</f>
        <v>13478.785714285714</v>
      </c>
      <c r="E27" s="689">
        <f t="shared" ca="1" si="3"/>
        <v>170317.38108118271</v>
      </c>
      <c r="F27" s="689">
        <f t="shared" si="3"/>
        <v>5486.2561683212944</v>
      </c>
      <c r="G27" s="689">
        <f t="shared" ca="1" si="3"/>
        <v>98853.717034081405</v>
      </c>
      <c r="H27" s="689">
        <f t="shared" si="3"/>
        <v>237376.38851160166</v>
      </c>
      <c r="I27" s="689">
        <f t="shared" si="3"/>
        <v>37661.550092644349</v>
      </c>
      <c r="J27" s="689">
        <f t="shared" si="3"/>
        <v>0</v>
      </c>
      <c r="K27" s="689">
        <f t="shared" si="3"/>
        <v>3466.2927929903153</v>
      </c>
      <c r="L27" s="689">
        <f t="shared" si="3"/>
        <v>0</v>
      </c>
      <c r="M27" s="689">
        <f t="shared" ca="1" si="3"/>
        <v>0</v>
      </c>
      <c r="N27" s="689">
        <f t="shared" si="3"/>
        <v>16174.095508720364</v>
      </c>
      <c r="O27" s="689">
        <f t="shared" ca="1" si="3"/>
        <v>14957.630728210084</v>
      </c>
      <c r="P27" s="689">
        <f t="shared" si="3"/>
        <v>742.92971837781693</v>
      </c>
      <c r="Q27" s="689">
        <f t="shared" si="3"/>
        <v>1569.2986203812084</v>
      </c>
      <c r="R27" s="689">
        <f t="shared" ca="1" si="3"/>
        <v>692630.98610970145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5235.3360717759861</v>
      </c>
      <c r="D40" s="679">
        <f ca="1">tertiair!C20</f>
        <v>45.619899698325469</v>
      </c>
      <c r="E40" s="679">
        <f ca="1">tertiair!D20</f>
        <v>6124.4414946290308</v>
      </c>
      <c r="F40" s="679">
        <f>tertiair!E20</f>
        <v>103.08263156128972</v>
      </c>
      <c r="G40" s="679">
        <f ca="1">tertiair!F20</f>
        <v>835.11923566708447</v>
      </c>
      <c r="H40" s="679">
        <f>tertiair!G20</f>
        <v>0</v>
      </c>
      <c r="I40" s="679">
        <f>tertiair!H20</f>
        <v>0</v>
      </c>
      <c r="J40" s="679">
        <f>tertiair!I20</f>
        <v>0</v>
      </c>
      <c r="K40" s="679">
        <f>tertiair!J20</f>
        <v>2.0090866196121548E-2</v>
      </c>
      <c r="L40" s="679">
        <f>tertiair!K20</f>
        <v>0</v>
      </c>
      <c r="M40" s="679">
        <f ca="1">tertiair!L20</f>
        <v>0</v>
      </c>
      <c r="N40" s="679">
        <f>tertiair!M20</f>
        <v>0</v>
      </c>
      <c r="O40" s="679">
        <f ca="1">tertiair!N20</f>
        <v>0</v>
      </c>
      <c r="P40" s="679">
        <f>tertiair!O20</f>
        <v>0</v>
      </c>
      <c r="Q40" s="762">
        <f>tertiair!P20</f>
        <v>0</v>
      </c>
      <c r="R40" s="841">
        <f t="shared" ca="1" si="4"/>
        <v>12343.619424197912</v>
      </c>
    </row>
    <row r="41" spans="1:18">
      <c r="A41" s="813" t="s">
        <v>213</v>
      </c>
      <c r="B41" s="820"/>
      <c r="C41" s="679">
        <f ca="1">huishoudens!B12</f>
        <v>7334.63508822109</v>
      </c>
      <c r="D41" s="679">
        <f ca="1">huishoudens!C12</f>
        <v>0</v>
      </c>
      <c r="E41" s="679">
        <f>huishoudens!D12</f>
        <v>14909.933177212482</v>
      </c>
      <c r="F41" s="679">
        <f>huishoudens!E12</f>
        <v>715.26796799517592</v>
      </c>
      <c r="G41" s="679">
        <f>huishoudens!F12</f>
        <v>13562.980086881869</v>
      </c>
      <c r="H41" s="679">
        <f>huishoudens!G12</f>
        <v>0</v>
      </c>
      <c r="I41" s="679">
        <f>huishoudens!H12</f>
        <v>0</v>
      </c>
      <c r="J41" s="679">
        <f>huishoudens!I12</f>
        <v>0</v>
      </c>
      <c r="K41" s="679">
        <f>huishoudens!J12</f>
        <v>71.838807670505531</v>
      </c>
      <c r="L41" s="679">
        <f>huishoudens!K12</f>
        <v>0</v>
      </c>
      <c r="M41" s="679">
        <f>huishoudens!L12</f>
        <v>0</v>
      </c>
      <c r="N41" s="679">
        <f>huishoudens!M12</f>
        <v>0</v>
      </c>
      <c r="O41" s="679">
        <f>huishoudens!N12</f>
        <v>0</v>
      </c>
      <c r="P41" s="679">
        <f>huishoudens!O12</f>
        <v>0</v>
      </c>
      <c r="Q41" s="762">
        <f>huishoudens!P12</f>
        <v>0</v>
      </c>
      <c r="R41" s="841">
        <f t="shared" ca="1" si="4"/>
        <v>36594.655127981125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1477.1375680347285</v>
      </c>
      <c r="D43" s="679">
        <f ca="1">industrie!C22</f>
        <v>0</v>
      </c>
      <c r="E43" s="679">
        <f>industrie!D22</f>
        <v>6176.5712536183046</v>
      </c>
      <c r="F43" s="679">
        <f>industrie!E22</f>
        <v>252.59621729992861</v>
      </c>
      <c r="G43" s="679">
        <f>industrie!F22</f>
        <v>943.03858950396932</v>
      </c>
      <c r="H43" s="679">
        <f>industrie!G22</f>
        <v>0</v>
      </c>
      <c r="I43" s="679">
        <f>industrie!H22</f>
        <v>0</v>
      </c>
      <c r="J43" s="679">
        <f>industrie!I22</f>
        <v>0</v>
      </c>
      <c r="K43" s="679">
        <f>industrie!J22</f>
        <v>12.812241271768288</v>
      </c>
      <c r="L43" s="679">
        <f>industrie!K22</f>
        <v>0</v>
      </c>
      <c r="M43" s="679">
        <f>industrie!L22</f>
        <v>0</v>
      </c>
      <c r="N43" s="679">
        <f>industrie!M22</f>
        <v>0</v>
      </c>
      <c r="O43" s="679">
        <f>industrie!N22</f>
        <v>0</v>
      </c>
      <c r="P43" s="679">
        <f>industrie!O22</f>
        <v>0</v>
      </c>
      <c r="Q43" s="762">
        <f>industrie!P22</f>
        <v>0</v>
      </c>
      <c r="R43" s="840">
        <f t="shared" ca="1" si="4"/>
        <v>8862.1558697286982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14047.108728031804</v>
      </c>
      <c r="D46" s="715">
        <f t="shared" ref="D46:Q46" ca="1" si="5">SUM(D39:D45)</f>
        <v>45.619899698325469</v>
      </c>
      <c r="E46" s="715">
        <f t="shared" ca="1" si="5"/>
        <v>27210.945925459819</v>
      </c>
      <c r="F46" s="715">
        <f t="shared" si="5"/>
        <v>1070.9468168563942</v>
      </c>
      <c r="G46" s="715">
        <f t="shared" ca="1" si="5"/>
        <v>15341.137912052924</v>
      </c>
      <c r="H46" s="715">
        <f t="shared" si="5"/>
        <v>0</v>
      </c>
      <c r="I46" s="715">
        <f t="shared" si="5"/>
        <v>0</v>
      </c>
      <c r="J46" s="715">
        <f t="shared" si="5"/>
        <v>0</v>
      </c>
      <c r="K46" s="715">
        <f t="shared" si="5"/>
        <v>84.671139808469945</v>
      </c>
      <c r="L46" s="715">
        <f t="shared" si="5"/>
        <v>0</v>
      </c>
      <c r="M46" s="715">
        <f t="shared" ca="1" si="5"/>
        <v>0</v>
      </c>
      <c r="N46" s="715">
        <f t="shared" si="5"/>
        <v>0</v>
      </c>
      <c r="O46" s="715">
        <f t="shared" ca="1" si="5"/>
        <v>0</v>
      </c>
      <c r="P46" s="715">
        <f t="shared" si="5"/>
        <v>0</v>
      </c>
      <c r="Q46" s="715">
        <f t="shared" si="5"/>
        <v>0</v>
      </c>
      <c r="R46" s="715">
        <f ca="1">SUM(R39:R45)</f>
        <v>57800.430421907731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5.1272573286175209</v>
      </c>
      <c r="D49" s="679">
        <f ca="1">transport!C58</f>
        <v>0</v>
      </c>
      <c r="E49" s="679">
        <f>transport!D58</f>
        <v>0</v>
      </c>
      <c r="F49" s="679">
        <f>transport!E58</f>
        <v>0</v>
      </c>
      <c r="G49" s="679">
        <f>transport!F58</f>
        <v>0</v>
      </c>
      <c r="H49" s="679">
        <f>transport!G58</f>
        <v>560.27955473180305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565.40681206042052</v>
      </c>
    </row>
    <row r="50" spans="1:18">
      <c r="A50" s="816" t="s">
        <v>295</v>
      </c>
      <c r="B50" s="826"/>
      <c r="C50" s="685">
        <f ca="1">transport!B18</f>
        <v>47.757650114676871</v>
      </c>
      <c r="D50" s="685">
        <f>transport!C18</f>
        <v>0</v>
      </c>
      <c r="E50" s="685">
        <f>transport!D18</f>
        <v>83.389407512918055</v>
      </c>
      <c r="F50" s="685">
        <f>transport!E18</f>
        <v>91.44900043601254</v>
      </c>
      <c r="G50" s="685">
        <f>transport!F18</f>
        <v>0</v>
      </c>
      <c r="H50" s="685">
        <f>transport!G18</f>
        <v>62819.216177865848</v>
      </c>
      <c r="I50" s="685">
        <f>transport!H18</f>
        <v>9377.7259730684436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72419.538208997896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52.884907443294395</v>
      </c>
      <c r="D52" s="715">
        <f t="shared" ref="D52:Q52" ca="1" si="6">SUM(D48:D51)</f>
        <v>0</v>
      </c>
      <c r="E52" s="715">
        <f t="shared" si="6"/>
        <v>83.389407512918055</v>
      </c>
      <c r="F52" s="715">
        <f t="shared" si="6"/>
        <v>91.44900043601254</v>
      </c>
      <c r="G52" s="715">
        <f t="shared" si="6"/>
        <v>0</v>
      </c>
      <c r="H52" s="715">
        <f t="shared" si="6"/>
        <v>63379.49573259765</v>
      </c>
      <c r="I52" s="715">
        <f t="shared" si="6"/>
        <v>9377.7259730684436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72984.945021058316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2073.5766279719819</v>
      </c>
      <c r="D54" s="685">
        <f ca="1">+landbouw!C12</f>
        <v>3142.7548902176413</v>
      </c>
      <c r="E54" s="685">
        <f>+landbouw!D12</f>
        <v>6730.0274901001731</v>
      </c>
      <c r="F54" s="685">
        <f>+landbouw!E12</f>
        <v>82.984332916527222</v>
      </c>
      <c r="G54" s="685">
        <f>+landbouw!F12</f>
        <v>11052.804536046815</v>
      </c>
      <c r="H54" s="685">
        <f>+landbouw!G12</f>
        <v>0</v>
      </c>
      <c r="I54" s="685">
        <f>+landbouw!H12</f>
        <v>0</v>
      </c>
      <c r="J54" s="685">
        <f>+landbouw!I12</f>
        <v>0</v>
      </c>
      <c r="K54" s="685">
        <f>+landbouw!J12</f>
        <v>1142.3965089101016</v>
      </c>
      <c r="L54" s="685">
        <f>+landbouw!K12</f>
        <v>0</v>
      </c>
      <c r="M54" s="685">
        <f>+landbouw!L12</f>
        <v>0</v>
      </c>
      <c r="N54" s="685">
        <f>+landbouw!M12</f>
        <v>0</v>
      </c>
      <c r="O54" s="685">
        <f>+landbouw!N12</f>
        <v>0</v>
      </c>
      <c r="P54" s="685">
        <f>+landbouw!O12</f>
        <v>0</v>
      </c>
      <c r="Q54" s="686">
        <f>+landbouw!P12</f>
        <v>0</v>
      </c>
      <c r="R54" s="714">
        <f ca="1">SUM(C54:Q54)</f>
        <v>24224.544386163241</v>
      </c>
    </row>
    <row r="55" spans="1:18" ht="15" thickBot="1">
      <c r="A55" s="816" t="s">
        <v>708</v>
      </c>
      <c r="B55" s="826"/>
      <c r="C55" s="685">
        <f ca="1">C25*'EF ele_warmte'!B12</f>
        <v>209.66883632688211</v>
      </c>
      <c r="D55" s="685"/>
      <c r="E55" s="685">
        <f>E25*EF_CO2_aardgas</f>
        <v>379.74815532600002</v>
      </c>
      <c r="F55" s="685"/>
      <c r="G55" s="685"/>
      <c r="H55" s="685"/>
      <c r="I55" s="685"/>
      <c r="J55" s="685"/>
      <c r="K55" s="685"/>
      <c r="L55" s="685"/>
      <c r="M55" s="685"/>
      <c r="N55" s="685"/>
      <c r="O55" s="685"/>
      <c r="P55" s="685"/>
      <c r="Q55" s="686"/>
      <c r="R55" s="714">
        <f ca="1">SUM(C55:Q55)</f>
        <v>589.41699165288219</v>
      </c>
    </row>
    <row r="56" spans="1:18" ht="15.75" thickBot="1">
      <c r="A56" s="814" t="s">
        <v>709</v>
      </c>
      <c r="B56" s="827"/>
      <c r="C56" s="715">
        <f ca="1">SUM(C54:C55)</f>
        <v>2283.2454642988641</v>
      </c>
      <c r="D56" s="715">
        <f t="shared" ref="D56:Q56" ca="1" si="7">SUM(D54:D55)</f>
        <v>3142.7548902176413</v>
      </c>
      <c r="E56" s="715">
        <f t="shared" si="7"/>
        <v>7109.7756454261735</v>
      </c>
      <c r="F56" s="715">
        <f t="shared" si="7"/>
        <v>82.984332916527222</v>
      </c>
      <c r="G56" s="715">
        <f t="shared" si="7"/>
        <v>11052.804536046815</v>
      </c>
      <c r="H56" s="715">
        <f t="shared" si="7"/>
        <v>0</v>
      </c>
      <c r="I56" s="715">
        <f t="shared" si="7"/>
        <v>0</v>
      </c>
      <c r="J56" s="715">
        <f t="shared" si="7"/>
        <v>0</v>
      </c>
      <c r="K56" s="715">
        <f t="shared" si="7"/>
        <v>1142.3965089101016</v>
      </c>
      <c r="L56" s="715">
        <f t="shared" si="7"/>
        <v>0</v>
      </c>
      <c r="M56" s="715">
        <f t="shared" si="7"/>
        <v>0</v>
      </c>
      <c r="N56" s="715">
        <f t="shared" si="7"/>
        <v>0</v>
      </c>
      <c r="O56" s="715">
        <f t="shared" si="7"/>
        <v>0</v>
      </c>
      <c r="P56" s="715">
        <f t="shared" si="7"/>
        <v>0</v>
      </c>
      <c r="Q56" s="716">
        <f t="shared" si="7"/>
        <v>0</v>
      </c>
      <c r="R56" s="717">
        <f ca="1">SUM(R54:R55)</f>
        <v>24813.961377816122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16383.239099773964</v>
      </c>
      <c r="D61" s="723">
        <f t="shared" ref="D61:Q61" ca="1" si="8">D46+D52+D56</f>
        <v>3188.3747899159666</v>
      </c>
      <c r="E61" s="723">
        <f t="shared" ca="1" si="8"/>
        <v>34404.110978398909</v>
      </c>
      <c r="F61" s="723">
        <f t="shared" si="8"/>
        <v>1245.3801502089339</v>
      </c>
      <c r="G61" s="723">
        <f t="shared" ca="1" si="8"/>
        <v>26393.94244809974</v>
      </c>
      <c r="H61" s="723">
        <f t="shared" si="8"/>
        <v>63379.49573259765</v>
      </c>
      <c r="I61" s="723">
        <f t="shared" si="8"/>
        <v>9377.7259730684436</v>
      </c>
      <c r="J61" s="723">
        <f t="shared" si="8"/>
        <v>0</v>
      </c>
      <c r="K61" s="723">
        <f t="shared" si="8"/>
        <v>1227.0676487185715</v>
      </c>
      <c r="L61" s="723">
        <f t="shared" si="8"/>
        <v>0</v>
      </c>
      <c r="M61" s="723">
        <f t="shared" ca="1" si="8"/>
        <v>0</v>
      </c>
      <c r="N61" s="723">
        <f t="shared" si="8"/>
        <v>0</v>
      </c>
      <c r="O61" s="723">
        <f t="shared" ca="1" si="8"/>
        <v>0</v>
      </c>
      <c r="P61" s="723">
        <f t="shared" si="8"/>
        <v>0</v>
      </c>
      <c r="Q61" s="723">
        <f t="shared" si="8"/>
        <v>0</v>
      </c>
      <c r="R61" s="723">
        <f ca="1">R46+R52+R56</f>
        <v>155599.33682078216</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0.17702680005074353</v>
      </c>
      <c r="D63" s="769">
        <f t="shared" ca="1" si="9"/>
        <v>0.23654762806539131</v>
      </c>
      <c r="E63" s="967">
        <f t="shared" ca="1" si="9"/>
        <v>0.20200000000000001</v>
      </c>
      <c r="F63" s="769">
        <f t="shared" si="9"/>
        <v>0.22700000000000001</v>
      </c>
      <c r="G63" s="769">
        <f t="shared" ca="1" si="9"/>
        <v>0.26700000000000007</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11409.284518594592</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7668.8466753651765</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43.649999999999984</v>
      </c>
      <c r="C76" s="736">
        <f>'lokale energieproductie'!B8*IFERROR(SUM(D76:H76)/SUM(D76:O76),0)</f>
        <v>9391.5</v>
      </c>
      <c r="D76" s="950">
        <f>'lokale energieproductie'!C8</f>
        <v>11048.823529411766</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2231.8623529411771</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19121.78119395977</v>
      </c>
      <c r="C78" s="741">
        <f>SUM(C72:C77)</f>
        <v>9391.5</v>
      </c>
      <c r="D78" s="742">
        <f t="shared" ref="D78:H78" si="10">SUM(D76:D77)</f>
        <v>11048.823529411766</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2231.8623529411771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13416.428571428572</v>
      </c>
      <c r="D87" s="765">
        <f>'lokale energieproductie'!C17</f>
        <v>15784.033613445379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3188.3747899159666</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13416.428571428572</v>
      </c>
      <c r="D90" s="741">
        <f t="shared" ref="D90:H90" si="12">SUM(D87:D89)</f>
        <v>15784.033613445379</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3188.3747899159666</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41432.342934056695</v>
      </c>
      <c r="C4" s="446">
        <f>huishoudens!C8</f>
        <v>0</v>
      </c>
      <c r="D4" s="446">
        <f>huishoudens!D8</f>
        <v>73811.550382240006</v>
      </c>
      <c r="E4" s="446">
        <f>huishoudens!E8</f>
        <v>3150.960211432493</v>
      </c>
      <c r="F4" s="446">
        <f>huishoudens!F8</f>
        <v>50797.678228021978</v>
      </c>
      <c r="G4" s="446">
        <f>huishoudens!G8</f>
        <v>0</v>
      </c>
      <c r="H4" s="446">
        <f>huishoudens!H8</f>
        <v>0</v>
      </c>
      <c r="I4" s="446">
        <f>huishoudens!I8</f>
        <v>0</v>
      </c>
      <c r="J4" s="446">
        <f>huishoudens!J8</f>
        <v>202.93448494493089</v>
      </c>
      <c r="K4" s="446">
        <f>huishoudens!K8</f>
        <v>0</v>
      </c>
      <c r="L4" s="446">
        <f>huishoudens!L8</f>
        <v>0</v>
      </c>
      <c r="M4" s="446">
        <f>huishoudens!M8</f>
        <v>0</v>
      </c>
      <c r="N4" s="446">
        <f>huishoudens!N8</f>
        <v>12282.136428026581</v>
      </c>
      <c r="O4" s="446">
        <f>huishoudens!O8</f>
        <v>738.03245761197581</v>
      </c>
      <c r="P4" s="447">
        <f>huishoudens!P8</f>
        <v>1464.2203437682183</v>
      </c>
      <c r="Q4" s="448">
        <f>SUM(B4:P4)</f>
        <v>183879.85547010289</v>
      </c>
    </row>
    <row r="5" spans="1:17">
      <c r="A5" s="445" t="s">
        <v>149</v>
      </c>
      <c r="B5" s="446">
        <f ca="1">tertiair!B16</f>
        <v>27926.157063999992</v>
      </c>
      <c r="C5" s="446">
        <f ca="1">tertiair!C16</f>
        <v>192.85714285714286</v>
      </c>
      <c r="D5" s="446">
        <f ca="1">tertiair!D16</f>
        <v>30319.017300143714</v>
      </c>
      <c r="E5" s="446">
        <f>tertiair!E16</f>
        <v>454.10850908057142</v>
      </c>
      <c r="F5" s="446">
        <f ca="1">tertiair!F16</f>
        <v>3127.7873995021887</v>
      </c>
      <c r="G5" s="446">
        <f>tertiair!G16</f>
        <v>0</v>
      </c>
      <c r="H5" s="446">
        <f>tertiair!H16</f>
        <v>0</v>
      </c>
      <c r="I5" s="446">
        <f>tertiair!I16</f>
        <v>0</v>
      </c>
      <c r="J5" s="446">
        <f>tertiair!J16</f>
        <v>5.675385931107782E-2</v>
      </c>
      <c r="K5" s="446">
        <f>tertiair!K16</f>
        <v>0</v>
      </c>
      <c r="L5" s="446">
        <f ca="1">tertiair!L16</f>
        <v>0</v>
      </c>
      <c r="M5" s="446">
        <f>tertiair!M16</f>
        <v>0</v>
      </c>
      <c r="N5" s="446">
        <f ca="1">tertiair!N16</f>
        <v>2226.4864333124115</v>
      </c>
      <c r="O5" s="446">
        <f>tertiair!O16</f>
        <v>4.8972607658411542</v>
      </c>
      <c r="P5" s="447">
        <f>tertiair!P16</f>
        <v>105.07827661299004</v>
      </c>
      <c r="Q5" s="445">
        <f t="shared" ref="Q5:Q14" ca="1" si="0">SUM(B5:P5)</f>
        <v>64356.446140134169</v>
      </c>
    </row>
    <row r="6" spans="1:17">
      <c r="A6" s="445" t="s">
        <v>187</v>
      </c>
      <c r="B6" s="446">
        <f>'openbare verlichting'!B8</f>
        <v>1647.5350000000001</v>
      </c>
      <c r="C6" s="446"/>
      <c r="D6" s="446"/>
      <c r="E6" s="446"/>
      <c r="F6" s="446"/>
      <c r="G6" s="446"/>
      <c r="H6" s="446"/>
      <c r="I6" s="446"/>
      <c r="J6" s="446"/>
      <c r="K6" s="446"/>
      <c r="L6" s="446"/>
      <c r="M6" s="446"/>
      <c r="N6" s="446"/>
      <c r="O6" s="446"/>
      <c r="P6" s="447"/>
      <c r="Q6" s="445">
        <f t="shared" si="0"/>
        <v>1647.5350000000001</v>
      </c>
    </row>
    <row r="7" spans="1:17">
      <c r="A7" s="445" t="s">
        <v>105</v>
      </c>
      <c r="B7" s="446">
        <f>landbouw!B8</f>
        <v>11713.348641999999</v>
      </c>
      <c r="C7" s="446">
        <f>landbouw!C8</f>
        <v>13285.928571428571</v>
      </c>
      <c r="D7" s="446">
        <f>landbouw!D8</f>
        <v>33316.967772773132</v>
      </c>
      <c r="E7" s="446">
        <f>landbouw!E8</f>
        <v>365.56974853095693</v>
      </c>
      <c r="F7" s="446">
        <f>landbouw!F8</f>
        <v>41396.271670587317</v>
      </c>
      <c r="G7" s="446">
        <f>landbouw!G8</f>
        <v>0</v>
      </c>
      <c r="H7" s="446">
        <f>landbouw!H8</f>
        <v>0</v>
      </c>
      <c r="I7" s="446">
        <f>landbouw!I8</f>
        <v>0</v>
      </c>
      <c r="J7" s="446">
        <f>landbouw!J8</f>
        <v>3227.1087822319255</v>
      </c>
      <c r="K7" s="446">
        <f>landbouw!K8</f>
        <v>0</v>
      </c>
      <c r="L7" s="446">
        <f>landbouw!L8</f>
        <v>0</v>
      </c>
      <c r="M7" s="446">
        <f>landbouw!M8</f>
        <v>0</v>
      </c>
      <c r="N7" s="446">
        <f>landbouw!N8</f>
        <v>0</v>
      </c>
      <c r="O7" s="446">
        <f>landbouw!O8</f>
        <v>0</v>
      </c>
      <c r="P7" s="447">
        <f>landbouw!P8</f>
        <v>0</v>
      </c>
      <c r="Q7" s="445">
        <f t="shared" si="0"/>
        <v>103305.1951875519</v>
      </c>
    </row>
    <row r="8" spans="1:17">
      <c r="A8" s="445" t="s">
        <v>612</v>
      </c>
      <c r="B8" s="446">
        <f>industrie!B18</f>
        <v>8344.1465790000002</v>
      </c>
      <c r="C8" s="446">
        <f>industrie!C18</f>
        <v>0</v>
      </c>
      <c r="D8" s="446">
        <f>industrie!D18</f>
        <v>30577.085413952002</v>
      </c>
      <c r="E8" s="446">
        <f>industrie!E18</f>
        <v>1112.7586665195092</v>
      </c>
      <c r="F8" s="446">
        <f>industrie!F18</f>
        <v>3531.9797359699223</v>
      </c>
      <c r="G8" s="446">
        <f>industrie!G18</f>
        <v>0</v>
      </c>
      <c r="H8" s="446">
        <f>industrie!H18</f>
        <v>0</v>
      </c>
      <c r="I8" s="446">
        <f>industrie!I18</f>
        <v>0</v>
      </c>
      <c r="J8" s="446">
        <f>industrie!J18</f>
        <v>36.192771954147709</v>
      </c>
      <c r="K8" s="446">
        <f>industrie!K18</f>
        <v>0</v>
      </c>
      <c r="L8" s="446">
        <f>industrie!L18</f>
        <v>0</v>
      </c>
      <c r="M8" s="446">
        <f>industrie!M18</f>
        <v>0</v>
      </c>
      <c r="N8" s="446">
        <f>industrie!N18</f>
        <v>449.00786687109257</v>
      </c>
      <c r="O8" s="446">
        <f>industrie!O18</f>
        <v>0</v>
      </c>
      <c r="P8" s="447">
        <f>industrie!P18</f>
        <v>0</v>
      </c>
      <c r="Q8" s="445">
        <f t="shared" si="0"/>
        <v>44051.171034266677</v>
      </c>
    </row>
    <row r="9" spans="1:17" s="451" customFormat="1">
      <c r="A9" s="449" t="s">
        <v>538</v>
      </c>
      <c r="B9" s="450">
        <f>transport!B14</f>
        <v>269.77638471117069</v>
      </c>
      <c r="C9" s="450">
        <f>transport!C14</f>
        <v>0</v>
      </c>
      <c r="D9" s="450">
        <f>transport!D14</f>
        <v>412.81884907385177</v>
      </c>
      <c r="E9" s="450">
        <f>transport!E14</f>
        <v>402.85903275776445</v>
      </c>
      <c r="F9" s="450">
        <f>transport!F14</f>
        <v>0</v>
      </c>
      <c r="G9" s="450">
        <f>transport!G14</f>
        <v>235277.96321298069</v>
      </c>
      <c r="H9" s="450">
        <f>transport!H14</f>
        <v>37661.550092644349</v>
      </c>
      <c r="I9" s="450">
        <f>transport!I14</f>
        <v>0</v>
      </c>
      <c r="J9" s="450">
        <f>transport!J14</f>
        <v>0</v>
      </c>
      <c r="K9" s="450">
        <f>transport!K14</f>
        <v>0</v>
      </c>
      <c r="L9" s="450">
        <f>transport!L14</f>
        <v>0</v>
      </c>
      <c r="M9" s="450">
        <f>transport!M14</f>
        <v>16055.402324717625</v>
      </c>
      <c r="N9" s="450">
        <f>transport!N14</f>
        <v>0</v>
      </c>
      <c r="O9" s="450">
        <f>transport!O14</f>
        <v>0</v>
      </c>
      <c r="P9" s="450">
        <f>transport!P14</f>
        <v>0</v>
      </c>
      <c r="Q9" s="449">
        <f>SUM(B9:P9)</f>
        <v>290080.36989688542</v>
      </c>
    </row>
    <row r="10" spans="1:17">
      <c r="A10" s="445" t="s">
        <v>528</v>
      </c>
      <c r="B10" s="446">
        <f>transport!B54</f>
        <v>28.963170136656306</v>
      </c>
      <c r="C10" s="446">
        <f>transport!C54</f>
        <v>0</v>
      </c>
      <c r="D10" s="446">
        <f>transport!D54</f>
        <v>0</v>
      </c>
      <c r="E10" s="446">
        <f>transport!E54</f>
        <v>0</v>
      </c>
      <c r="F10" s="446">
        <f>transport!F54</f>
        <v>0</v>
      </c>
      <c r="G10" s="446">
        <f>transport!G54</f>
        <v>2098.4252986209849</v>
      </c>
      <c r="H10" s="446">
        <f>transport!H54</f>
        <v>0</v>
      </c>
      <c r="I10" s="446">
        <f>transport!I54</f>
        <v>0</v>
      </c>
      <c r="J10" s="446">
        <f>transport!J54</f>
        <v>0</v>
      </c>
      <c r="K10" s="446">
        <f>transport!K54</f>
        <v>0</v>
      </c>
      <c r="L10" s="446">
        <f>transport!L54</f>
        <v>0</v>
      </c>
      <c r="M10" s="446">
        <f>transport!M54</f>
        <v>118.69318400273987</v>
      </c>
      <c r="N10" s="446">
        <f>transport!N54</f>
        <v>0</v>
      </c>
      <c r="O10" s="446">
        <f>transport!O54</f>
        <v>0</v>
      </c>
      <c r="P10" s="447">
        <f>transport!P54</f>
        <v>0</v>
      </c>
      <c r="Q10" s="445">
        <f t="shared" si="0"/>
        <v>2246.0816527603811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1184.390365</v>
      </c>
      <c r="C14" s="453"/>
      <c r="D14" s="453">
        <f>'SEAP template'!E25</f>
        <v>1879.9413629999999</v>
      </c>
      <c r="E14" s="453"/>
      <c r="F14" s="453"/>
      <c r="G14" s="453"/>
      <c r="H14" s="453"/>
      <c r="I14" s="453"/>
      <c r="J14" s="453"/>
      <c r="K14" s="453"/>
      <c r="L14" s="453"/>
      <c r="M14" s="453"/>
      <c r="N14" s="453"/>
      <c r="O14" s="453"/>
      <c r="P14" s="454"/>
      <c r="Q14" s="445">
        <f t="shared" si="0"/>
        <v>3064.3317280000001</v>
      </c>
    </row>
    <row r="15" spans="1:17" s="457" customFormat="1">
      <c r="A15" s="455" t="s">
        <v>532</v>
      </c>
      <c r="B15" s="456">
        <f ca="1">SUM(B4:B14)</f>
        <v>92546.660138904495</v>
      </c>
      <c r="C15" s="456">
        <f t="shared" ref="C15:Q15" ca="1" si="1">SUM(C4:C14)</f>
        <v>13478.785714285714</v>
      </c>
      <c r="D15" s="456">
        <f t="shared" ca="1" si="1"/>
        <v>170317.38108118271</v>
      </c>
      <c r="E15" s="456">
        <f t="shared" si="1"/>
        <v>5486.2561683212953</v>
      </c>
      <c r="F15" s="456">
        <f t="shared" ca="1" si="1"/>
        <v>98853.717034081405</v>
      </c>
      <c r="G15" s="456">
        <f t="shared" si="1"/>
        <v>237376.38851160166</v>
      </c>
      <c r="H15" s="456">
        <f t="shared" si="1"/>
        <v>37661.550092644349</v>
      </c>
      <c r="I15" s="456">
        <f t="shared" si="1"/>
        <v>0</v>
      </c>
      <c r="J15" s="456">
        <f t="shared" si="1"/>
        <v>3466.2927929903153</v>
      </c>
      <c r="K15" s="456">
        <f t="shared" si="1"/>
        <v>0</v>
      </c>
      <c r="L15" s="456">
        <f t="shared" ca="1" si="1"/>
        <v>0</v>
      </c>
      <c r="M15" s="456">
        <f t="shared" si="1"/>
        <v>16174.095508720364</v>
      </c>
      <c r="N15" s="456">
        <f t="shared" ca="1" si="1"/>
        <v>14957.630728210084</v>
      </c>
      <c r="O15" s="456">
        <f t="shared" si="1"/>
        <v>742.92971837781693</v>
      </c>
      <c r="P15" s="456">
        <f t="shared" si="1"/>
        <v>1569.2986203812084</v>
      </c>
      <c r="Q15" s="456">
        <f t="shared" ca="1" si="1"/>
        <v>692630.98610970133</v>
      </c>
    </row>
    <row r="17" spans="1:17">
      <c r="A17" s="458" t="s">
        <v>533</v>
      </c>
      <c r="B17" s="774">
        <f ca="1">huishoudens!B10</f>
        <v>0.1770268000507435</v>
      </c>
      <c r="C17" s="774">
        <f ca="1">huishoudens!C10</f>
        <v>0.23654762806539131</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7334.63508822109</v>
      </c>
      <c r="C22" s="446">
        <f t="shared" ref="C22:C32" ca="1" si="3">C4*$C$17</f>
        <v>0</v>
      </c>
      <c r="D22" s="446">
        <f t="shared" ref="D22:D32" si="4">D4*$D$17</f>
        <v>14909.933177212482</v>
      </c>
      <c r="E22" s="446">
        <f t="shared" ref="E22:E32" si="5">E4*$E$17</f>
        <v>715.26796799517592</v>
      </c>
      <c r="F22" s="446">
        <f t="shared" ref="F22:F32" si="6">F4*$F$17</f>
        <v>13562.980086881869</v>
      </c>
      <c r="G22" s="446">
        <f t="shared" ref="G22:G32" si="7">G4*$G$17</f>
        <v>0</v>
      </c>
      <c r="H22" s="446">
        <f t="shared" ref="H22:H32" si="8">H4*$H$17</f>
        <v>0</v>
      </c>
      <c r="I22" s="446">
        <f t="shared" ref="I22:I32" si="9">I4*$I$17</f>
        <v>0</v>
      </c>
      <c r="J22" s="446">
        <f t="shared" ref="J22:J32" si="10">J4*$J$17</f>
        <v>71.838807670505531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36594.655127981125</v>
      </c>
    </row>
    <row r="23" spans="1:17">
      <c r="A23" s="445" t="s">
        <v>149</v>
      </c>
      <c r="B23" s="446">
        <f t="shared" ca="1" si="2"/>
        <v>4943.6782227543845</v>
      </c>
      <c r="C23" s="446">
        <f t="shared" ca="1" si="3"/>
        <v>45.619899698325469</v>
      </c>
      <c r="D23" s="446">
        <f t="shared" ca="1" si="4"/>
        <v>6124.4414946290308</v>
      </c>
      <c r="E23" s="446">
        <f t="shared" si="5"/>
        <v>103.08263156128972</v>
      </c>
      <c r="F23" s="446">
        <f t="shared" ca="1" si="6"/>
        <v>835.11923566708447</v>
      </c>
      <c r="G23" s="446">
        <f t="shared" si="7"/>
        <v>0</v>
      </c>
      <c r="H23" s="446">
        <f t="shared" si="8"/>
        <v>0</v>
      </c>
      <c r="I23" s="446">
        <f t="shared" si="9"/>
        <v>0</v>
      </c>
      <c r="J23" s="446">
        <f t="shared" si="10"/>
        <v>2.0090866196121548E-2</v>
      </c>
      <c r="K23" s="446">
        <f t="shared" si="11"/>
        <v>0</v>
      </c>
      <c r="L23" s="446">
        <f t="shared" ca="1" si="12"/>
        <v>0</v>
      </c>
      <c r="M23" s="446">
        <f t="shared" si="13"/>
        <v>0</v>
      </c>
      <c r="N23" s="446">
        <f t="shared" ca="1" si="14"/>
        <v>0</v>
      </c>
      <c r="O23" s="446">
        <f t="shared" si="15"/>
        <v>0</v>
      </c>
      <c r="P23" s="447">
        <f t="shared" si="16"/>
        <v>0</v>
      </c>
      <c r="Q23" s="445">
        <f t="shared" ref="Q23:Q31" ca="1" si="17">SUM(B23:P23)</f>
        <v>12051.96157517631</v>
      </c>
    </row>
    <row r="24" spans="1:17">
      <c r="A24" s="445" t="s">
        <v>187</v>
      </c>
      <c r="B24" s="446">
        <f t="shared" ca="1" si="2"/>
        <v>291.65784902160169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291.65784902160169</v>
      </c>
    </row>
    <row r="25" spans="1:17">
      <c r="A25" s="445" t="s">
        <v>105</v>
      </c>
      <c r="B25" s="446">
        <f t="shared" ca="1" si="2"/>
        <v>2073.5766279719819</v>
      </c>
      <c r="C25" s="446">
        <f t="shared" ca="1" si="3"/>
        <v>3142.7548902176413</v>
      </c>
      <c r="D25" s="446">
        <f t="shared" si="4"/>
        <v>6730.0274901001731</v>
      </c>
      <c r="E25" s="446">
        <f t="shared" si="5"/>
        <v>82.984332916527222</v>
      </c>
      <c r="F25" s="446">
        <f t="shared" si="6"/>
        <v>11052.804536046815</v>
      </c>
      <c r="G25" s="446">
        <f t="shared" si="7"/>
        <v>0</v>
      </c>
      <c r="H25" s="446">
        <f t="shared" si="8"/>
        <v>0</v>
      </c>
      <c r="I25" s="446">
        <f t="shared" si="9"/>
        <v>0</v>
      </c>
      <c r="J25" s="446">
        <f t="shared" si="10"/>
        <v>1142.3965089101016</v>
      </c>
      <c r="K25" s="446">
        <f t="shared" si="11"/>
        <v>0</v>
      </c>
      <c r="L25" s="446">
        <f t="shared" si="12"/>
        <v>0</v>
      </c>
      <c r="M25" s="446">
        <f t="shared" si="13"/>
        <v>0</v>
      </c>
      <c r="N25" s="446">
        <f t="shared" si="14"/>
        <v>0</v>
      </c>
      <c r="O25" s="446">
        <f t="shared" si="15"/>
        <v>0</v>
      </c>
      <c r="P25" s="447">
        <f t="shared" si="16"/>
        <v>0</v>
      </c>
      <c r="Q25" s="445">
        <f t="shared" ca="1" si="17"/>
        <v>24224.544386163241</v>
      </c>
    </row>
    <row r="26" spans="1:17">
      <c r="A26" s="445" t="s">
        <v>612</v>
      </c>
      <c r="B26" s="446">
        <f t="shared" ca="1" si="2"/>
        <v>1477.1375680347285</v>
      </c>
      <c r="C26" s="446">
        <f t="shared" ca="1" si="3"/>
        <v>0</v>
      </c>
      <c r="D26" s="446">
        <f t="shared" si="4"/>
        <v>6176.5712536183046</v>
      </c>
      <c r="E26" s="446">
        <f t="shared" si="5"/>
        <v>252.59621729992861</v>
      </c>
      <c r="F26" s="446">
        <f t="shared" si="6"/>
        <v>943.03858950396932</v>
      </c>
      <c r="G26" s="446">
        <f t="shared" si="7"/>
        <v>0</v>
      </c>
      <c r="H26" s="446">
        <f t="shared" si="8"/>
        <v>0</v>
      </c>
      <c r="I26" s="446">
        <f t="shared" si="9"/>
        <v>0</v>
      </c>
      <c r="J26" s="446">
        <f t="shared" si="10"/>
        <v>12.812241271768288</v>
      </c>
      <c r="K26" s="446">
        <f t="shared" si="11"/>
        <v>0</v>
      </c>
      <c r="L26" s="446">
        <f t="shared" si="12"/>
        <v>0</v>
      </c>
      <c r="M26" s="446">
        <f t="shared" si="13"/>
        <v>0</v>
      </c>
      <c r="N26" s="446">
        <f t="shared" si="14"/>
        <v>0</v>
      </c>
      <c r="O26" s="446">
        <f t="shared" si="15"/>
        <v>0</v>
      </c>
      <c r="P26" s="447">
        <f t="shared" si="16"/>
        <v>0</v>
      </c>
      <c r="Q26" s="445">
        <f t="shared" ca="1" si="17"/>
        <v>8862.1558697286982</v>
      </c>
    </row>
    <row r="27" spans="1:17" s="451" customFormat="1">
      <c r="A27" s="449" t="s">
        <v>538</v>
      </c>
      <c r="B27" s="768">
        <f t="shared" ca="1" si="2"/>
        <v>47.757650114676871</v>
      </c>
      <c r="C27" s="450">
        <f t="shared" ca="1" si="3"/>
        <v>0</v>
      </c>
      <c r="D27" s="450">
        <f t="shared" si="4"/>
        <v>83.389407512918055</v>
      </c>
      <c r="E27" s="450">
        <f t="shared" si="5"/>
        <v>91.44900043601254</v>
      </c>
      <c r="F27" s="450">
        <f t="shared" si="6"/>
        <v>0</v>
      </c>
      <c r="G27" s="450">
        <f t="shared" si="7"/>
        <v>62819.216177865848</v>
      </c>
      <c r="H27" s="450">
        <f t="shared" si="8"/>
        <v>9377.7259730684436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72419.538208997896</v>
      </c>
    </row>
    <row r="28" spans="1:17" ht="16.5" customHeight="1">
      <c r="A28" s="445" t="s">
        <v>528</v>
      </c>
      <c r="B28" s="446">
        <f t="shared" ca="1" si="2"/>
        <v>5.1272573286175209</v>
      </c>
      <c r="C28" s="446">
        <f t="shared" ca="1" si="3"/>
        <v>0</v>
      </c>
      <c r="D28" s="446">
        <f t="shared" si="4"/>
        <v>0</v>
      </c>
      <c r="E28" s="446">
        <f t="shared" si="5"/>
        <v>0</v>
      </c>
      <c r="F28" s="446">
        <f t="shared" si="6"/>
        <v>0</v>
      </c>
      <c r="G28" s="446">
        <f t="shared" si="7"/>
        <v>560.27955473180305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565.40681206042052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209.66883632688211</v>
      </c>
      <c r="C32" s="446">
        <f t="shared" ca="1" si="3"/>
        <v>0</v>
      </c>
      <c r="D32" s="446">
        <f t="shared" si="4"/>
        <v>379.74815532600002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589.41699165288219</v>
      </c>
    </row>
    <row r="33" spans="1:17" s="457" customFormat="1">
      <c r="A33" s="455" t="s">
        <v>532</v>
      </c>
      <c r="B33" s="456">
        <f ca="1">SUM(B22:B32)</f>
        <v>16383.239099773964</v>
      </c>
      <c r="C33" s="456">
        <f t="shared" ref="C33:Q33" ca="1" si="19">SUM(C22:C32)</f>
        <v>3188.3747899159666</v>
      </c>
      <c r="D33" s="456">
        <f t="shared" ca="1" si="19"/>
        <v>34404.110978398909</v>
      </c>
      <c r="E33" s="456">
        <f t="shared" si="19"/>
        <v>1245.3801502089341</v>
      </c>
      <c r="F33" s="456">
        <f t="shared" ca="1" si="19"/>
        <v>26393.942448099737</v>
      </c>
      <c r="G33" s="456">
        <f t="shared" si="19"/>
        <v>63379.49573259765</v>
      </c>
      <c r="H33" s="456">
        <f t="shared" si="19"/>
        <v>9377.7259730684436</v>
      </c>
      <c r="I33" s="456">
        <f t="shared" si="19"/>
        <v>0</v>
      </c>
      <c r="J33" s="456">
        <f t="shared" si="19"/>
        <v>1227.0676487185715</v>
      </c>
      <c r="K33" s="456">
        <f t="shared" si="19"/>
        <v>0</v>
      </c>
      <c r="L33" s="456">
        <f t="shared" ca="1" si="19"/>
        <v>0</v>
      </c>
      <c r="M33" s="456">
        <f t="shared" si="19"/>
        <v>0</v>
      </c>
      <c r="N33" s="456">
        <f t="shared" ca="1" si="19"/>
        <v>0</v>
      </c>
      <c r="O33" s="456">
        <f t="shared" si="19"/>
        <v>0</v>
      </c>
      <c r="P33" s="456">
        <f t="shared" si="19"/>
        <v>0</v>
      </c>
      <c r="Q33" s="456">
        <f t="shared" ca="1" si="19"/>
        <v>155599.33682078219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11409.284518594592</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7668.8466753651765</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43.649999999999984</v>
      </c>
      <c r="C8" s="1019">
        <f>'SEAP template'!C76</f>
        <v>9391.5</v>
      </c>
      <c r="D8" s="1019">
        <f>'SEAP template'!D76</f>
        <v>11048.823529411766</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2231.8623529411771</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19121.78119395977</v>
      </c>
      <c r="C10" s="1021">
        <f>SUM(C4:C9)</f>
        <v>9391.5</v>
      </c>
      <c r="D10" s="1021">
        <f t="shared" ref="D10:H10" si="0">SUM(D8:D9)</f>
        <v>11048.823529411766</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2231.8623529411771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0.1770268000507435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13416.428571428572</v>
      </c>
      <c r="D17" s="1020">
        <f>'SEAP template'!D87</f>
        <v>15784.033613445379</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3188.3747899159666</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13416.428571428572</v>
      </c>
      <c r="D20" s="1021">
        <f t="shared" ref="D20:H20" si="2">SUM(D17:D19)</f>
        <v>15784.033613445379</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3188.3747899159666</v>
      </c>
    </row>
    <row r="21" spans="1:16">
      <c r="B21" s="879"/>
    </row>
    <row r="22" spans="1:16">
      <c r="A22" s="458" t="s">
        <v>780</v>
      </c>
      <c r="B22" s="774" t="s">
        <v>778</v>
      </c>
      <c r="C22" s="774">
        <f ca="1">'EF ele_warmte'!B22</f>
        <v>0.23654762806539131</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0.1770268000507435</v>
      </c>
      <c r="C17" s="494">
        <f ca="1">'EF ele_warmte'!B22</f>
        <v>0.23654762806539131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0.1770268000507435</v>
      </c>
      <c r="C17" s="494">
        <f ca="1">'EF ele_warmte'!B22</f>
        <v>0.23654762806539131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0.1770268000507435</v>
      </c>
      <c r="C29" s="495">
        <f ca="1">'EF ele_warmte'!B22</f>
        <v>0.23654762806539131</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8847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3503.28</v>
      </c>
      <c r="C14" s="326"/>
      <c r="D14" s="326"/>
      <c r="E14" s="326"/>
      <c r="F14" s="326"/>
    </row>
    <row r="15" spans="1:6">
      <c r="A15" s="1296" t="s">
        <v>177</v>
      </c>
      <c r="B15" s="1297">
        <v>59</v>
      </c>
      <c r="C15" s="326"/>
      <c r="D15" s="326"/>
      <c r="E15" s="326"/>
      <c r="F15" s="326"/>
    </row>
    <row r="16" spans="1:6">
      <c r="A16" s="1296" t="s">
        <v>6</v>
      </c>
      <c r="B16" s="1297">
        <v>2115</v>
      </c>
      <c r="C16" s="326"/>
      <c r="D16" s="326"/>
      <c r="E16" s="326"/>
      <c r="F16" s="326"/>
    </row>
    <row r="17" spans="1:6">
      <c r="A17" s="1296" t="s">
        <v>7</v>
      </c>
      <c r="B17" s="1297">
        <v>1492</v>
      </c>
      <c r="C17" s="326"/>
      <c r="D17" s="326"/>
      <c r="E17" s="326"/>
      <c r="F17" s="326"/>
    </row>
    <row r="18" spans="1:6">
      <c r="A18" s="1296" t="s">
        <v>8</v>
      </c>
      <c r="B18" s="1297">
        <v>2523</v>
      </c>
      <c r="C18" s="326"/>
      <c r="D18" s="326"/>
      <c r="E18" s="326"/>
      <c r="F18" s="326"/>
    </row>
    <row r="19" spans="1:6">
      <c r="A19" s="1296" t="s">
        <v>9</v>
      </c>
      <c r="B19" s="1297">
        <v>2823</v>
      </c>
      <c r="C19" s="326"/>
      <c r="D19" s="326"/>
      <c r="E19" s="326"/>
      <c r="F19" s="326"/>
    </row>
    <row r="20" spans="1:6">
      <c r="A20" s="1296" t="s">
        <v>10</v>
      </c>
      <c r="B20" s="1297">
        <v>1781</v>
      </c>
      <c r="C20" s="326"/>
      <c r="D20" s="326"/>
      <c r="E20" s="326"/>
      <c r="F20" s="326"/>
    </row>
    <row r="21" spans="1:6">
      <c r="A21" s="1296" t="s">
        <v>11</v>
      </c>
      <c r="B21" s="1297">
        <v>13053</v>
      </c>
      <c r="C21" s="326"/>
      <c r="D21" s="326"/>
      <c r="E21" s="326"/>
      <c r="F21" s="326"/>
    </row>
    <row r="22" spans="1:6">
      <c r="A22" s="1296" t="s">
        <v>12</v>
      </c>
      <c r="B22" s="1297">
        <v>10699</v>
      </c>
      <c r="C22" s="326"/>
      <c r="D22" s="326"/>
      <c r="E22" s="326"/>
      <c r="F22" s="326"/>
    </row>
    <row r="23" spans="1:6">
      <c r="A23" s="1296" t="s">
        <v>13</v>
      </c>
      <c r="B23" s="1297">
        <v>311</v>
      </c>
      <c r="C23" s="326"/>
      <c r="D23" s="326"/>
      <c r="E23" s="326"/>
      <c r="F23" s="326"/>
    </row>
    <row r="24" spans="1:6">
      <c r="A24" s="1296" t="s">
        <v>14</v>
      </c>
      <c r="B24" s="1297">
        <v>20</v>
      </c>
      <c r="C24" s="326"/>
      <c r="D24" s="326"/>
      <c r="E24" s="326"/>
      <c r="F24" s="326"/>
    </row>
    <row r="25" spans="1:6">
      <c r="A25" s="1296" t="s">
        <v>15</v>
      </c>
      <c r="B25" s="1297">
        <v>3286</v>
      </c>
      <c r="C25" s="326"/>
      <c r="D25" s="326"/>
      <c r="E25" s="326"/>
      <c r="F25" s="326"/>
    </row>
    <row r="26" spans="1:6">
      <c r="A26" s="1296" t="s">
        <v>16</v>
      </c>
      <c r="B26" s="1297">
        <v>614</v>
      </c>
      <c r="C26" s="326"/>
      <c r="D26" s="326"/>
      <c r="E26" s="326"/>
      <c r="F26" s="326"/>
    </row>
    <row r="27" spans="1:6">
      <c r="A27" s="1296" t="s">
        <v>17</v>
      </c>
      <c r="B27" s="1297">
        <v>926</v>
      </c>
      <c r="C27" s="326"/>
      <c r="D27" s="326"/>
      <c r="E27" s="326"/>
      <c r="F27" s="326"/>
    </row>
    <row r="28" spans="1:6">
      <c r="A28" s="1296" t="s">
        <v>18</v>
      </c>
      <c r="B28" s="1298">
        <v>45510</v>
      </c>
      <c r="C28" s="326"/>
      <c r="D28" s="326"/>
      <c r="E28" s="326"/>
      <c r="F28" s="326"/>
    </row>
    <row r="29" spans="1:6">
      <c r="A29" s="1296" t="s">
        <v>689</v>
      </c>
      <c r="B29" s="1298">
        <v>178</v>
      </c>
      <c r="C29" s="326"/>
      <c r="D29" s="326"/>
      <c r="E29" s="326"/>
      <c r="F29" s="326"/>
    </row>
    <row r="30" spans="1:6">
      <c r="A30" s="1291" t="s">
        <v>690</v>
      </c>
      <c r="B30" s="1299">
        <v>73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218498.36799999999</v>
      </c>
      <c r="E38" s="1297">
        <v>6</v>
      </c>
      <c r="F38" s="1297">
        <v>162090.68799999999</v>
      </c>
    </row>
    <row r="39" spans="1:6">
      <c r="A39" s="1296" t="s">
        <v>29</v>
      </c>
      <c r="B39" s="1296" t="s">
        <v>30</v>
      </c>
      <c r="C39" s="1297">
        <v>5321</v>
      </c>
      <c r="D39" s="1297">
        <v>81830987.120000005</v>
      </c>
      <c r="E39" s="1297">
        <v>8281</v>
      </c>
      <c r="F39" s="1297">
        <v>34424314.950000003</v>
      </c>
    </row>
    <row r="40" spans="1:6">
      <c r="A40" s="1296" t="s">
        <v>29</v>
      </c>
      <c r="B40" s="1296" t="s">
        <v>28</v>
      </c>
      <c r="C40" s="1297">
        <v>0</v>
      </c>
      <c r="D40" s="1297">
        <v>0</v>
      </c>
      <c r="E40" s="1297">
        <v>0</v>
      </c>
      <c r="F40" s="1297">
        <v>0</v>
      </c>
    </row>
    <row r="41" spans="1:6">
      <c r="A41" s="1296" t="s">
        <v>31</v>
      </c>
      <c r="B41" s="1296" t="s">
        <v>32</v>
      </c>
      <c r="C41" s="1297">
        <v>112</v>
      </c>
      <c r="D41" s="1297">
        <v>2080907.159</v>
      </c>
      <c r="E41" s="1297">
        <v>230</v>
      </c>
      <c r="F41" s="1297">
        <v>3410009.389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139936.55300000001</v>
      </c>
      <c r="E44" s="1297">
        <v>27</v>
      </c>
      <c r="F44" s="1297">
        <v>360366.93699999998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7</v>
      </c>
      <c r="D47" s="1297">
        <v>137787.59</v>
      </c>
      <c r="E47" s="1297">
        <v>8</v>
      </c>
      <c r="F47" s="1297">
        <v>66689.702999999994</v>
      </c>
    </row>
    <row r="48" spans="1:6">
      <c r="A48" s="1296" t="s">
        <v>31</v>
      </c>
      <c r="B48" s="1296" t="s">
        <v>28</v>
      </c>
      <c r="C48" s="1297">
        <v>22</v>
      </c>
      <c r="D48" s="1297">
        <v>31093765.23</v>
      </c>
      <c r="E48" s="1297">
        <v>26</v>
      </c>
      <c r="F48" s="1297">
        <v>3453982.3110000002</v>
      </c>
    </row>
    <row r="49" spans="1:6">
      <c r="A49" s="1296" t="s">
        <v>31</v>
      </c>
      <c r="B49" s="1296" t="s">
        <v>39</v>
      </c>
      <c r="C49" s="1297">
        <v>0</v>
      </c>
      <c r="D49" s="1297">
        <v>0</v>
      </c>
      <c r="E49" s="1297">
        <v>0</v>
      </c>
      <c r="F49" s="1297">
        <v>0</v>
      </c>
    </row>
    <row r="50" spans="1:6">
      <c r="A50" s="1296" t="s">
        <v>31</v>
      </c>
      <c r="B50" s="1296" t="s">
        <v>40</v>
      </c>
      <c r="C50" s="1297">
        <v>10</v>
      </c>
      <c r="D50" s="1297">
        <v>446811.24400000001</v>
      </c>
      <c r="E50" s="1297">
        <v>17</v>
      </c>
      <c r="F50" s="1297">
        <v>1053098.2390000001</v>
      </c>
    </row>
    <row r="51" spans="1:6">
      <c r="A51" s="1296" t="s">
        <v>41</v>
      </c>
      <c r="B51" s="1296" t="s">
        <v>42</v>
      </c>
      <c r="C51" s="1297">
        <v>95</v>
      </c>
      <c r="D51" s="1297">
        <v>66020194.009999998</v>
      </c>
      <c r="E51" s="1297">
        <v>381</v>
      </c>
      <c r="F51" s="1297">
        <v>11621701.439999999</v>
      </c>
    </row>
    <row r="52" spans="1:6">
      <c r="A52" s="1296" t="s">
        <v>41</v>
      </c>
      <c r="B52" s="1296" t="s">
        <v>28</v>
      </c>
      <c r="C52" s="1297">
        <v>9</v>
      </c>
      <c r="D52" s="1297">
        <v>237134.848</v>
      </c>
      <c r="E52" s="1297">
        <v>8</v>
      </c>
      <c r="F52" s="1297">
        <v>91647.202000000005</v>
      </c>
    </row>
    <row r="53" spans="1:6">
      <c r="A53" s="1296" t="s">
        <v>43</v>
      </c>
      <c r="B53" s="1296" t="s">
        <v>44</v>
      </c>
      <c r="C53" s="1297">
        <v>124</v>
      </c>
      <c r="D53" s="1297">
        <v>1879941.3629999999</v>
      </c>
      <c r="E53" s="1297">
        <v>305</v>
      </c>
      <c r="F53" s="1297">
        <v>1184390.365</v>
      </c>
    </row>
    <row r="54" spans="1:6">
      <c r="A54" s="1296" t="s">
        <v>45</v>
      </c>
      <c r="B54" s="1296" t="s">
        <v>46</v>
      </c>
      <c r="C54" s="1297">
        <v>0</v>
      </c>
      <c r="D54" s="1297">
        <v>0</v>
      </c>
      <c r="E54" s="1297">
        <v>2</v>
      </c>
      <c r="F54" s="1297">
        <v>1647535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83</v>
      </c>
      <c r="D57" s="1297">
        <v>8209166.1009999998</v>
      </c>
      <c r="E57" s="1297">
        <v>180</v>
      </c>
      <c r="F57" s="1297">
        <v>3041087.9</v>
      </c>
    </row>
    <row r="58" spans="1:6">
      <c r="A58" s="1296" t="s">
        <v>48</v>
      </c>
      <c r="B58" s="1296" t="s">
        <v>50</v>
      </c>
      <c r="C58" s="1297">
        <v>43</v>
      </c>
      <c r="D58" s="1297">
        <v>1366874.0660000001</v>
      </c>
      <c r="E58" s="1297">
        <v>57</v>
      </c>
      <c r="F58" s="1297">
        <v>434071.42700000003</v>
      </c>
    </row>
    <row r="59" spans="1:6">
      <c r="A59" s="1296" t="s">
        <v>48</v>
      </c>
      <c r="B59" s="1296" t="s">
        <v>51</v>
      </c>
      <c r="C59" s="1297">
        <v>142</v>
      </c>
      <c r="D59" s="1297">
        <v>8619778.4149999991</v>
      </c>
      <c r="E59" s="1297">
        <v>301</v>
      </c>
      <c r="F59" s="1297">
        <v>12128724.67</v>
      </c>
    </row>
    <row r="60" spans="1:6">
      <c r="A60" s="1296" t="s">
        <v>48</v>
      </c>
      <c r="B60" s="1296" t="s">
        <v>52</v>
      </c>
      <c r="C60" s="1297">
        <v>89</v>
      </c>
      <c r="D60" s="1297">
        <v>5292876.9160000002</v>
      </c>
      <c r="E60" s="1297">
        <v>116</v>
      </c>
      <c r="F60" s="1297">
        <v>3812909.9950000001</v>
      </c>
    </row>
    <row r="61" spans="1:6">
      <c r="A61" s="1296" t="s">
        <v>48</v>
      </c>
      <c r="B61" s="1296" t="s">
        <v>53</v>
      </c>
      <c r="C61" s="1297">
        <v>191</v>
      </c>
      <c r="D61" s="1297">
        <v>4548674.21</v>
      </c>
      <c r="E61" s="1297">
        <v>379</v>
      </c>
      <c r="F61" s="1297">
        <v>5596950.4369999999</v>
      </c>
    </row>
    <row r="62" spans="1:6">
      <c r="A62" s="1296" t="s">
        <v>48</v>
      </c>
      <c r="B62" s="1296" t="s">
        <v>54</v>
      </c>
      <c r="C62" s="1297">
        <v>5</v>
      </c>
      <c r="D62" s="1297">
        <v>166702.342</v>
      </c>
      <c r="E62" s="1297">
        <v>12</v>
      </c>
      <c r="F62" s="1297">
        <v>101531.3</v>
      </c>
    </row>
    <row r="63" spans="1:6">
      <c r="A63" s="1296" t="s">
        <v>48</v>
      </c>
      <c r="B63" s="1296" t="s">
        <v>28</v>
      </c>
      <c r="C63" s="1297">
        <v>106</v>
      </c>
      <c r="D63" s="1297">
        <v>5836650.3289999999</v>
      </c>
      <c r="E63" s="1297">
        <v>97</v>
      </c>
      <c r="F63" s="1297">
        <v>2675881.335</v>
      </c>
    </row>
    <row r="64" spans="1:6">
      <c r="A64" s="1296" t="s">
        <v>55</v>
      </c>
      <c r="B64" s="1296" t="s">
        <v>56</v>
      </c>
      <c r="C64" s="1297">
        <v>0</v>
      </c>
      <c r="D64" s="1297">
        <v>0</v>
      </c>
      <c r="E64" s="1297">
        <v>0</v>
      </c>
      <c r="F64" s="1297">
        <v>0</v>
      </c>
    </row>
    <row r="65" spans="1:6">
      <c r="A65" s="1296" t="s">
        <v>55</v>
      </c>
      <c r="B65" s="1296" t="s">
        <v>28</v>
      </c>
      <c r="C65" s="1297">
        <v>3</v>
      </c>
      <c r="D65" s="1297">
        <v>74527.326000000001</v>
      </c>
      <c r="E65" s="1297">
        <v>3</v>
      </c>
      <c r="F65" s="1297">
        <v>1954.566</v>
      </c>
    </row>
    <row r="66" spans="1:6">
      <c r="A66" s="1296" t="s">
        <v>55</v>
      </c>
      <c r="B66" s="1296" t="s">
        <v>57</v>
      </c>
      <c r="C66" s="1297">
        <v>0</v>
      </c>
      <c r="D66" s="1297">
        <v>0</v>
      </c>
      <c r="E66" s="1297">
        <v>11</v>
      </c>
      <c r="F66" s="1297">
        <v>425728.12699999998</v>
      </c>
    </row>
    <row r="67" spans="1:6">
      <c r="A67" s="1296" t="s">
        <v>55</v>
      </c>
      <c r="B67" s="1296" t="s">
        <v>58</v>
      </c>
      <c r="C67" s="1297">
        <v>0</v>
      </c>
      <c r="D67" s="1297">
        <v>0</v>
      </c>
      <c r="E67" s="1297">
        <v>0</v>
      </c>
      <c r="F67" s="1297">
        <v>0</v>
      </c>
    </row>
    <row r="68" spans="1:6">
      <c r="A68" s="1291" t="s">
        <v>55</v>
      </c>
      <c r="B68" s="1291" t="s">
        <v>59</v>
      </c>
      <c r="C68" s="1299">
        <v>8</v>
      </c>
      <c r="D68" s="1299">
        <v>217185.473</v>
      </c>
      <c r="E68" s="1299">
        <v>23</v>
      </c>
      <c r="F68" s="1299">
        <v>216845.889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66384647</v>
      </c>
      <c r="E73" s="444"/>
      <c r="F73" s="326"/>
    </row>
    <row r="74" spans="1:6">
      <c r="A74" s="1296" t="s">
        <v>63</v>
      </c>
      <c r="B74" s="1296" t="s">
        <v>633</v>
      </c>
      <c r="C74" s="1309" t="s">
        <v>635</v>
      </c>
      <c r="D74" s="1297">
        <v>8124191</v>
      </c>
      <c r="E74" s="444"/>
      <c r="F74" s="326"/>
    </row>
    <row r="75" spans="1:6">
      <c r="A75" s="1296" t="s">
        <v>64</v>
      </c>
      <c r="B75" s="1296" t="s">
        <v>632</v>
      </c>
      <c r="C75" s="1309" t="s">
        <v>636</v>
      </c>
      <c r="D75" s="1297">
        <v>30794973</v>
      </c>
      <c r="E75" s="444"/>
      <c r="F75" s="326"/>
    </row>
    <row r="76" spans="1:6">
      <c r="A76" s="1296" t="s">
        <v>64</v>
      </c>
      <c r="B76" s="1296" t="s">
        <v>633</v>
      </c>
      <c r="C76" s="1309" t="s">
        <v>637</v>
      </c>
      <c r="D76" s="1297">
        <v>1496798</v>
      </c>
      <c r="E76" s="444"/>
      <c r="F76" s="326"/>
    </row>
    <row r="77" spans="1:6">
      <c r="A77" s="1296" t="s">
        <v>65</v>
      </c>
      <c r="B77" s="1296" t="s">
        <v>632</v>
      </c>
      <c r="C77" s="1309" t="s">
        <v>638</v>
      </c>
      <c r="D77" s="1297">
        <v>151970177</v>
      </c>
      <c r="E77" s="444"/>
      <c r="F77" s="326"/>
    </row>
    <row r="78" spans="1:6">
      <c r="A78" s="1291" t="s">
        <v>65</v>
      </c>
      <c r="B78" s="1291" t="s">
        <v>633</v>
      </c>
      <c r="C78" s="1291" t="s">
        <v>639</v>
      </c>
      <c r="D78" s="1299">
        <v>36558240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615472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11409.284518594592</v>
      </c>
      <c r="C90" s="326"/>
      <c r="D90" s="326"/>
      <c r="E90" s="326"/>
      <c r="F90" s="326"/>
    </row>
    <row r="91" spans="1:6">
      <c r="A91" s="1296" t="s">
        <v>67</v>
      </c>
      <c r="B91" s="1297">
        <v>7008.0279840566918</v>
      </c>
      <c r="C91" s="326"/>
      <c r="D91" s="326"/>
      <c r="E91" s="326"/>
      <c r="F91" s="326"/>
    </row>
    <row r="92" spans="1:6">
      <c r="A92" s="1291" t="s">
        <v>68</v>
      </c>
      <c r="B92" s="1292">
        <v>660.81869130848497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1839</v>
      </c>
      <c r="C97" s="326"/>
      <c r="D97" s="326"/>
      <c r="E97" s="326"/>
      <c r="F97" s="326"/>
    </row>
    <row r="98" spans="1:6">
      <c r="A98" s="1296" t="s">
        <v>71</v>
      </c>
      <c r="B98" s="1297">
        <v>1</v>
      </c>
      <c r="C98" s="326"/>
      <c r="D98" s="326"/>
      <c r="E98" s="326"/>
      <c r="F98" s="326"/>
    </row>
    <row r="99" spans="1:6">
      <c r="A99" s="1296" t="s">
        <v>72</v>
      </c>
      <c r="B99" s="1297">
        <v>88</v>
      </c>
      <c r="C99" s="326"/>
      <c r="D99" s="326"/>
      <c r="E99" s="326"/>
      <c r="F99" s="326"/>
    </row>
    <row r="100" spans="1:6">
      <c r="A100" s="1296" t="s">
        <v>73</v>
      </c>
      <c r="B100" s="1297">
        <v>900</v>
      </c>
      <c r="C100" s="326"/>
      <c r="D100" s="326"/>
      <c r="E100" s="326"/>
      <c r="F100" s="326"/>
    </row>
    <row r="101" spans="1:6">
      <c r="A101" s="1296" t="s">
        <v>74</v>
      </c>
      <c r="B101" s="1297">
        <v>104</v>
      </c>
      <c r="C101" s="326"/>
      <c r="D101" s="326"/>
      <c r="E101" s="326"/>
      <c r="F101" s="326"/>
    </row>
    <row r="102" spans="1:6">
      <c r="A102" s="1296" t="s">
        <v>75</v>
      </c>
      <c r="B102" s="1297">
        <v>110</v>
      </c>
      <c r="C102" s="326"/>
      <c r="D102" s="326"/>
      <c r="E102" s="326"/>
      <c r="F102" s="326"/>
    </row>
    <row r="103" spans="1:6">
      <c r="A103" s="1296" t="s">
        <v>76</v>
      </c>
      <c r="B103" s="1297">
        <v>301</v>
      </c>
      <c r="C103" s="326"/>
      <c r="D103" s="326"/>
      <c r="E103" s="326"/>
      <c r="F103" s="326"/>
    </row>
    <row r="104" spans="1:6">
      <c r="A104" s="1296" t="s">
        <v>77</v>
      </c>
      <c r="B104" s="1297">
        <v>3609</v>
      </c>
      <c r="C104" s="326"/>
      <c r="D104" s="326"/>
      <c r="E104" s="326"/>
      <c r="F104" s="326"/>
    </row>
    <row r="105" spans="1:6">
      <c r="A105" s="1291" t="s">
        <v>78</v>
      </c>
      <c r="B105" s="1299">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1</v>
      </c>
      <c r="C122" s="1297">
        <v>0</v>
      </c>
      <c r="D122" s="326"/>
      <c r="E122" s="326"/>
      <c r="F122" s="326"/>
    </row>
    <row r="123" spans="1:6">
      <c r="A123" s="1296" t="s">
        <v>87</v>
      </c>
      <c r="B123" s="1297">
        <v>92</v>
      </c>
      <c r="C123" s="1297">
        <v>101</v>
      </c>
      <c r="D123" s="326"/>
      <c r="E123" s="326"/>
      <c r="F123" s="326"/>
    </row>
    <row r="124" spans="1:6">
      <c r="A124" s="1296" t="s">
        <v>88</v>
      </c>
      <c r="B124" s="1297">
        <v>6</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268</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41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92546.660138904495</v>
      </c>
      <c r="C3" s="43" t="s">
        <v>163</v>
      </c>
      <c r="D3" s="43"/>
      <c r="E3" s="154"/>
      <c r="F3" s="43"/>
      <c r="G3" s="43"/>
      <c r="H3" s="43"/>
      <c r="I3" s="43"/>
      <c r="J3" s="43"/>
      <c r="K3" s="96"/>
    </row>
    <row r="4" spans="1:11">
      <c r="A4" s="352" t="s">
        <v>164</v>
      </c>
      <c r="B4" s="49">
        <f>IF(ISERROR('SEAP template'!B78+'SEAP template'!C78),0,'SEAP template'!B78+'SEAP template'!C78)</f>
        <v>28513.28119395977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2231.8623529411771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0.1770268000507435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3188.3747899159666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13478.785714285714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0.23654762806539131</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1647.5350000000001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1647.5350000000001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0.1770268000507435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291.65784902160169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34424.31495</v>
      </c>
      <c r="C5" s="17">
        <f>IF(ISERROR('Eigen informatie GS &amp; warmtenet'!B59),0,'Eigen informatie GS &amp; warmtenet'!B59)</f>
        <v>0</v>
      </c>
      <c r="D5" s="30">
        <f>(SUM(HH_hh_gas_kWh,HH_rest_gas_kWh)/1000)*0.902</f>
        <v>73811.550382240006</v>
      </c>
      <c r="E5" s="17">
        <f>B32*B41</f>
        <v>3150.960211432493</v>
      </c>
      <c r="F5" s="17">
        <f>B36*B45</f>
        <v>50797.678228021978</v>
      </c>
      <c r="G5" s="18"/>
      <c r="H5" s="17"/>
      <c r="I5" s="17"/>
      <c r="J5" s="17">
        <f>B35*B44+C35*C44</f>
        <v>202.93448494493089</v>
      </c>
      <c r="K5" s="17"/>
      <c r="L5" s="17"/>
      <c r="M5" s="17"/>
      <c r="N5" s="17">
        <f>B34*B43+C34*C43</f>
        <v>12282.136428026581</v>
      </c>
      <c r="O5" s="17">
        <f>B52*B53*B54</f>
        <v>738.03245761197581</v>
      </c>
      <c r="P5" s="17">
        <f>B60*B61*B62/1000-B60*B61*B62/1000/B63</f>
        <v>1464.2203437682183</v>
      </c>
    </row>
    <row r="6" spans="1:16">
      <c r="A6" s="16" t="s">
        <v>598</v>
      </c>
      <c r="B6" s="776">
        <f>kWh_PV_kleiner_dan_10kW</f>
        <v>7008.0279840566918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41432.342934056695</v>
      </c>
      <c r="C8" s="21">
        <f>C5</f>
        <v>0</v>
      </c>
      <c r="D8" s="21">
        <f>D5</f>
        <v>73811.550382240006</v>
      </c>
      <c r="E8" s="21">
        <f>E5</f>
        <v>3150.960211432493</v>
      </c>
      <c r="F8" s="21">
        <f>F5</f>
        <v>50797.678228021978</v>
      </c>
      <c r="G8" s="21"/>
      <c r="H8" s="21"/>
      <c r="I8" s="21"/>
      <c r="J8" s="21">
        <f>J5</f>
        <v>202.93448494493089</v>
      </c>
      <c r="K8" s="21"/>
      <c r="L8" s="21">
        <f>L5</f>
        <v>0</v>
      </c>
      <c r="M8" s="21">
        <f>M5</f>
        <v>0</v>
      </c>
      <c r="N8" s="21">
        <f>N5</f>
        <v>12282.136428026581</v>
      </c>
      <c r="O8" s="21">
        <f>O5</f>
        <v>738.03245761197581</v>
      </c>
      <c r="P8" s="21">
        <f>P5</f>
        <v>1464.2203437682183</v>
      </c>
    </row>
    <row r="9" spans="1:16">
      <c r="B9" s="19"/>
      <c r="C9" s="19"/>
      <c r="D9" s="256"/>
      <c r="E9" s="19"/>
      <c r="F9" s="19"/>
      <c r="G9" s="19"/>
      <c r="H9" s="19"/>
      <c r="I9" s="19"/>
      <c r="J9" s="19"/>
      <c r="K9" s="19"/>
      <c r="L9" s="19"/>
      <c r="M9" s="19"/>
      <c r="N9" s="19"/>
      <c r="O9" s="19"/>
      <c r="P9" s="19"/>
    </row>
    <row r="10" spans="1:16">
      <c r="A10" s="24" t="s">
        <v>207</v>
      </c>
      <c r="B10" s="25">
        <f ca="1">'EF ele_warmte'!B12</f>
        <v>0.1770268000507435</v>
      </c>
      <c r="C10" s="25">
        <f ca="1">'EF ele_warmte'!B22</f>
        <v>0.23654762806539131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7334.63508822109</v>
      </c>
      <c r="C12" s="23">
        <f ca="1">C10*C8</f>
        <v>0</v>
      </c>
      <c r="D12" s="23">
        <f>D8*D10</f>
        <v>14909.933177212482</v>
      </c>
      <c r="E12" s="23">
        <f>E10*E8</f>
        <v>715.26796799517592</v>
      </c>
      <c r="F12" s="23">
        <f>F10*F8</f>
        <v>13562.980086881869</v>
      </c>
      <c r="G12" s="23"/>
      <c r="H12" s="23"/>
      <c r="I12" s="23"/>
      <c r="J12" s="23">
        <f>J10*J8</f>
        <v>71.838807670505531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8847</v>
      </c>
      <c r="C26" s="36"/>
      <c r="D26" s="226"/>
    </row>
    <row r="27" spans="1:7" s="15" customFormat="1">
      <c r="A27" s="228" t="s">
        <v>800</v>
      </c>
      <c r="B27" s="37">
        <f>SUM(HH_hh_gas_aantal,HH_rest_gas_aantal)</f>
        <v>5321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5054.95</v>
      </c>
      <c r="C31" s="166" t="s">
        <v>104</v>
      </c>
      <c r="D31" s="231"/>
      <c r="G31" s="15"/>
    </row>
    <row r="32" spans="1:7">
      <c r="A32" s="169" t="s">
        <v>72</v>
      </c>
      <c r="B32" s="166">
        <f>IF((B21*($B$26-($B$27-0.05*$B$27)-$B$60))&lt;0,0,B21*($B$26-($B$27-0.05*$B$27)-$B$60))</f>
        <v>57.992894588878151</v>
      </c>
      <c r="C32" s="166" t="s">
        <v>104</v>
      </c>
      <c r="D32" s="231"/>
      <c r="G32" s="15"/>
    </row>
    <row r="33" spans="1:7">
      <c r="A33" s="169" t="s">
        <v>73</v>
      </c>
      <c r="B33" s="166">
        <f>IF((B22*($B$26-($B$27-0.05*$B$27)-$B$60))&lt;0,0,B22*($B$26-($B$27-0.05*$B$27)-$B$60))</f>
        <v>941.68975193499921</v>
      </c>
      <c r="C33" s="166" t="s">
        <v>104</v>
      </c>
      <c r="D33" s="231"/>
      <c r="G33" s="15"/>
    </row>
    <row r="34" spans="1:7">
      <c r="A34" s="169" t="s">
        <v>74</v>
      </c>
      <c r="B34" s="166">
        <f>IF((B24*($B$26-($B$27-0.05*$B$27)-$B$60))&lt;0,0,B24*($B$26-($B$27-0.05*$B$27)-$B$60))</f>
        <v>180.53452757523411</v>
      </c>
      <c r="C34" s="166">
        <f>B26*C24</f>
        <v>1812.8028494684963</v>
      </c>
      <c r="D34" s="231"/>
      <c r="G34" s="15"/>
    </row>
    <row r="35" spans="1:7">
      <c r="A35" s="169" t="s">
        <v>76</v>
      </c>
      <c r="B35" s="166">
        <f>IF((B19*($B$26-($B$27-0.05*$B$27)-$B$60))&lt;0,0,B19*($B$26-($B$27-0.05*$B$27)-$B$60))</f>
        <v>25.209373018940294</v>
      </c>
      <c r="C35" s="166">
        <f>B35/2</f>
        <v>12.604686509470147</v>
      </c>
      <c r="D35" s="232"/>
      <c r="G35" s="15"/>
    </row>
    <row r="36" spans="1:7">
      <c r="A36" s="169" t="s">
        <v>77</v>
      </c>
      <c r="B36" s="166">
        <f>IF((B18*($B$26-($B$27-0.05*$B$27)-$B$60))&lt;0,0,B18*($B$26-($B$27-0.05*$B$27)-$B$60))</f>
        <v>2447.6234528819477</v>
      </c>
      <c r="C36" s="166" t="s">
        <v>104</v>
      </c>
      <c r="D36" s="232"/>
      <c r="G36" s="15"/>
    </row>
    <row r="37" spans="1:7">
      <c r="A37" s="169" t="s">
        <v>78</v>
      </c>
      <c r="B37" s="166">
        <f>B60</f>
        <v>139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372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27791.157063999992</v>
      </c>
      <c r="C5" s="17">
        <f>IF(ISERROR('Eigen informatie GS &amp; warmtenet'!B60),0,'Eigen informatie GS &amp; warmtenet'!B60)</f>
        <v>0</v>
      </c>
      <c r="D5" s="30">
        <f>SUM(D6:D12)</f>
        <v>30704.731585858</v>
      </c>
      <c r="E5" s="17">
        <f>SUM(E6:E12)</f>
        <v>454.10850908057142</v>
      </c>
      <c r="F5" s="17">
        <f>SUM(F6:F12)</f>
        <v>3127.7873995021887</v>
      </c>
      <c r="G5" s="18"/>
      <c r="H5" s="17"/>
      <c r="I5" s="17"/>
      <c r="J5" s="17">
        <f>SUM(J6:J12)</f>
        <v>5.675385931107782E-2</v>
      </c>
      <c r="K5" s="17"/>
      <c r="L5" s="17"/>
      <c r="M5" s="17"/>
      <c r="N5" s="17">
        <f>SUM(N6:N12)</f>
        <v>2226.4864333124115</v>
      </c>
      <c r="O5" s="17">
        <f>B38*B39*B40</f>
        <v>4.8972607658411542</v>
      </c>
      <c r="P5" s="17">
        <f>B46*B47*B48/1000-B46*B47*B48/1000/B49</f>
        <v>105.07827661299004</v>
      </c>
      <c r="R5" s="32"/>
    </row>
    <row r="6" spans="1:18">
      <c r="A6" s="32" t="s">
        <v>53</v>
      </c>
      <c r="B6" s="37">
        <f>B26</f>
        <v>5596.9504369999995</v>
      </c>
      <c r="C6" s="33"/>
      <c r="D6" s="37">
        <f>IF(ISERROR(TER_kantoor_gas_kWh/1000),0,TER_kantoor_gas_kWh/1000)*0.902</f>
        <v>4102.9041374200006</v>
      </c>
      <c r="E6" s="33">
        <f>$C$26*'E Balans VL '!I12/100/3.6*1000000</f>
        <v>45.036865642852021</v>
      </c>
      <c r="F6" s="33">
        <f>$C$26*('E Balans VL '!L12+'E Balans VL '!N12)/100/3.6*1000000</f>
        <v>684.28606895682833</v>
      </c>
      <c r="G6" s="34"/>
      <c r="H6" s="33"/>
      <c r="I6" s="33"/>
      <c r="J6" s="33">
        <f>$C$26*('E Balans VL '!D12+'E Balans VL '!E12)/100/3.6*1000000</f>
        <v>0</v>
      </c>
      <c r="K6" s="33"/>
      <c r="L6" s="33"/>
      <c r="M6" s="33"/>
      <c r="N6" s="33">
        <f>$C$26*'E Balans VL '!Y12/100/3.6*1000000</f>
        <v>3.0080852399100673</v>
      </c>
      <c r="O6" s="33"/>
      <c r="P6" s="33"/>
      <c r="R6" s="32"/>
    </row>
    <row r="7" spans="1:18">
      <c r="A7" s="32" t="s">
        <v>52</v>
      </c>
      <c r="B7" s="37">
        <f t="shared" ref="B7:B12" si="0">B27</f>
        <v>3812.909995</v>
      </c>
      <c r="C7" s="33"/>
      <c r="D7" s="37">
        <f>IF(ISERROR(TER_horeca_gas_kWh/1000),0,TER_horeca_gas_kWh/1000)*0.902</f>
        <v>4774.1749782320003</v>
      </c>
      <c r="E7" s="33">
        <f>$C$27*'E Balans VL '!I9/100/3.6*1000000</f>
        <v>40.941290476246635</v>
      </c>
      <c r="F7" s="33">
        <f>$C$27*('E Balans VL '!L9+'E Balans VL '!N9)/100/3.6*1000000</f>
        <v>458.60061431571773</v>
      </c>
      <c r="G7" s="34"/>
      <c r="H7" s="33"/>
      <c r="I7" s="33"/>
      <c r="J7" s="33">
        <f>$C$27*('E Balans VL '!D9+'E Balans VL '!E9)/100/3.6*1000000</f>
        <v>0</v>
      </c>
      <c r="K7" s="33"/>
      <c r="L7" s="33"/>
      <c r="M7" s="33"/>
      <c r="N7" s="33">
        <f>$C$27*'E Balans VL '!Y9/100/3.6*1000000</f>
        <v>0.57163248696415325</v>
      </c>
      <c r="O7" s="33"/>
      <c r="P7" s="33"/>
      <c r="R7" s="32"/>
    </row>
    <row r="8" spans="1:18">
      <c r="A8" s="6" t="s">
        <v>51</v>
      </c>
      <c r="B8" s="37">
        <f t="shared" si="0"/>
        <v>12128.72467</v>
      </c>
      <c r="C8" s="33"/>
      <c r="D8" s="37">
        <f>IF(ISERROR(TER_handel_gas_kWh/1000),0,TER_handel_gas_kWh/1000)*0.902</f>
        <v>7775.0401303299996</v>
      </c>
      <c r="E8" s="33">
        <f>$C$28*'E Balans VL '!I13/100/3.6*1000000</f>
        <v>325.4978384124301</v>
      </c>
      <c r="F8" s="33">
        <f>$C$28*('E Balans VL '!L13+'E Balans VL '!N13)/100/3.6*1000000</f>
        <v>1157.4541504511069</v>
      </c>
      <c r="G8" s="34"/>
      <c r="H8" s="33"/>
      <c r="I8" s="33"/>
      <c r="J8" s="33">
        <f>$C$28*('E Balans VL '!D13+'E Balans VL '!E13)/100/3.6*1000000</f>
        <v>0</v>
      </c>
      <c r="K8" s="33"/>
      <c r="L8" s="33"/>
      <c r="M8" s="33"/>
      <c r="N8" s="33">
        <f>$C$28*'E Balans VL '!Y13/100/3.6*1000000</f>
        <v>4.8079643674628869</v>
      </c>
      <c r="O8" s="33"/>
      <c r="P8" s="33"/>
      <c r="R8" s="32"/>
    </row>
    <row r="9" spans="1:18">
      <c r="A9" s="32" t="s">
        <v>50</v>
      </c>
      <c r="B9" s="37">
        <f t="shared" si="0"/>
        <v>434.07142700000003</v>
      </c>
      <c r="C9" s="33"/>
      <c r="D9" s="37">
        <f>IF(ISERROR(TER_gezond_gas_kWh/1000),0,TER_gezond_gas_kWh/1000)*0.902</f>
        <v>1232.9204075320001</v>
      </c>
      <c r="E9" s="33">
        <f>$C$29*'E Balans VL '!I10/100/3.6*1000000</f>
        <v>0.81359119399214175</v>
      </c>
      <c r="F9" s="33">
        <f>$C$29*('E Balans VL '!L10+'E Balans VL '!N10)/100/3.6*1000000</f>
        <v>35.684631895994279</v>
      </c>
      <c r="G9" s="34"/>
      <c r="H9" s="33"/>
      <c r="I9" s="33"/>
      <c r="J9" s="33">
        <f>$C$29*('E Balans VL '!D10+'E Balans VL '!E10)/100/3.6*1000000</f>
        <v>0</v>
      </c>
      <c r="K9" s="33"/>
      <c r="L9" s="33"/>
      <c r="M9" s="33"/>
      <c r="N9" s="33">
        <f>$C$29*'E Balans VL '!Y10/100/3.6*1000000</f>
        <v>3.3773995658795473</v>
      </c>
      <c r="O9" s="33"/>
      <c r="P9" s="33"/>
      <c r="R9" s="32"/>
    </row>
    <row r="10" spans="1:18">
      <c r="A10" s="32" t="s">
        <v>49</v>
      </c>
      <c r="B10" s="37">
        <f t="shared" si="0"/>
        <v>3041.0879</v>
      </c>
      <c r="C10" s="33"/>
      <c r="D10" s="37">
        <f>IF(ISERROR(TER_ander_gas_kWh/1000),0,TER_ander_gas_kWh/1000)*0.902</f>
        <v>7404.6678231019996</v>
      </c>
      <c r="E10" s="33">
        <f>$C$30*'E Balans VL '!I14/100/3.6*1000000</f>
        <v>4.6878678127175615</v>
      </c>
      <c r="F10" s="33">
        <f>$C$30*('E Balans VL '!L14+'E Balans VL '!N14)/100/3.6*1000000</f>
        <v>472.1297360134717</v>
      </c>
      <c r="G10" s="34"/>
      <c r="H10" s="33"/>
      <c r="I10" s="33"/>
      <c r="J10" s="33">
        <f>$C$30*('E Balans VL '!D14+'E Balans VL '!E14)/100/3.6*1000000</f>
        <v>5.1625674309217814E-2</v>
      </c>
      <c r="K10" s="33"/>
      <c r="L10" s="33"/>
      <c r="M10" s="33"/>
      <c r="N10" s="33">
        <f>$C$30*'E Balans VL '!Y14/100/3.6*1000000</f>
        <v>2011.8862885044223</v>
      </c>
      <c r="O10" s="33"/>
      <c r="P10" s="33"/>
      <c r="R10" s="32"/>
    </row>
    <row r="11" spans="1:18">
      <c r="A11" s="32" t="s">
        <v>54</v>
      </c>
      <c r="B11" s="37">
        <f t="shared" si="0"/>
        <v>101.5313</v>
      </c>
      <c r="C11" s="33"/>
      <c r="D11" s="37">
        <f>IF(ISERROR(TER_onderwijs_gas_kWh/1000),0,TER_onderwijs_gas_kWh/1000)*0.902</f>
        <v>150.36551248400002</v>
      </c>
      <c r="E11" s="33">
        <f>$C$31*'E Balans VL '!I11/100/3.6*1000000</f>
        <v>2.5897416145087511</v>
      </c>
      <c r="F11" s="33">
        <f>$C$31*('E Balans VL '!L11+'E Balans VL '!N11)/100/3.6*1000000</f>
        <v>12.21009447398799</v>
      </c>
      <c r="G11" s="34"/>
      <c r="H11" s="33"/>
      <c r="I11" s="33"/>
      <c r="J11" s="33">
        <f>$C$31*('E Balans VL '!D11+'E Balans VL '!E11)/100/3.6*1000000</f>
        <v>0</v>
      </c>
      <c r="K11" s="33"/>
      <c r="L11" s="33"/>
      <c r="M11" s="33"/>
      <c r="N11" s="33">
        <f>$C$31*'E Balans VL '!Y11/100/3.6*1000000</f>
        <v>0.22580313381493322</v>
      </c>
      <c r="O11" s="33"/>
      <c r="P11" s="33"/>
      <c r="R11" s="32"/>
    </row>
    <row r="12" spans="1:18">
      <c r="A12" s="32" t="s">
        <v>248</v>
      </c>
      <c r="B12" s="37">
        <f t="shared" si="0"/>
        <v>2675.881335</v>
      </c>
      <c r="C12" s="33"/>
      <c r="D12" s="37">
        <f>IF(ISERROR(TER_rest_gas_kWh/1000),0,TER_rest_gas_kWh/1000)*0.902</f>
        <v>5264.6585967580004</v>
      </c>
      <c r="E12" s="33">
        <f>$C$32*'E Balans VL '!I8/100/3.6*1000000</f>
        <v>34.541313927824248</v>
      </c>
      <c r="F12" s="33">
        <f>$C$32*('E Balans VL '!L8+'E Balans VL '!N8)/100/3.6*1000000</f>
        <v>307.42210339508136</v>
      </c>
      <c r="G12" s="34"/>
      <c r="H12" s="33"/>
      <c r="I12" s="33"/>
      <c r="J12" s="33">
        <f>$C$32*('E Balans VL '!D8+'E Balans VL '!E8)/100/3.6*1000000</f>
        <v>5.1281850018600073E-3</v>
      </c>
      <c r="K12" s="33"/>
      <c r="L12" s="33"/>
      <c r="M12" s="33"/>
      <c r="N12" s="33">
        <f>$C$32*'E Balans VL '!Y8/100/3.6*1000000</f>
        <v>202.60926001395754</v>
      </c>
      <c r="O12" s="33"/>
      <c r="P12" s="33"/>
      <c r="R12" s="32"/>
    </row>
    <row r="13" spans="1:18">
      <c r="A13" s="16" t="s">
        <v>465</v>
      </c>
      <c r="B13" s="245">
        <f ca="1">'lokale energieproductie'!N42+'lokale energieproductie'!N35</f>
        <v>135</v>
      </c>
      <c r="C13" s="245">
        <f ca="1">'lokale energieproductie'!O42+'lokale energieproductie'!O35</f>
        <v>192.85714285714286</v>
      </c>
      <c r="D13" s="304">
        <f ca="1">('lokale energieproductie'!P35+'lokale energieproductie'!P42)*(-1)</f>
        <v>-385.71428571428572</v>
      </c>
      <c r="E13" s="246"/>
      <c r="F13" s="304">
        <f ca="1">('lokale energieproductie'!S35+'lokale energieproductie'!S42)*(-1)</f>
        <v>0</v>
      </c>
      <c r="G13" s="247"/>
      <c r="H13" s="246"/>
      <c r="I13" s="246"/>
      <c r="J13" s="246"/>
      <c r="K13" s="246"/>
      <c r="L13" s="304">
        <f ca="1">('lokale energieproductie'!U35+'lokale energieproductie'!T35+'lokale energieproductie'!U42+'lokale energieproductie'!T42)*(-1)</f>
        <v>0</v>
      </c>
      <c r="M13" s="246"/>
      <c r="N13" s="304">
        <f ca="1">('lokale energieproductie'!Q35+'lokale energieproductie'!R35+'lokale energieproductie'!V35+'lokale energieproductie'!Q42+'lokale energieproductie'!R42+'lokale energieproductie'!V42)*(-1)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27926.157063999992</v>
      </c>
      <c r="C16" s="21">
        <f t="shared" ca="1" si="1"/>
        <v>192.85714285714286</v>
      </c>
      <c r="D16" s="21">
        <f t="shared" ca="1" si="1"/>
        <v>30319.017300143714</v>
      </c>
      <c r="E16" s="21">
        <f t="shared" si="1"/>
        <v>454.10850908057142</v>
      </c>
      <c r="F16" s="21">
        <f t="shared" ca="1" si="1"/>
        <v>3127.7873995021887</v>
      </c>
      <c r="G16" s="21">
        <f t="shared" si="1"/>
        <v>0</v>
      </c>
      <c r="H16" s="21">
        <f t="shared" si="1"/>
        <v>0</v>
      </c>
      <c r="I16" s="21">
        <f t="shared" si="1"/>
        <v>0</v>
      </c>
      <c r="J16" s="21">
        <f t="shared" si="1"/>
        <v>5.675385931107782E-2</v>
      </c>
      <c r="K16" s="21">
        <f t="shared" si="1"/>
        <v>0</v>
      </c>
      <c r="L16" s="21">
        <f t="shared" ca="1" si="1"/>
        <v>0</v>
      </c>
      <c r="M16" s="21">
        <f t="shared" si="1"/>
        <v>0</v>
      </c>
      <c r="N16" s="21">
        <f t="shared" ca="1" si="1"/>
        <v>2226.4864333124115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0.1770268000507435</v>
      </c>
      <c r="C18" s="25">
        <f ca="1">'EF ele_warmte'!B22</f>
        <v>0.23654762806539131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4943.6782227543845</v>
      </c>
      <c r="C20" s="23">
        <f t="shared" ref="C20:P20" ca="1" si="2">C16*C18</f>
        <v>45.619899698325469</v>
      </c>
      <c r="D20" s="23">
        <f t="shared" ca="1" si="2"/>
        <v>6124.4414946290308</v>
      </c>
      <c r="E20" s="23">
        <f t="shared" si="2"/>
        <v>103.08263156128972</v>
      </c>
      <c r="F20" s="23">
        <f t="shared" ca="1" si="2"/>
        <v>835.11923566708447</v>
      </c>
      <c r="G20" s="23">
        <f t="shared" si="2"/>
        <v>0</v>
      </c>
      <c r="H20" s="23">
        <f t="shared" si="2"/>
        <v>0</v>
      </c>
      <c r="I20" s="23">
        <f t="shared" si="2"/>
        <v>0</v>
      </c>
      <c r="J20" s="23">
        <f t="shared" si="2"/>
        <v>2.0090866196121548E-2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5596.9504369999995</v>
      </c>
      <c r="C26" s="39">
        <f>IF(ISERROR(B26*3.6/1000000/'E Balans VL '!Z12*100),0,B26*3.6/1000000/'E Balans VL '!Z12*100)</f>
        <v>0.1187341828993249</v>
      </c>
      <c r="D26" s="235" t="s">
        <v>692</v>
      </c>
      <c r="F26" s="6"/>
    </row>
    <row r="27" spans="1:18">
      <c r="A27" s="229" t="s">
        <v>52</v>
      </c>
      <c r="B27" s="33">
        <f>IF(ISERROR(TER_horeca_ele_kWh/1000),0,TER_horeca_ele_kWh/1000)</f>
        <v>3812.909995</v>
      </c>
      <c r="C27" s="39">
        <f>IF(ISERROR(B27*3.6/1000000/'E Balans VL '!Z9*100),0,B27*3.6/1000000/'E Balans VL '!Z9*100)</f>
        <v>0.28714589931169421</v>
      </c>
      <c r="D27" s="235" t="s">
        <v>692</v>
      </c>
      <c r="F27" s="6"/>
    </row>
    <row r="28" spans="1:18">
      <c r="A28" s="169" t="s">
        <v>51</v>
      </c>
      <c r="B28" s="33">
        <f>IF(ISERROR(TER_handel_ele_kWh/1000),0,TER_handel_ele_kWh/1000)</f>
        <v>12128.72467</v>
      </c>
      <c r="C28" s="39">
        <f>IF(ISERROR(B28*3.6/1000000/'E Balans VL '!Z13*100),0,B28*3.6/1000000/'E Balans VL '!Z13*100)</f>
        <v>0.3520539017455741</v>
      </c>
      <c r="D28" s="235" t="s">
        <v>692</v>
      </c>
      <c r="F28" s="6"/>
    </row>
    <row r="29" spans="1:18">
      <c r="A29" s="229" t="s">
        <v>50</v>
      </c>
      <c r="B29" s="33">
        <f>IF(ISERROR(TER_gezond_ele_kWh/1000),0,TER_gezond_ele_kWh/1000)</f>
        <v>434.07142700000003</v>
      </c>
      <c r="C29" s="39">
        <f>IF(ISERROR(B29*3.6/1000000/'E Balans VL '!Z10*100),0,B29*3.6/1000000/'E Balans VL '!Z10*100)</f>
        <v>4.3776621064210174E-2</v>
      </c>
      <c r="D29" s="235" t="s">
        <v>692</v>
      </c>
      <c r="F29" s="6"/>
    </row>
    <row r="30" spans="1:18">
      <c r="A30" s="229" t="s">
        <v>49</v>
      </c>
      <c r="B30" s="33">
        <f>IF(ISERROR(TER_ander_ele_kWh/1000),0,TER_ander_ele_kWh/1000)</f>
        <v>3041.0879</v>
      </c>
      <c r="C30" s="39">
        <f>IF(ISERROR(B30*3.6/1000000/'E Balans VL '!Z14*100),0,B30*3.6/1000000/'E Balans VL '!Z14*100)</f>
        <v>0.22067241519100017</v>
      </c>
      <c r="D30" s="235" t="s">
        <v>692</v>
      </c>
      <c r="F30" s="6"/>
    </row>
    <row r="31" spans="1:18">
      <c r="A31" s="229" t="s">
        <v>54</v>
      </c>
      <c r="B31" s="33">
        <f>IF(ISERROR(TER_onderwijs_ele_kWh/1000),0,TER_onderwijs_ele_kWh/1000)</f>
        <v>101.5313</v>
      </c>
      <c r="C31" s="39">
        <f>IF(ISERROR(B31*3.6/1000000/'E Balans VL '!Z11*100),0,B31*3.6/1000000/'E Balans VL '!Z11*100)</f>
        <v>2.8940555047055505E-2</v>
      </c>
      <c r="D31" s="235" t="s">
        <v>692</v>
      </c>
    </row>
    <row r="32" spans="1:18">
      <c r="A32" s="229" t="s">
        <v>248</v>
      </c>
      <c r="B32" s="33">
        <f>IF(ISERROR(TER_rest_ele_kWh/1000),0,TER_rest_ele_kWh/1000)</f>
        <v>2675.881335</v>
      </c>
      <c r="C32" s="39">
        <f>IF(ISERROR(B32*3.6/1000000/'E Balans VL '!Z8*100),0,B32*3.6/1000000/'E Balans VL '!Z8*100)</f>
        <v>2.1920274844810201E-2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8344.1465790000002</v>
      </c>
      <c r="C5" s="17">
        <f>IF(ISERROR('Eigen informatie GS &amp; warmtenet'!B61),0,'Eigen informatie GS &amp; warmtenet'!B61)</f>
        <v>0</v>
      </c>
      <c r="D5" s="30">
        <f>SUM(D6:D15)</f>
        <v>30577.085413952002</v>
      </c>
      <c r="E5" s="17">
        <f>SUM(E6:E15)</f>
        <v>1112.7586665195092</v>
      </c>
      <c r="F5" s="17">
        <f>SUM(F6:F15)</f>
        <v>3531.9797359699223</v>
      </c>
      <c r="G5" s="18"/>
      <c r="H5" s="17"/>
      <c r="I5" s="17"/>
      <c r="J5" s="17">
        <f>SUM(J6:J15)</f>
        <v>36.192771954147709</v>
      </c>
      <c r="K5" s="17"/>
      <c r="L5" s="17"/>
      <c r="M5" s="17"/>
      <c r="N5" s="17">
        <f>SUM(N6:N15)</f>
        <v>449.00786687109257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360.36693699999995</v>
      </c>
      <c r="C8" s="33"/>
      <c r="D8" s="37">
        <f>IF( ISERROR(IND_metaal_Gas_kWH/1000),0,IND_metaal_Gas_kWH/1000)*0.902</f>
        <v>126.222770806</v>
      </c>
      <c r="E8" s="33">
        <f>C30*'E Balans VL '!I18/100/3.6*1000000</f>
        <v>2.5997945212999642</v>
      </c>
      <c r="F8" s="33">
        <f>C30*'E Balans VL '!L18/100/3.6*1000000+C30*'E Balans VL '!N18/100/3.6*1000000</f>
        <v>34.084067539344417</v>
      </c>
      <c r="G8" s="34"/>
      <c r="H8" s="33"/>
      <c r="I8" s="33"/>
      <c r="J8" s="40">
        <f>C30*'E Balans VL '!D18/100/3.6*1000000+C30*'E Balans VL '!E18/100/3.6*1000000</f>
        <v>0.36245915939826562</v>
      </c>
      <c r="K8" s="33"/>
      <c r="L8" s="33"/>
      <c r="M8" s="33"/>
      <c r="N8" s="33">
        <f>C30*'E Balans VL '!Y18/100/3.6*1000000</f>
        <v>4.5559915204658701</v>
      </c>
      <c r="O8" s="33"/>
      <c r="P8" s="33"/>
      <c r="R8" s="32"/>
    </row>
    <row r="9" spans="1:18">
      <c r="A9" s="6" t="s">
        <v>32</v>
      </c>
      <c r="B9" s="37">
        <f t="shared" si="0"/>
        <v>3410.0093889999998</v>
      </c>
      <c r="C9" s="33"/>
      <c r="D9" s="37">
        <f>IF( ISERROR(IND_andere_gas_kWh/1000),0,IND_andere_gas_kWh/1000)*0.902</f>
        <v>1876.9782574179999</v>
      </c>
      <c r="E9" s="33">
        <f>C31*'E Balans VL '!I19/100/3.6*1000000</f>
        <v>944.95919922999224</v>
      </c>
      <c r="F9" s="33">
        <f>C31*'E Balans VL '!L19/100/3.6*1000000+C31*'E Balans VL '!N19/100/3.6*1000000</f>
        <v>2826.2231506902835</v>
      </c>
      <c r="G9" s="34"/>
      <c r="H9" s="33"/>
      <c r="I9" s="33"/>
      <c r="J9" s="40">
        <f>C31*'E Balans VL '!D19/100/3.6*1000000+C31*'E Balans VL '!E19/100/3.6*1000000</f>
        <v>0</v>
      </c>
      <c r="K9" s="33"/>
      <c r="L9" s="33"/>
      <c r="M9" s="33"/>
      <c r="N9" s="33">
        <f>C31*'E Balans VL '!Y19/100/3.6*1000000</f>
        <v>247.52497271123616</v>
      </c>
      <c r="O9" s="33"/>
      <c r="P9" s="33"/>
      <c r="R9" s="32"/>
    </row>
    <row r="10" spans="1:18">
      <c r="A10" s="6" t="s">
        <v>40</v>
      </c>
      <c r="B10" s="37">
        <f t="shared" si="0"/>
        <v>1053.0982390000001</v>
      </c>
      <c r="C10" s="33"/>
      <c r="D10" s="37">
        <f>IF( ISERROR(IND_voed_gas_kWh/1000),0,IND_voed_gas_kWh/1000)*0.902</f>
        <v>403.02374208800001</v>
      </c>
      <c r="E10" s="33">
        <f>C32*'E Balans VL '!I20/100/3.6*1000000</f>
        <v>1.8643405902730725</v>
      </c>
      <c r="F10" s="33">
        <f>C32*'E Balans VL '!L20/100/3.6*1000000+C32*'E Balans VL '!N20/100/3.6*1000000</f>
        <v>56.876638431969155</v>
      </c>
      <c r="G10" s="34"/>
      <c r="H10" s="33"/>
      <c r="I10" s="33"/>
      <c r="J10" s="40">
        <f>C32*'E Balans VL '!D20/100/3.6*1000000+C32*'E Balans VL '!E20/100/3.6*1000000</f>
        <v>0</v>
      </c>
      <c r="K10" s="33"/>
      <c r="L10" s="33"/>
      <c r="M10" s="33"/>
      <c r="N10" s="33">
        <f>C32*'E Balans VL '!Y20/100/3.6*1000000</f>
        <v>61.193050297369332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66.689702999999994</v>
      </c>
      <c r="C13" s="33"/>
      <c r="D13" s="37">
        <f>IF( ISERROR(IND_papier_gas_kWh/1000),0,IND_papier_gas_kWh/1000)*0.902</f>
        <v>124.28440618</v>
      </c>
      <c r="E13" s="33">
        <f>C35*'E Balans VL '!I23/100/3.6*1000000</f>
        <v>9.8123453034959118E-2</v>
      </c>
      <c r="F13" s="33">
        <f>C35*'E Balans VL '!L23/100/3.6*1000000+C35*'E Balans VL '!N23/100/3.6*1000000</f>
        <v>0.71406709225245613</v>
      </c>
      <c r="G13" s="34"/>
      <c r="H13" s="33"/>
      <c r="I13" s="33"/>
      <c r="J13" s="40">
        <f>C35*'E Balans VL '!D23/100/3.6*1000000+C35*'E Balans VL '!E23/100/3.6*1000000</f>
        <v>7.2962274844845574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3453.9823110000002</v>
      </c>
      <c r="C15" s="33"/>
      <c r="D15" s="37">
        <f>IF( ISERROR(IND_rest_gas_kWh/1000),0,IND_rest_gas_kWh/1000)*0.902</f>
        <v>28046.576237460002</v>
      </c>
      <c r="E15" s="33">
        <f>C37*'E Balans VL '!I15/100/3.6*1000000</f>
        <v>163.23720872490907</v>
      </c>
      <c r="F15" s="33">
        <f>C37*'E Balans VL '!L15/100/3.6*1000000+C37*'E Balans VL '!N15/100/3.6*1000000</f>
        <v>614.08181221607242</v>
      </c>
      <c r="G15" s="34"/>
      <c r="H15" s="33"/>
      <c r="I15" s="33"/>
      <c r="J15" s="40">
        <f>C37*'E Balans VL '!D15/100/3.6*1000000+C37*'E Balans VL '!E15/100/3.6*1000000</f>
        <v>28.534085310264885</v>
      </c>
      <c r="K15" s="33"/>
      <c r="L15" s="33"/>
      <c r="M15" s="33"/>
      <c r="N15" s="33">
        <f>C37*'E Balans VL '!Y15/100/3.6*1000000</f>
        <v>135.73385234202121</v>
      </c>
      <c r="O15" s="33"/>
      <c r="P15" s="33"/>
      <c r="R15" s="32"/>
    </row>
    <row r="16" spans="1:18">
      <c r="A16" s="16" t="s">
        <v>465</v>
      </c>
      <c r="B16" s="245">
        <f>'lokale energieproductie'!N41+'lokale energieproductie'!N34</f>
        <v>0</v>
      </c>
      <c r="C16" s="245">
        <f>'lokale energieproductie'!O41+'lokale energieproductie'!O34</f>
        <v>0</v>
      </c>
      <c r="D16" s="304">
        <f>('lokale energieproductie'!P34+'lokale energieproductie'!P41)*(-1)</f>
        <v>0</v>
      </c>
      <c r="E16" s="246"/>
      <c r="F16" s="304">
        <f>('lokale energieproductie'!S34+'lokale energieproductie'!S41)*(-1)</f>
        <v>0</v>
      </c>
      <c r="G16" s="247"/>
      <c r="H16" s="246"/>
      <c r="I16" s="246"/>
      <c r="J16" s="246"/>
      <c r="K16" s="246"/>
      <c r="L16" s="304">
        <f>('lokale energieproductie'!T34+'lokale energieproductie'!U34+'lokale energieproductie'!T41+'lokale energieproductie'!U41)*(-1)</f>
        <v>0</v>
      </c>
      <c r="M16" s="246"/>
      <c r="N16" s="304">
        <f>('lokale energieproductie'!Q34+'lokale energieproductie'!R34+'lokale energieproductie'!V34+'lokale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8344.1465790000002</v>
      </c>
      <c r="C18" s="21">
        <f>C5+C16</f>
        <v>0</v>
      </c>
      <c r="D18" s="21">
        <f>MAX((D5+D16),0)</f>
        <v>30577.085413952002</v>
      </c>
      <c r="E18" s="21">
        <f>MAX((E5+E16),0)</f>
        <v>1112.7586665195092</v>
      </c>
      <c r="F18" s="21">
        <f>MAX((F5+F16),0)</f>
        <v>3531.9797359699223</v>
      </c>
      <c r="G18" s="21"/>
      <c r="H18" s="21"/>
      <c r="I18" s="21"/>
      <c r="J18" s="21">
        <f>MAX((J5+J16),0)</f>
        <v>36.192771954147709</v>
      </c>
      <c r="K18" s="21"/>
      <c r="L18" s="21">
        <f>MAX((L5+L16),0)</f>
        <v>0</v>
      </c>
      <c r="M18" s="21"/>
      <c r="N18" s="21">
        <f>MAX((N5+N16),0)</f>
        <v>449.00786687109257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0.1770268000507435</v>
      </c>
      <c r="C20" s="25">
        <f ca="1">'EF ele_warmte'!B22</f>
        <v>0.23654762806539131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1477.1375680347285</v>
      </c>
      <c r="C22" s="23">
        <f ca="1">C18*C20</f>
        <v>0</v>
      </c>
      <c r="D22" s="23">
        <f>D18*D20</f>
        <v>6176.5712536183046</v>
      </c>
      <c r="E22" s="23">
        <f>E18*E20</f>
        <v>252.59621729992861</v>
      </c>
      <c r="F22" s="23">
        <f>F18*F20</f>
        <v>943.03858950396932</v>
      </c>
      <c r="G22" s="23"/>
      <c r="H22" s="23"/>
      <c r="I22" s="23"/>
      <c r="J22" s="23">
        <f>J18*J20</f>
        <v>12.812241271768288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360.36693699999995</v>
      </c>
      <c r="C30" s="39">
        <f>IF(ISERROR(B30*3.6/1000000/'E Balans VL '!Z18*100),0,B30*3.6/1000000/'E Balans VL '!Z18*100)</f>
        <v>2.0803420975300295E-2</v>
      </c>
      <c r="D30" s="235" t="s">
        <v>692</v>
      </c>
    </row>
    <row r="31" spans="1:18">
      <c r="A31" s="6" t="s">
        <v>32</v>
      </c>
      <c r="B31" s="37">
        <f>IF( ISERROR(IND_ander_ele_kWh/1000),0,IND_ander_ele_kWh/1000)</f>
        <v>3410.0093889999998</v>
      </c>
      <c r="C31" s="39">
        <f>IF(ISERROR(B31*3.6/1000000/'E Balans VL '!Z19*100),0,B31*3.6/1000000/'E Balans VL '!Z19*100)</f>
        <v>0.17151241914925305</v>
      </c>
      <c r="D31" s="235" t="s">
        <v>692</v>
      </c>
    </row>
    <row r="32" spans="1:18">
      <c r="A32" s="169" t="s">
        <v>40</v>
      </c>
      <c r="B32" s="37">
        <f>IF( ISERROR(IND_voed_ele_kWh/1000),0,IND_voed_ele_kWh/1000)</f>
        <v>1053.0982390000001</v>
      </c>
      <c r="C32" s="39">
        <f>IF(ISERROR(B32*3.6/1000000/'E Balans VL '!Z20*100),0,B32*3.6/1000000/'E Balans VL '!Z20*100)</f>
        <v>3.507442491730145E-2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66.689702999999994</v>
      </c>
      <c r="C35" s="39">
        <f>IF(ISERROR(B35*3.6/1000000/'E Balans VL '!Z22*100),0,B35*3.6/1000000/'E Balans VL '!Z22*100)</f>
        <v>1.2439882144801644E-2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3453.9823110000002</v>
      </c>
      <c r="C37" s="39">
        <f>IF(ISERROR(B37*3.6/1000000/'E Balans VL '!Z15*100),0,B37*3.6/1000000/'E Balans VL '!Z15*100)</f>
        <v>2.6950507393568118E-2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11713.348641999999</v>
      </c>
      <c r="C5" s="17">
        <f>'Eigen informatie GS &amp; warmtenet'!B62</f>
        <v>0</v>
      </c>
      <c r="D5" s="30">
        <f>IF(ISERROR(SUM(LB_lb_gas_kWh,LB_rest_gas_kWh)/1000),0,SUM(LB_lb_gas_kWh,LB_rest_gas_kWh)/1000)*0.902</f>
        <v>59764.110629915995</v>
      </c>
      <c r="E5" s="17">
        <f>B17*'E Balans VL '!I25/3.6*1000000/100</f>
        <v>365.56974853095693</v>
      </c>
      <c r="F5" s="17">
        <f>B17*('E Balans VL '!L25/3.6*1000000+'E Balans VL '!N25/3.6*1000000)/100</f>
        <v>41396.271670587317</v>
      </c>
      <c r="G5" s="18"/>
      <c r="H5" s="17"/>
      <c r="I5" s="17"/>
      <c r="J5" s="17">
        <f>('E Balans VL '!D25+'E Balans VL '!E25)/3.6*1000000*landbouw!B17/100</f>
        <v>3227.1087822319255</v>
      </c>
      <c r="K5" s="17"/>
      <c r="L5" s="17">
        <f>L6*(-1)</f>
        <v>0</v>
      </c>
      <c r="M5" s="17"/>
      <c r="N5" s="17">
        <f>N6*(-1)</f>
        <v>124.71428571428569</v>
      </c>
      <c r="O5" s="17"/>
      <c r="P5" s="17"/>
      <c r="R5" s="32"/>
    </row>
    <row r="6" spans="1:18">
      <c r="A6" s="16" t="s">
        <v>465</v>
      </c>
      <c r="B6" s="17" t="s">
        <v>204</v>
      </c>
      <c r="C6" s="17">
        <f>'lokale energieproductie'!O43+'lokale energieproductie'!O36</f>
        <v>13285.928571428571</v>
      </c>
      <c r="D6" s="304">
        <f>('lokale energieproductie'!P36+'lokale energieproductie'!P43)*(-1)</f>
        <v>-26447.142857142859</v>
      </c>
      <c r="E6" s="246"/>
      <c r="F6" s="304">
        <f>('lokale energieproductie'!S36+'lokale energieproductie'!S43)*(-1)</f>
        <v>0</v>
      </c>
      <c r="G6" s="247"/>
      <c r="H6" s="246"/>
      <c r="I6" s="246"/>
      <c r="J6" s="246"/>
      <c r="K6" s="246"/>
      <c r="L6" s="304">
        <f>('lokale energieproductie'!T36+'lokale energieproductie'!U36+'lokale energieproductie'!T43+'lokale energieproductie'!U43)*(-1)</f>
        <v>0</v>
      </c>
      <c r="M6" s="246"/>
      <c r="N6" s="304">
        <f>('lokale energieproductie'!V36+'lokale energieproductie'!R36+'lokale energieproductie'!Q36+'lokale energieproductie'!Q43+'lokale energieproductie'!R43+'lokale energieproductie'!V43)*(-1)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11713.348641999999</v>
      </c>
      <c r="C8" s="21">
        <f>C5+C6</f>
        <v>13285.928571428571</v>
      </c>
      <c r="D8" s="21">
        <f>MAX((D5+D6),0)</f>
        <v>33316.967772773132</v>
      </c>
      <c r="E8" s="21">
        <f>MAX((E5+E6),0)</f>
        <v>365.56974853095693</v>
      </c>
      <c r="F8" s="21">
        <f>MAX((F5+F6),0)</f>
        <v>41396.271670587317</v>
      </c>
      <c r="G8" s="21"/>
      <c r="H8" s="21"/>
      <c r="I8" s="21"/>
      <c r="J8" s="21">
        <f>MAX((J5+J6),0)</f>
        <v>3227.1087822319255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0.1770268000507435</v>
      </c>
      <c r="C10" s="31">
        <f ca="1">'EF ele_warmte'!B22</f>
        <v>0.23654762806539131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2073.5766279719819</v>
      </c>
      <c r="C12" s="23">
        <f ca="1">C8*C10</f>
        <v>3142.7548902176413</v>
      </c>
      <c r="D12" s="23">
        <f>D8*D10</f>
        <v>6730.0274901001731</v>
      </c>
      <c r="E12" s="23">
        <f>E8*E10</f>
        <v>82.984332916527222</v>
      </c>
      <c r="F12" s="23">
        <f>F8*F10</f>
        <v>11052.804536046815</v>
      </c>
      <c r="G12" s="23"/>
      <c r="H12" s="23"/>
      <c r="I12" s="23"/>
      <c r="J12" s="23">
        <f>J8*J10</f>
        <v>1142.3965089101016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1.7412732448701145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723.29104165214324</v>
      </c>
      <c r="C26" s="245">
        <f>B26*'GWP N2O_CH4'!B5</f>
        <v>15189.111874695009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211.86758827429833</v>
      </c>
      <c r="C27" s="245">
        <f>B27*'GWP N2O_CH4'!B5</f>
        <v>4449.2193537602652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10.725693812877971</v>
      </c>
      <c r="C28" s="245">
        <f>B28*'GWP N2O_CH4'!B4</f>
        <v>3324.9650819921708</v>
      </c>
      <c r="D28" s="50"/>
    </row>
    <row r="29" spans="1:4">
      <c r="A29" s="41" t="s">
        <v>265</v>
      </c>
      <c r="B29" s="245">
        <f>B34*'ha_N2O bodem landbouw'!B4</f>
        <v>23.653651302267136</v>
      </c>
      <c r="C29" s="245">
        <f>B29*'GWP N2O_CH4'!B4</f>
        <v>7332.6319037028125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5.1868198561711935E-3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9.711949849602145E-4</v>
      </c>
      <c r="C5" s="431" t="s">
        <v>204</v>
      </c>
      <c r="D5" s="416">
        <f>SUM(D6:D11)</f>
        <v>1.4861478566658664E-3</v>
      </c>
      <c r="E5" s="416">
        <f>SUM(E6:E11)</f>
        <v>1.4502925179279522E-3</v>
      </c>
      <c r="F5" s="429" t="s">
        <v>204</v>
      </c>
      <c r="G5" s="416">
        <f>SUM(G6:G11)</f>
        <v>0.84700066756673054</v>
      </c>
      <c r="H5" s="416">
        <f>SUM(H6:H11)</f>
        <v>0.13558158033351966</v>
      </c>
      <c r="I5" s="431" t="s">
        <v>204</v>
      </c>
      <c r="J5" s="431" t="s">
        <v>204</v>
      </c>
      <c r="K5" s="431" t="s">
        <v>204</v>
      </c>
      <c r="L5" s="431" t="s">
        <v>204</v>
      </c>
      <c r="M5" s="416">
        <f>SUM(M6:M11)</f>
        <v>5.7799448368983444E-2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2.1537417634405712E-4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3.6357255169651849E-4</v>
      </c>
      <c r="E6" s="882">
        <f>vkm_GW_PW*SUMIFS(TableVerdeelsleutelVkm[LPG],TableVerdeelsleutelVkm[Voertuigtype],"Lichte voertuigen")*SUMIFS(TableECFTransport[EnergieConsumptieFactor (PJ per km)],TableECFTransport[Index],CONCATENATE($A6,"_LPG_LPG"))</f>
        <v>3.1858860349937192E-4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9.9520892195964286E-2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3.2430733214561761E-2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7.8838250700986965E-3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2.019809540331253E-6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7.7090481893556925E-2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1.0715824114771822E-6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4.4436788447348892E-3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1.3300359784172E-4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2.866876233569954E-4</v>
      </c>
      <c r="E8" s="419">
        <f>vkm_NGW_PW*SUMIFS(TableVerdeelsleutelVkm[LPG],TableVerdeelsleutelVkm[Voertuigtype],"Lichte voertuigen")*SUMIFS(TableECFTransport[EnergieConsumptieFactor (PJ per km)],TableECFTransport[Index],CONCATENATE($A8,"_LPG_LPG"))</f>
        <v>2.4064900081536856E-4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6.9454211156889295E-2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2.5201871464636517E-2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5.672102106860321E-3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3.7212897633114962E-7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1.825921170549296E-2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2.3830057592936654E-7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1.0525033911477492E-3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6.1133628334432877E-4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8.3588768161235239E-4</v>
      </c>
      <c r="E10" s="419">
        <f>vkm_SW_PW*SUMIFS(TableVerdeelsleutelVkm[LPG],TableVerdeelsleutelVkm[Voertuigtype],"Lichte voertuigen")*SUMIFS(TableECFTransport[EnergieConsumptieFactor (PJ per km)],TableECFTransport[Index],CONCATENATE($A10,"_LPG_LPG"))</f>
        <v>8.9105491361321173E-4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0.25365630861063815</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7.7942702578255404E-2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1.9781842561595653E-2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9.0889889134462301E-6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0.32901956200418886</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4.9631930785681099E-6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1.8965496394546137E-2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269.77638471117069</v>
      </c>
      <c r="C14" s="21"/>
      <c r="D14" s="21">
        <f t="shared" ref="D14:M14" si="0">((D5)*10^9/3600)+D12</f>
        <v>412.81884907385177</v>
      </c>
      <c r="E14" s="21">
        <f t="shared" si="0"/>
        <v>402.85903275776445</v>
      </c>
      <c r="F14" s="21"/>
      <c r="G14" s="21">
        <f t="shared" si="0"/>
        <v>235277.96321298069</v>
      </c>
      <c r="H14" s="21">
        <f t="shared" si="0"/>
        <v>37661.550092644349</v>
      </c>
      <c r="I14" s="21"/>
      <c r="J14" s="21"/>
      <c r="K14" s="21"/>
      <c r="L14" s="21"/>
      <c r="M14" s="21">
        <f t="shared" si="0"/>
        <v>16055.402324717625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0.1770268000507435</v>
      </c>
      <c r="C16" s="56">
        <f ca="1">'EF ele_warmte'!B22</f>
        <v>0.23654762806539131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47.757650114676871</v>
      </c>
      <c r="C18" s="23"/>
      <c r="D18" s="23">
        <f t="shared" ref="D18:M18" si="1">D14*D16</f>
        <v>83.389407512918055</v>
      </c>
      <c r="E18" s="23">
        <f t="shared" si="1"/>
        <v>91.44900043601254</v>
      </c>
      <c r="F18" s="23"/>
      <c r="G18" s="23">
        <f t="shared" si="1"/>
        <v>62819.216177865848</v>
      </c>
      <c r="H18" s="23">
        <f t="shared" si="1"/>
        <v>9377.7259730684436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1.042674124919627E-4</v>
      </c>
      <c r="C50" s="315">
        <f t="shared" ref="C50:P50" si="2">SUM(C51:C52)</f>
        <v>0</v>
      </c>
      <c r="D50" s="315">
        <f t="shared" si="2"/>
        <v>0</v>
      </c>
      <c r="E50" s="315">
        <f t="shared" si="2"/>
        <v>0</v>
      </c>
      <c r="F50" s="315">
        <f t="shared" si="2"/>
        <v>0</v>
      </c>
      <c r="G50" s="315">
        <f t="shared" si="2"/>
        <v>7.5543310750355464E-3</v>
      </c>
      <c r="H50" s="315">
        <f t="shared" si="2"/>
        <v>0</v>
      </c>
      <c r="I50" s="315">
        <f t="shared" si="2"/>
        <v>0</v>
      </c>
      <c r="J50" s="315">
        <f t="shared" si="2"/>
        <v>0</v>
      </c>
      <c r="K50" s="315">
        <f t="shared" si="2"/>
        <v>0</v>
      </c>
      <c r="L50" s="315">
        <f t="shared" si="2"/>
        <v>0</v>
      </c>
      <c r="M50" s="315">
        <f t="shared" si="2"/>
        <v>4.2729546240986355E-4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1.042674124919627E-4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7.5543310750355464E-3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4.2729546240986355E-4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28.963170136656306</v>
      </c>
      <c r="C54" s="21">
        <f t="shared" ref="C54:P54" si="3">(C50)*10^9/3600</f>
        <v>0</v>
      </c>
      <c r="D54" s="21">
        <f t="shared" si="3"/>
        <v>0</v>
      </c>
      <c r="E54" s="21">
        <f t="shared" si="3"/>
        <v>0</v>
      </c>
      <c r="F54" s="21">
        <f t="shared" si="3"/>
        <v>0</v>
      </c>
      <c r="G54" s="21">
        <f t="shared" si="3"/>
        <v>2098.4252986209849</v>
      </c>
      <c r="H54" s="21">
        <f t="shared" si="3"/>
        <v>0</v>
      </c>
      <c r="I54" s="21">
        <f t="shared" si="3"/>
        <v>0</v>
      </c>
      <c r="J54" s="21">
        <f t="shared" si="3"/>
        <v>0</v>
      </c>
      <c r="K54" s="21">
        <f t="shared" si="3"/>
        <v>0</v>
      </c>
      <c r="L54" s="21">
        <f t="shared" si="3"/>
        <v>0</v>
      </c>
      <c r="M54" s="21">
        <f t="shared" si="3"/>
        <v>118.69318400273987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0.1770268000507435</v>
      </c>
      <c r="C56" s="56">
        <f ca="1">'EF ele_warmte'!B22</f>
        <v>0.23654762806539131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5.1272573286175209</v>
      </c>
      <c r="C58" s="23">
        <f t="shared" ref="C58:P58" ca="1" si="4">C54*C56</f>
        <v>0</v>
      </c>
      <c r="D58" s="23">
        <f t="shared" si="4"/>
        <v>0</v>
      </c>
      <c r="E58" s="23">
        <f t="shared" si="4"/>
        <v>0</v>
      </c>
      <c r="F58" s="23">
        <f t="shared" si="4"/>
        <v>0</v>
      </c>
      <c r="G58" s="23">
        <f t="shared" si="4"/>
        <v>560.27955473180305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3"/>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11409.284518594592</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7668.8466753651765</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N33</f>
        <v>9435.15</v>
      </c>
      <c r="C8" s="541">
        <f>B52</f>
        <v>11048.823529411766</v>
      </c>
      <c r="D8" s="542"/>
      <c r="E8" s="542">
        <f>E52</f>
        <v>0</v>
      </c>
      <c r="F8" s="543"/>
      <c r="G8" s="544"/>
      <c r="H8" s="542">
        <f>I52</f>
        <v>0</v>
      </c>
      <c r="I8" s="542">
        <f>G52+F52</f>
        <v>0</v>
      </c>
      <c r="J8" s="542">
        <f>H52+D52+C52</f>
        <v>51.35294117647058</v>
      </c>
      <c r="K8" s="542"/>
      <c r="L8" s="542"/>
      <c r="M8" s="542"/>
      <c r="N8" s="545"/>
      <c r="O8" s="546">
        <f>C8*$C$12+D8*$D$12+E8*$E$12+F8*$F$12+G8*$G$12+H8*$H$12+I8*$I$12+J8*$J$12</f>
        <v>2231.8623529411771</v>
      </c>
      <c r="P8" s="1269"/>
      <c r="Q8" s="1270"/>
      <c r="S8" s="536"/>
      <c r="T8" s="1266"/>
      <c r="U8" s="1266"/>
    </row>
    <row r="9" spans="1:21" s="527" customFormat="1" ht="17.45" customHeight="1" thickBot="1">
      <c r="A9" s="547" t="s">
        <v>236</v>
      </c>
      <c r="B9" s="548">
        <f>N40+'Eigen informatie GS &amp; warmtenet'!B12</f>
        <v>0</v>
      </c>
      <c r="C9" s="54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28513.281193959767</v>
      </c>
      <c r="C10" s="556">
        <f t="shared" ref="C10:L10" si="0">SUM(C8:C9)</f>
        <v>11048.823529411766</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2231.8623529411771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O33</f>
        <v>13478.785714285716</v>
      </c>
      <c r="C17" s="572">
        <f>B53</f>
        <v>15784.033613445379</v>
      </c>
      <c r="D17" s="573"/>
      <c r="E17" s="573">
        <f>E53</f>
        <v>0</v>
      </c>
      <c r="F17" s="574"/>
      <c r="G17" s="575"/>
      <c r="H17" s="572">
        <f>I53</f>
        <v>0</v>
      </c>
      <c r="I17" s="573">
        <f>G53+F53</f>
        <v>0</v>
      </c>
      <c r="J17" s="573">
        <f>H53+D53+C53</f>
        <v>73.361344537815114</v>
      </c>
      <c r="K17" s="573"/>
      <c r="L17" s="573"/>
      <c r="M17" s="573"/>
      <c r="N17" s="964"/>
      <c r="O17" s="576">
        <f>C17*$C$22+E17*$E$22+H17*$H$22+I17*$I$22+J17*$J$22+D17*$D$22+F17*$F$22+G17*$G$22+K17*$K$22+L17*$L$22</f>
        <v>3188.3747899159666</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13478.785714285716</v>
      </c>
      <c r="C20" s="555">
        <f>SUM(C17:C19)</f>
        <v>15784.033613445379</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3188.3747899159666</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44034</v>
      </c>
      <c r="C28" s="783">
        <v>9080</v>
      </c>
      <c r="D28" s="633"/>
      <c r="E28" s="632"/>
      <c r="F28" s="632"/>
      <c r="G28" s="632" t="s">
        <v>900</v>
      </c>
      <c r="H28" s="632" t="s">
        <v>901</v>
      </c>
      <c r="I28" s="632"/>
      <c r="J28" s="782"/>
      <c r="K28" s="782"/>
      <c r="L28" s="632" t="s">
        <v>902</v>
      </c>
      <c r="M28" s="632">
        <v>1006</v>
      </c>
      <c r="N28" s="632">
        <v>4527</v>
      </c>
      <c r="O28" s="632">
        <v>6467.1428571428569</v>
      </c>
      <c r="P28" s="632">
        <v>12934.285714285716</v>
      </c>
      <c r="Q28" s="632">
        <v>0</v>
      </c>
      <c r="R28" s="632">
        <v>0</v>
      </c>
      <c r="S28" s="632">
        <v>0</v>
      </c>
      <c r="T28" s="632">
        <v>0</v>
      </c>
      <c r="U28" s="632">
        <v>0</v>
      </c>
      <c r="V28" s="632">
        <v>0</v>
      </c>
      <c r="W28" s="632">
        <v>0</v>
      </c>
      <c r="X28" s="632">
        <v>10</v>
      </c>
      <c r="Y28" s="632" t="s">
        <v>105</v>
      </c>
      <c r="Z28" s="634" t="s">
        <v>105</v>
      </c>
    </row>
    <row r="29" spans="1:26" s="586" customFormat="1" ht="63.75" hidden="1">
      <c r="A29" s="585"/>
      <c r="B29" s="783">
        <v>44034</v>
      </c>
      <c r="C29" s="783">
        <v>9080</v>
      </c>
      <c r="D29" s="633"/>
      <c r="E29" s="632"/>
      <c r="F29" s="632"/>
      <c r="G29" s="632" t="s">
        <v>900</v>
      </c>
      <c r="H29" s="632" t="s">
        <v>901</v>
      </c>
      <c r="I29" s="632"/>
      <c r="J29" s="782"/>
      <c r="K29" s="782"/>
      <c r="L29" s="632" t="s">
        <v>902</v>
      </c>
      <c r="M29" s="632">
        <v>30</v>
      </c>
      <c r="N29" s="632">
        <v>135</v>
      </c>
      <c r="O29" s="632">
        <v>192.85714285714286</v>
      </c>
      <c r="P29" s="632">
        <v>385.71428571428572</v>
      </c>
      <c r="Q29" s="632">
        <v>0</v>
      </c>
      <c r="R29" s="632">
        <v>0</v>
      </c>
      <c r="S29" s="632">
        <v>0</v>
      </c>
      <c r="T29" s="632">
        <v>0</v>
      </c>
      <c r="U29" s="632">
        <v>0</v>
      </c>
      <c r="V29" s="632">
        <v>0</v>
      </c>
      <c r="W29" s="632">
        <v>0</v>
      </c>
      <c r="X29" s="632">
        <v>1600</v>
      </c>
      <c r="Y29" s="632" t="s">
        <v>49</v>
      </c>
      <c r="Z29" s="634" t="s">
        <v>149</v>
      </c>
    </row>
    <row r="30" spans="1:26" s="586" customFormat="1" ht="25.5" hidden="1">
      <c r="A30" s="585"/>
      <c r="B30" s="783">
        <v>44034</v>
      </c>
      <c r="C30" s="783">
        <v>9080</v>
      </c>
      <c r="D30" s="633"/>
      <c r="E30" s="632"/>
      <c r="F30" s="632"/>
      <c r="G30" s="632" t="s">
        <v>900</v>
      </c>
      <c r="H30" s="632" t="s">
        <v>901</v>
      </c>
      <c r="I30" s="632"/>
      <c r="J30" s="782"/>
      <c r="K30" s="782"/>
      <c r="L30" s="632" t="s">
        <v>902</v>
      </c>
      <c r="M30" s="632">
        <v>526</v>
      </c>
      <c r="N30" s="632">
        <v>2367</v>
      </c>
      <c r="O30" s="632">
        <v>3381.4285714285716</v>
      </c>
      <c r="P30" s="632">
        <v>6762.8571428571431</v>
      </c>
      <c r="Q30" s="632">
        <v>0</v>
      </c>
      <c r="R30" s="632">
        <v>0</v>
      </c>
      <c r="S30" s="632">
        <v>0</v>
      </c>
      <c r="T30" s="632">
        <v>0</v>
      </c>
      <c r="U30" s="632">
        <v>0</v>
      </c>
      <c r="V30" s="632">
        <v>0</v>
      </c>
      <c r="W30" s="632">
        <v>0</v>
      </c>
      <c r="X30" s="632">
        <v>10</v>
      </c>
      <c r="Y30" s="632" t="s">
        <v>105</v>
      </c>
      <c r="Z30" s="634" t="s">
        <v>105</v>
      </c>
    </row>
    <row r="31" spans="1:26" s="586" customFormat="1" ht="25.5" hidden="1">
      <c r="A31" s="585"/>
      <c r="B31" s="783">
        <v>44034</v>
      </c>
      <c r="C31" s="783">
        <v>9080</v>
      </c>
      <c r="D31" s="633"/>
      <c r="E31" s="632"/>
      <c r="F31" s="632"/>
      <c r="G31" s="632" t="s">
        <v>900</v>
      </c>
      <c r="H31" s="632" t="s">
        <v>901</v>
      </c>
      <c r="I31" s="632"/>
      <c r="J31" s="782"/>
      <c r="K31" s="782"/>
      <c r="L31" s="632" t="s">
        <v>902</v>
      </c>
      <c r="M31" s="632">
        <v>9.6999999999999993</v>
      </c>
      <c r="N31" s="632">
        <v>43.649999999999991</v>
      </c>
      <c r="O31" s="632">
        <v>62.357142857142847</v>
      </c>
      <c r="P31" s="632">
        <v>0</v>
      </c>
      <c r="Q31" s="632">
        <v>124.71428571428569</v>
      </c>
      <c r="R31" s="632">
        <v>0</v>
      </c>
      <c r="S31" s="632">
        <v>0</v>
      </c>
      <c r="T31" s="632">
        <v>0</v>
      </c>
      <c r="U31" s="632">
        <v>0</v>
      </c>
      <c r="V31" s="632">
        <v>0</v>
      </c>
      <c r="W31" s="632">
        <v>0</v>
      </c>
      <c r="X31" s="632">
        <v>10</v>
      </c>
      <c r="Y31" s="632" t="s">
        <v>105</v>
      </c>
      <c r="Z31" s="634" t="s">
        <v>105</v>
      </c>
    </row>
    <row r="32" spans="1:26" s="586" customFormat="1" ht="25.5" hidden="1">
      <c r="A32" s="585"/>
      <c r="B32" s="783">
        <v>44034</v>
      </c>
      <c r="C32" s="783">
        <v>9080</v>
      </c>
      <c r="D32" s="633"/>
      <c r="E32" s="632"/>
      <c r="F32" s="632"/>
      <c r="G32" s="632" t="s">
        <v>900</v>
      </c>
      <c r="H32" s="632" t="s">
        <v>901</v>
      </c>
      <c r="I32" s="632"/>
      <c r="J32" s="782"/>
      <c r="K32" s="782"/>
      <c r="L32" s="632" t="s">
        <v>903</v>
      </c>
      <c r="M32" s="632">
        <v>525</v>
      </c>
      <c r="N32" s="632">
        <v>2362.5</v>
      </c>
      <c r="O32" s="632">
        <v>3375</v>
      </c>
      <c r="P32" s="632">
        <v>6750</v>
      </c>
      <c r="Q32" s="632">
        <v>0</v>
      </c>
      <c r="R32" s="632">
        <v>0</v>
      </c>
      <c r="S32" s="632">
        <v>0</v>
      </c>
      <c r="T32" s="632">
        <v>0</v>
      </c>
      <c r="U32" s="632">
        <v>0</v>
      </c>
      <c r="V32" s="632">
        <v>0</v>
      </c>
      <c r="W32" s="632">
        <v>0</v>
      </c>
      <c r="X32" s="632">
        <v>10</v>
      </c>
      <c r="Y32" s="632" t="s">
        <v>105</v>
      </c>
      <c r="Z32" s="634" t="s">
        <v>105</v>
      </c>
    </row>
    <row r="33" spans="1:27" s="566" customFormat="1" hidden="1">
      <c r="A33" s="588" t="s">
        <v>268</v>
      </c>
      <c r="B33" s="589"/>
      <c r="C33" s="589"/>
      <c r="D33" s="589"/>
      <c r="E33" s="589"/>
      <c r="F33" s="589"/>
      <c r="G33" s="589"/>
      <c r="H33" s="589"/>
      <c r="I33" s="589"/>
      <c r="J33" s="589"/>
      <c r="K33" s="589"/>
      <c r="L33" s="590"/>
      <c r="M33" s="590">
        <f>SUM(M28:M32)</f>
        <v>2096.6999999999998</v>
      </c>
      <c r="N33" s="590">
        <f>SUM(N28:N32)</f>
        <v>9435.15</v>
      </c>
      <c r="O33" s="590">
        <f>SUM(O28:O32)</f>
        <v>13478.785714285716</v>
      </c>
      <c r="P33" s="590">
        <f>SUM(P28:P32)</f>
        <v>26832.857142857145</v>
      </c>
      <c r="Q33" s="590">
        <f>SUM(Q28:Q32)</f>
        <v>124.71428571428569</v>
      </c>
      <c r="R33" s="590">
        <f>SUM(R28:R32)</f>
        <v>0</v>
      </c>
      <c r="S33" s="590">
        <f>SUM(S28:S32)</f>
        <v>0</v>
      </c>
      <c r="T33" s="590">
        <f>SUM(T28:T32)</f>
        <v>0</v>
      </c>
      <c r="U33" s="590">
        <f>SUM(U28:U32)</f>
        <v>0</v>
      </c>
      <c r="V33" s="590">
        <f>SUM(V28:V32)</f>
        <v>0</v>
      </c>
      <c r="W33" s="590">
        <f>SUM(W28:W32)</f>
        <v>0</v>
      </c>
      <c r="X33" s="591"/>
      <c r="Y33" s="591"/>
      <c r="Z33" s="592"/>
    </row>
    <row r="34" spans="1:27" s="566" customFormat="1">
      <c r="A34" s="588" t="s">
        <v>275</v>
      </c>
      <c r="B34" s="589"/>
      <c r="C34" s="589"/>
      <c r="D34" s="589"/>
      <c r="E34" s="589"/>
      <c r="F34" s="589"/>
      <c r="G34" s="589"/>
      <c r="H34" s="589"/>
      <c r="I34" s="589"/>
      <c r="J34" s="589"/>
      <c r="K34" s="589"/>
      <c r="L34" s="590"/>
      <c r="M34" s="590">
        <f>SUMIF($Z$28:$Z$32,"industrie",M28:M32)</f>
        <v>0</v>
      </c>
      <c r="N34" s="590">
        <f>SUMIF($Z$28:$Z$32,"industrie",N28:N32)</f>
        <v>0</v>
      </c>
      <c r="O34" s="590">
        <f>SUMIF($Z$28:$Z$32,"industrie",O28:O32)</f>
        <v>0</v>
      </c>
      <c r="P34" s="590">
        <f>SUMIF($Z$28:$Z$32,"industrie",P28:P32)</f>
        <v>0</v>
      </c>
      <c r="Q34" s="590">
        <f>SUMIF($Z$28:$Z$32,"industrie",Q28:Q32)</f>
        <v>0</v>
      </c>
      <c r="R34" s="590">
        <f>SUMIF($Z$28:$Z$32,"industrie",R28:R32)</f>
        <v>0</v>
      </c>
      <c r="S34" s="590">
        <f>SUMIF($Z$28:$Z$32,"industrie",S28:S32)</f>
        <v>0</v>
      </c>
      <c r="T34" s="590">
        <f>SUMIF($Z$28:$Z$32,"industrie",T28:T32)</f>
        <v>0</v>
      </c>
      <c r="U34" s="590">
        <f>SUMIF($Z$28:$Z$32,"industrie",U28:U32)</f>
        <v>0</v>
      </c>
      <c r="V34" s="590">
        <f>SUMIF($Z$28:$Z$32,"industrie",V28:V32)</f>
        <v>0</v>
      </c>
      <c r="W34" s="590">
        <f>SUMIF($Z$28:$Z$32,"industrie",W28:W32)</f>
        <v>0</v>
      </c>
      <c r="X34" s="591"/>
      <c r="Y34" s="591"/>
      <c r="Z34" s="592"/>
    </row>
    <row r="35" spans="1:27" s="566" customFormat="1">
      <c r="A35" s="588" t="s">
        <v>276</v>
      </c>
      <c r="B35" s="589"/>
      <c r="C35" s="589"/>
      <c r="D35" s="589"/>
      <c r="E35" s="589"/>
      <c r="F35" s="589"/>
      <c r="G35" s="589"/>
      <c r="H35" s="589"/>
      <c r="I35" s="589"/>
      <c r="J35" s="589"/>
      <c r="K35" s="589"/>
      <c r="L35" s="590"/>
      <c r="M35" s="590">
        <f ca="1">SUMIF($Z$28:AC32,"tertiair",M28:M32)</f>
        <v>30</v>
      </c>
      <c r="N35" s="590">
        <f ca="1">SUMIF($Z$28:AD32,"tertiair",N28:N32)</f>
        <v>135</v>
      </c>
      <c r="O35" s="590">
        <f ca="1">SUMIF($Z$28:AE32,"tertiair",O28:O32)</f>
        <v>192.85714285714286</v>
      </c>
      <c r="P35" s="590">
        <f ca="1">SUMIF($Z$28:AF32,"tertiair",P28:P32)</f>
        <v>385.71428571428572</v>
      </c>
      <c r="Q35" s="590">
        <f ca="1">SUMIF($Z$28:AG32,"tertiair",Q28:Q32)</f>
        <v>0</v>
      </c>
      <c r="R35" s="590">
        <f ca="1">SUMIF($Z$28:AH32,"tertiair",R28:R32)</f>
        <v>0</v>
      </c>
      <c r="S35" s="590">
        <f ca="1">SUMIF($Z$28:AI32,"tertiair",S28:S32)</f>
        <v>0</v>
      </c>
      <c r="T35" s="590">
        <f ca="1">SUMIF($Z$28:AJ32,"tertiair",T28:T32)</f>
        <v>0</v>
      </c>
      <c r="U35" s="590">
        <f ca="1">SUMIF($Z$28:AK32,"tertiair",U28:U32)</f>
        <v>0</v>
      </c>
      <c r="V35" s="590">
        <f ca="1">SUMIF($Z$28:AL32,"tertiair",V28:V32)</f>
        <v>0</v>
      </c>
      <c r="W35" s="590">
        <f ca="1">SUMIF($Z$28:AM32,"tertiair",W28:W32)</f>
        <v>0</v>
      </c>
      <c r="X35" s="591"/>
      <c r="Y35" s="591"/>
      <c r="Z35" s="592"/>
    </row>
    <row r="36" spans="1:27" s="566" customFormat="1" ht="15.75" thickBot="1">
      <c r="A36" s="593" t="s">
        <v>277</v>
      </c>
      <c r="B36" s="594"/>
      <c r="C36" s="594"/>
      <c r="D36" s="594"/>
      <c r="E36" s="594"/>
      <c r="F36" s="594"/>
      <c r="G36" s="594"/>
      <c r="H36" s="594"/>
      <c r="I36" s="594"/>
      <c r="J36" s="594"/>
      <c r="K36" s="594"/>
      <c r="L36" s="595"/>
      <c r="M36" s="595">
        <f>SUMIF($Z$28:$Z$32,"landbouw",M28:M32)</f>
        <v>2066.6999999999998</v>
      </c>
      <c r="N36" s="595">
        <f>SUMIF($Z$28:$Z$32,"landbouw",N28:N32)</f>
        <v>9300.15</v>
      </c>
      <c r="O36" s="595">
        <f>SUMIF($Z$28:$Z$32,"landbouw",O28:O32)</f>
        <v>13285.928571428571</v>
      </c>
      <c r="P36" s="595">
        <f>SUMIF($Z$28:$Z$32,"landbouw",P28:P32)</f>
        <v>26447.142857142859</v>
      </c>
      <c r="Q36" s="595">
        <f>SUMIF($Z$28:$Z$32,"landbouw",Q28:Q32)</f>
        <v>124.71428571428569</v>
      </c>
      <c r="R36" s="595">
        <f>SUMIF($Z$28:$Z$32,"landbouw",R28:R32)</f>
        <v>0</v>
      </c>
      <c r="S36" s="595">
        <f>SUMIF($Z$28:$Z$32,"landbouw",S28:S32)</f>
        <v>0</v>
      </c>
      <c r="T36" s="595">
        <f>SUMIF($Z$28:$Z$32,"landbouw",T28:T32)</f>
        <v>0</v>
      </c>
      <c r="U36" s="595">
        <f>SUMIF($Z$28:$Z$32,"landbouw",U28:U32)</f>
        <v>0</v>
      </c>
      <c r="V36" s="595">
        <f>SUMIF($Z$28:$Z$32,"landbouw",V28:V32)</f>
        <v>0</v>
      </c>
      <c r="W36" s="595">
        <f>SUMIF($Z$28:$Z$32,"landbouw",W28:W32)</f>
        <v>0</v>
      </c>
      <c r="X36" s="596"/>
      <c r="Y36" s="596"/>
      <c r="Z36" s="597"/>
    </row>
    <row r="37" spans="1:27" s="527" customFormat="1" ht="15.75" thickBot="1">
      <c r="A37" s="598"/>
      <c r="B37" s="599"/>
      <c r="C37" s="599"/>
      <c r="D37" s="599"/>
      <c r="E37" s="599"/>
      <c r="F37" s="599"/>
      <c r="G37" s="599"/>
      <c r="H37" s="599"/>
      <c r="I37" s="599"/>
      <c r="J37" s="599"/>
      <c r="K37" s="599"/>
      <c r="L37" s="582"/>
      <c r="M37" s="582"/>
      <c r="N37" s="582"/>
      <c r="O37" s="583"/>
      <c r="P37" s="583"/>
    </row>
    <row r="38" spans="1:27" s="527" customFormat="1" ht="45">
      <c r="A38" s="600" t="s">
        <v>269</v>
      </c>
      <c r="B38" s="629" t="s">
        <v>89</v>
      </c>
      <c r="C38" s="629" t="s">
        <v>90</v>
      </c>
      <c r="D38" s="629"/>
      <c r="E38" s="629"/>
      <c r="F38" s="629"/>
      <c r="G38" s="629" t="s">
        <v>91</v>
      </c>
      <c r="H38" s="629" t="s">
        <v>92</v>
      </c>
      <c r="I38" s="629"/>
      <c r="J38" s="629"/>
      <c r="K38" s="629"/>
      <c r="L38" s="629" t="s">
        <v>93</v>
      </c>
      <c r="M38" s="630" t="s">
        <v>286</v>
      </c>
      <c r="N38" s="630" t="s">
        <v>94</v>
      </c>
      <c r="O38" s="630" t="s">
        <v>95</v>
      </c>
      <c r="P38" s="630" t="s">
        <v>511</v>
      </c>
      <c r="Q38" s="630" t="s">
        <v>96</v>
      </c>
      <c r="R38" s="630" t="s">
        <v>97</v>
      </c>
      <c r="S38" s="630" t="s">
        <v>98</v>
      </c>
      <c r="T38" s="630" t="s">
        <v>99</v>
      </c>
      <c r="U38" s="630" t="s">
        <v>100</v>
      </c>
      <c r="V38" s="630" t="s">
        <v>101</v>
      </c>
      <c r="W38" s="629" t="s">
        <v>102</v>
      </c>
      <c r="X38" s="629" t="s">
        <v>287</v>
      </c>
      <c r="Y38" s="629" t="s">
        <v>103</v>
      </c>
      <c r="Z38" s="631" t="s">
        <v>288</v>
      </c>
    </row>
    <row r="39" spans="1:27" s="601" customFormat="1" ht="12.75" hidden="1">
      <c r="A39" s="587"/>
      <c r="B39" s="783"/>
      <c r="C39" s="783"/>
      <c r="D39" s="635"/>
      <c r="E39" s="635"/>
      <c r="F39" s="635"/>
      <c r="G39" s="635"/>
      <c r="H39" s="635"/>
      <c r="I39" s="635"/>
      <c r="J39" s="782"/>
      <c r="K39" s="782"/>
      <c r="L39" s="635"/>
      <c r="M39" s="635"/>
      <c r="N39" s="635"/>
      <c r="O39" s="635"/>
      <c r="P39" s="635"/>
      <c r="Q39" s="635"/>
      <c r="R39" s="635"/>
      <c r="S39" s="635"/>
      <c r="T39" s="635"/>
      <c r="U39" s="635"/>
      <c r="V39" s="635"/>
      <c r="W39" s="635"/>
      <c r="X39" s="635"/>
      <c r="Y39" s="635"/>
      <c r="Z39" s="636"/>
    </row>
    <row r="40" spans="1:27" s="566" customFormat="1" hidden="1">
      <c r="A40" s="588" t="s">
        <v>268</v>
      </c>
      <c r="B40" s="589"/>
      <c r="C40" s="589"/>
      <c r="D40" s="589"/>
      <c r="E40" s="589"/>
      <c r="F40" s="589"/>
      <c r="G40" s="589"/>
      <c r="H40" s="589"/>
      <c r="I40" s="589"/>
      <c r="J40" s="589"/>
      <c r="K40" s="589"/>
      <c r="L40" s="590"/>
      <c r="M40" s="590">
        <f>SUM(M39:M39)</f>
        <v>0</v>
      </c>
      <c r="N40" s="590">
        <f>SUM(N39:N39)</f>
        <v>0</v>
      </c>
      <c r="O40" s="590">
        <f>SUM(O39:O39)</f>
        <v>0</v>
      </c>
      <c r="P40" s="590">
        <f>SUM(P39:P39)</f>
        <v>0</v>
      </c>
      <c r="Q40" s="590">
        <f>SUM(Q39:Q39)</f>
        <v>0</v>
      </c>
      <c r="R40" s="590">
        <f>SUM(R39:R39)</f>
        <v>0</v>
      </c>
      <c r="S40" s="590">
        <f>SUM(S39:S39)</f>
        <v>0</v>
      </c>
      <c r="T40" s="590">
        <f>SUM(T39:T39)</f>
        <v>0</v>
      </c>
      <c r="U40" s="590">
        <f>SUM(U39:U39)</f>
        <v>0</v>
      </c>
      <c r="V40" s="590">
        <f>SUM(V39:V39)</f>
        <v>0</v>
      </c>
      <c r="W40" s="590">
        <f>SUM(W39:W39)</f>
        <v>0</v>
      </c>
      <c r="X40" s="591"/>
      <c r="Y40" s="591"/>
      <c r="Z40" s="592"/>
    </row>
    <row r="41" spans="1:27" s="566" customFormat="1">
      <c r="A41" s="588" t="s">
        <v>275</v>
      </c>
      <c r="B41" s="589"/>
      <c r="C41" s="589"/>
      <c r="D41" s="589"/>
      <c r="E41" s="589"/>
      <c r="F41" s="589"/>
      <c r="G41" s="589"/>
      <c r="H41" s="589"/>
      <c r="I41" s="589"/>
      <c r="J41" s="589"/>
      <c r="K41" s="589"/>
      <c r="L41" s="590"/>
      <c r="M41" s="590">
        <f>SUMIF($Z$39:$Z$39,"industrie",M39:M39)</f>
        <v>0</v>
      </c>
      <c r="N41" s="590">
        <f>SUMIF($Z$39:$Z$39,"industrie",N39:N39)</f>
        <v>0</v>
      </c>
      <c r="O41" s="590">
        <f>SUMIF($Z$39:$Z$39,"industrie",O39:O39)</f>
        <v>0</v>
      </c>
      <c r="P41" s="590">
        <f>SUMIF($Z$39:$Z$39,"industrie",P39:P39)</f>
        <v>0</v>
      </c>
      <c r="Q41" s="590">
        <f>SUMIF($Z$39:$Z$39,"industrie",Q39:Q39)</f>
        <v>0</v>
      </c>
      <c r="R41" s="590">
        <f>SUMIF($Z$39:$Z$39,"industrie",R39:R39)</f>
        <v>0</v>
      </c>
      <c r="S41" s="590">
        <f>SUMIF($Z$39:$Z$39,"industrie",S39:S39)</f>
        <v>0</v>
      </c>
      <c r="T41" s="590">
        <f>SUMIF($Z$39:$Z$39,"industrie",T39:T39)</f>
        <v>0</v>
      </c>
      <c r="U41" s="590">
        <f>SUMIF($Z$39:$Z$39,"industrie",U39:U39)</f>
        <v>0</v>
      </c>
      <c r="V41" s="590">
        <f>SUMIF($Z$39:$Z$39,"industrie",V39:V39)</f>
        <v>0</v>
      </c>
      <c r="W41" s="590">
        <f>SUMIF($Z$39:$Z$39,"industrie",W39:W39)</f>
        <v>0</v>
      </c>
      <c r="X41" s="591"/>
      <c r="Y41" s="591"/>
      <c r="Z41" s="592"/>
    </row>
    <row r="42" spans="1:27" s="566" customFormat="1">
      <c r="A42" s="588" t="s">
        <v>276</v>
      </c>
      <c r="B42" s="589"/>
      <c r="C42" s="589"/>
      <c r="D42" s="589"/>
      <c r="E42" s="589"/>
      <c r="F42" s="589"/>
      <c r="G42" s="589"/>
      <c r="H42" s="589"/>
      <c r="I42" s="589"/>
      <c r="J42" s="589"/>
      <c r="K42" s="589"/>
      <c r="L42" s="590"/>
      <c r="M42" s="590">
        <f>SUMIF($Z$39:$Z$40,"tertiair",M39:M40)</f>
        <v>0</v>
      </c>
      <c r="N42" s="590">
        <f>SUMIF($Z$39:$Z$40,"tertiair",N39:N40)</f>
        <v>0</v>
      </c>
      <c r="O42" s="590">
        <f>SUMIF($Z$39:$Z$40,"tertiair",O39:O40)</f>
        <v>0</v>
      </c>
      <c r="P42" s="590">
        <f>SUMIF($Z$39:$Z$40,"tertiair",P39:P40)</f>
        <v>0</v>
      </c>
      <c r="Q42" s="590">
        <f>SUMIF($Z$39:$Z$40,"tertiair",Q39:Q40)</f>
        <v>0</v>
      </c>
      <c r="R42" s="590">
        <f>SUMIF($Z$39:$Z$40,"tertiair",R39:R40)</f>
        <v>0</v>
      </c>
      <c r="S42" s="590">
        <f>SUMIF($Z$39:$Z$40,"tertiair",S39:S40)</f>
        <v>0</v>
      </c>
      <c r="T42" s="590">
        <f>SUMIF($Z$39:$Z$40,"tertiair",T39:T40)</f>
        <v>0</v>
      </c>
      <c r="U42" s="590">
        <f>SUMIF($Z$39:$Z$40,"tertiair",U39:U40)</f>
        <v>0</v>
      </c>
      <c r="V42" s="590">
        <f>SUMIF($Z$39:$Z$40,"tertiair",V39:V40)</f>
        <v>0</v>
      </c>
      <c r="W42" s="590">
        <f>SUMIF($Z$39:$Z$40,"tertiair",W39:W40)</f>
        <v>0</v>
      </c>
      <c r="X42" s="591"/>
      <c r="Y42" s="591"/>
      <c r="Z42" s="592"/>
    </row>
    <row r="43" spans="1:27" s="566" customFormat="1" ht="15.75" thickBot="1">
      <c r="A43" s="593" t="s">
        <v>277</v>
      </c>
      <c r="B43" s="594"/>
      <c r="C43" s="594"/>
      <c r="D43" s="594"/>
      <c r="E43" s="594"/>
      <c r="F43" s="594"/>
      <c r="G43" s="594"/>
      <c r="H43" s="594"/>
      <c r="I43" s="594"/>
      <c r="J43" s="594"/>
      <c r="K43" s="594"/>
      <c r="L43" s="595"/>
      <c r="M43" s="595">
        <f>SUMIF($Z$39:$Z$41,"landbouw",M39:M41)</f>
        <v>0</v>
      </c>
      <c r="N43" s="595">
        <f>SUMIF($Z$39:$Z$41,"landbouw",N39:N41)</f>
        <v>0</v>
      </c>
      <c r="O43" s="595">
        <f>SUMIF($Z$39:$Z$41,"landbouw",O39:O41)</f>
        <v>0</v>
      </c>
      <c r="P43" s="595">
        <f>SUMIF($Z$39:$Z$41,"landbouw",P39:P41)</f>
        <v>0</v>
      </c>
      <c r="Q43" s="595">
        <f>SUMIF($Z$39:$Z$41,"landbouw",Q39:Q41)</f>
        <v>0</v>
      </c>
      <c r="R43" s="595">
        <f>SUMIF($Z$39:$Z$41,"landbouw",R39:R41)</f>
        <v>0</v>
      </c>
      <c r="S43" s="595">
        <f>SUMIF($Z$39:$Z$41,"landbouw",S39:S41)</f>
        <v>0</v>
      </c>
      <c r="T43" s="595">
        <f>SUMIF($Z$39:$Z$41,"landbouw",T39:T41)</f>
        <v>0</v>
      </c>
      <c r="U43" s="595">
        <f>SUMIF($Z$39:$Z$41,"landbouw",U39:U41)</f>
        <v>0</v>
      </c>
      <c r="V43" s="595">
        <f>SUMIF($Z$39:$Z$41,"landbouw",V39:V41)</f>
        <v>0</v>
      </c>
      <c r="W43" s="595">
        <f>SUMIF($Z$39:$Z$41,"landbouw",W39:W41)</f>
        <v>0</v>
      </c>
      <c r="X43" s="596"/>
      <c r="Y43" s="596"/>
      <c r="Z43" s="597"/>
    </row>
    <row r="44" spans="1:27" s="602" customForma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7" s="602" customFormat="1" ht="15.75" thickBot="1">
      <c r="A45" s="598"/>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row>
    <row r="46" spans="1:27">
      <c r="A46" s="603" t="s">
        <v>270</v>
      </c>
      <c r="B46" s="604"/>
      <c r="C46" s="604"/>
      <c r="D46" s="604"/>
      <c r="E46" s="604"/>
      <c r="F46" s="604"/>
      <c r="G46" s="604"/>
      <c r="H46" s="604"/>
      <c r="I46" s="605"/>
      <c r="J46" s="606"/>
      <c r="K46" s="606"/>
      <c r="L46" s="607"/>
      <c r="M46" s="607"/>
      <c r="N46" s="607"/>
      <c r="O46" s="607"/>
      <c r="P46" s="607"/>
    </row>
    <row r="47" spans="1:27">
      <c r="A47" s="609"/>
      <c r="B47" s="599"/>
      <c r="C47" s="599"/>
      <c r="D47" s="599"/>
      <c r="E47" s="599"/>
      <c r="F47" s="599"/>
      <c r="G47" s="599"/>
      <c r="H47" s="599"/>
      <c r="I47" s="610"/>
      <c r="J47" s="599"/>
      <c r="K47" s="599"/>
      <c r="L47" s="607"/>
      <c r="M47" s="607"/>
      <c r="N47" s="607"/>
      <c r="O47" s="607"/>
      <c r="P47" s="607"/>
    </row>
    <row r="48" spans="1:27">
      <c r="A48" s="611"/>
      <c r="B48" s="612" t="s">
        <v>271</v>
      </c>
      <c r="C48" s="612" t="s">
        <v>272</v>
      </c>
      <c r="D48" s="612"/>
      <c r="E48" s="612"/>
      <c r="F48" s="612"/>
      <c r="G48" s="612"/>
      <c r="H48" s="612"/>
      <c r="I48" s="613"/>
      <c r="J48" s="612"/>
      <c r="K48" s="612"/>
      <c r="L48" s="612"/>
      <c r="M48" s="612"/>
      <c r="N48" s="612"/>
      <c r="O48" s="612"/>
      <c r="P48" s="607"/>
    </row>
    <row r="49" spans="1:16">
      <c r="A49" s="609" t="s">
        <v>268</v>
      </c>
      <c r="B49" s="614">
        <f>IF(ISERROR(O33/(O33+N33)),0,O33/(O33+N33))</f>
        <v>0.58823529411764708</v>
      </c>
      <c r="C49" s="615">
        <f>IF(ISERROR(N33/(O33+N33)),0,N33/(N33+O33))</f>
        <v>0.41176470588235292</v>
      </c>
      <c r="D49" s="582"/>
      <c r="E49" s="582"/>
      <c r="F49" s="582"/>
      <c r="G49" s="582"/>
      <c r="H49" s="582"/>
      <c r="I49" s="616"/>
      <c r="J49" s="582"/>
      <c r="K49" s="582"/>
      <c r="L49" s="617"/>
      <c r="M49" s="617"/>
      <c r="N49" s="617"/>
      <c r="O49" s="617"/>
      <c r="P49" s="607"/>
    </row>
    <row r="50" spans="1:16">
      <c r="A50" s="609"/>
      <c r="B50" s="618"/>
      <c r="C50" s="618"/>
      <c r="D50" s="618"/>
      <c r="E50" s="618"/>
      <c r="F50" s="618"/>
      <c r="G50" s="618"/>
      <c r="H50" s="618"/>
      <c r="I50" s="619"/>
      <c r="J50" s="618"/>
      <c r="K50" s="618"/>
      <c r="L50" s="620"/>
      <c r="M50" s="620"/>
      <c r="N50" s="620"/>
      <c r="O50" s="620"/>
      <c r="P50" s="607"/>
    </row>
    <row r="51" spans="1:16" ht="30">
      <c r="A51" s="621"/>
      <c r="B51" s="622" t="s">
        <v>511</v>
      </c>
      <c r="C51" s="622" t="s">
        <v>96</v>
      </c>
      <c r="D51" s="622" t="s">
        <v>97</v>
      </c>
      <c r="E51" s="622" t="s">
        <v>98</v>
      </c>
      <c r="F51" s="622" t="s">
        <v>99</v>
      </c>
      <c r="G51" s="622" t="s">
        <v>100</v>
      </c>
      <c r="H51" s="622" t="s">
        <v>101</v>
      </c>
      <c r="I51" s="623" t="s">
        <v>102</v>
      </c>
      <c r="J51" s="612"/>
      <c r="K51" s="612"/>
      <c r="L51" s="620"/>
      <c r="M51" s="620"/>
      <c r="N51" s="620"/>
      <c r="O51" s="607"/>
      <c r="P51" s="607"/>
    </row>
    <row r="52" spans="1:16">
      <c r="A52" s="611" t="s">
        <v>273</v>
      </c>
      <c r="B52" s="624">
        <f t="shared" ref="B52:I52" si="2">$C$49*P33</f>
        <v>11048.823529411766</v>
      </c>
      <c r="C52" s="624">
        <f t="shared" si="2"/>
        <v>51.35294117647058</v>
      </c>
      <c r="D52" s="624">
        <f t="shared" si="2"/>
        <v>0</v>
      </c>
      <c r="E52" s="624">
        <f t="shared" si="2"/>
        <v>0</v>
      </c>
      <c r="F52" s="624">
        <f t="shared" si="2"/>
        <v>0</v>
      </c>
      <c r="G52" s="624">
        <f t="shared" si="2"/>
        <v>0</v>
      </c>
      <c r="H52" s="624">
        <f t="shared" si="2"/>
        <v>0</v>
      </c>
      <c r="I52" s="625">
        <f t="shared" si="2"/>
        <v>0</v>
      </c>
      <c r="J52" s="582"/>
      <c r="K52" s="582"/>
      <c r="L52" s="620"/>
      <c r="M52" s="620"/>
      <c r="N52" s="620"/>
      <c r="O52" s="607"/>
      <c r="P52" s="607"/>
    </row>
    <row r="53" spans="1:16" ht="15.75" thickBot="1">
      <c r="A53" s="626" t="s">
        <v>274</v>
      </c>
      <c r="B53" s="627">
        <f t="shared" ref="B53:I53" si="3">$B$49*P33</f>
        <v>15784.033613445379</v>
      </c>
      <c r="C53" s="627">
        <f t="shared" si="3"/>
        <v>73.361344537815114</v>
      </c>
      <c r="D53" s="627">
        <f t="shared" si="3"/>
        <v>0</v>
      </c>
      <c r="E53" s="627">
        <f t="shared" si="3"/>
        <v>0</v>
      </c>
      <c r="F53" s="627">
        <f t="shared" si="3"/>
        <v>0</v>
      </c>
      <c r="G53" s="627">
        <f t="shared" si="3"/>
        <v>0</v>
      </c>
      <c r="H53" s="627">
        <f t="shared" si="3"/>
        <v>0</v>
      </c>
      <c r="I53" s="628">
        <f t="shared" si="3"/>
        <v>0</v>
      </c>
      <c r="J53" s="582"/>
      <c r="K53" s="582"/>
      <c r="L53" s="620"/>
      <c r="M53" s="620"/>
      <c r="N53" s="620"/>
      <c r="O53" s="607"/>
      <c r="P53" s="607"/>
    </row>
    <row r="54" spans="1:16">
      <c r="J54" s="562"/>
      <c r="K54" s="562"/>
      <c r="L54" s="562"/>
      <c r="M54" s="562"/>
      <c r="N54" s="562"/>
    </row>
    <row r="55" spans="1:16">
      <c r="J55" s="562"/>
      <c r="K55" s="562"/>
      <c r="L55" s="562"/>
      <c r="M55" s="562"/>
      <c r="N55"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2021-11-11T12:41:49Z</dcterms:modified>
</cp:coreProperties>
</file>