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96531AE-0144-4FEB-8B0D-E9A77DCA421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<sst xmlns="http://schemas.openxmlformats.org/spreadsheetml/2006/main" count="2492" uniqueCount="903">
  <si>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</si>
  <si>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</si>
  <si>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</si>
  <si>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</si>
  <si>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</si>
  <si>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</si>
  <si>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</si>
  <si>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</si>
  <si>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</si>
  <si>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</si>
  <si>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</si>
  <si>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</si>
  <si>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</si>
  <si>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</si>
  <si>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</si>
  <si>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</si>
  <si>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</si>
  <si>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</si>
  <si>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</si>
  <si>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</si>
  <si>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</si>
  <si>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</si>
  <si>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</si>
  <si>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</si>
  <si>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</si>
  <si>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</si>
  <si>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</si>
  <si>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</si>
  <si>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</si>
  <si>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</si>
  <si>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</si>
  <si>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</si>
  <si>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</si>
  <si>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</si>
  <si>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</si>
  <si>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</si>
  <si>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</si>
  <si>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</si>
  <si>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</si>
  <si>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</si>
  <si>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</si>
  <si>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</si>
  <si>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</si>
  <si>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</si>
  <si>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</si>
  <si>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</si>
  <si>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</si>
  <si>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</si>
  <si>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</si>
  <si>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</si>
  <si>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</si>
  <si>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</si>
  <si>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</si>
  <si>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</si>
  <si>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</si>
  <si>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</si>
  <si>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</si>
  <si>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</si>
  <si>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</si>
  <si>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</si>
  <si>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</si>
  <si>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</si>
  <si>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</si>
  <si>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</si>
  <si>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</si>
  <si>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</si>
  <si>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</si>
  <si>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</si>
  <si>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</si>
  <si>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</si>
  <si>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</si>
  <si>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</si>
  <si>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</si>
  <si>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</si>
  <si>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</si>
  <si>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</si>
  <si>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</si>
  <si>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</si>
  <si>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</si>
  <si>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</si>
  <si>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</si>
  <si>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</si>
  <si>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</si>
  <si>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</si>
  <si>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</si>
  <si>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</si>
  <si>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</si>
  <si>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</si>
  <si>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</si>
  <si>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</si>
  <si>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</si>
  <si>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</si>
  <si>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</si>
  <si>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</si>
  <si>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</si>
  <si>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</si>
  <si>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</si>
  <si>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</si>
  <si>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</si>
  <si>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</si>
  <si>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</si>
  <si>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</si>
  <si>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</si>
  <si>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</si>
  <si>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</si>
  <si>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</si>
  <si>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</si>
  <si>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</si>
  <si>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</si>
  <si>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</si>
  <si>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</si>
  <si>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</si>
  <si>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</si>
  <si>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</si>
  <si>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</si>
  <si>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</si>
  <si>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</si>
  <si>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</si>
  <si>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</si>
  <si>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</si>
  <si>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</si>
  <si>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</si>
  <si>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</si>
  <si>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</si>
  <si>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</si>
  <si>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</si>
  <si>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</si>
  <si>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</si>
  <si>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</si>
  <si>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</si>
  <si>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</si>
  <si>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</si>
  <si>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</si>
  <si>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</si>
  <si>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</si>
  <si>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</si>
  <si>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</si>
  <si>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</si>
  <si>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</si>
  <si>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</si>
  <si>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</si>
  <si>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</si>
  <si>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</si>
  <si>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</si>
  <si>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</si>
  <si>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</si>
  <si>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</si>
  <si>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</si>
  <si>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</si>
  <si>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</si>
  <si>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</si>
  <si>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</si>
  <si>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</si>
  <si>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</si>
  <si>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</si>
  <si>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</si>
  <si>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</si>
  <si>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</si>
  <si>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</si>
  <si>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</si>
  <si>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</si>
  <si>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</si>
  <si>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</si>
  <si>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</si>
  <si>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</si>
  <si>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</si>
  <si>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</si>
  <si>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</si>
  <si>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</si>
  <si>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</si>
  <si>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</si>
  <si>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</si>
  <si>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</si>
  <si>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</si>
  <si>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</si>
  <si>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</si>
  <si>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</si>
  <si>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</si>
  <si>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</si>
  <si>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</si>
  <si>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</si>
  <si>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</si>
  <si>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</si>
  <si>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</si>
  <si>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</si>
  <si>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</si>
  <si>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</si>
  <si>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</si>
  <si>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</si>
  <si>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</si>
  <si>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</si>
  <si>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</si>
  <si>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</si>
  <si>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</si>
  <si>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</si>
  <si>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</si>
  <si>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</si>
  <si>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</si>
  <si>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</si>
  <si>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</si>
  <si>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</si>
  <si>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</si>
  <si>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</si>
  <si>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</si>
  <si>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</si>
  <si>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</si>
  <si>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</si>
  <si>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</si>
  <si>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</si>
  <si>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</si>
  <si>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</si>
  <si>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</si>
  <si>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</si>
  <si>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</si>
  <si>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</si>
  <si>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</si>
  <si>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</si>
  <si>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</si>
  <si>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</si>
  <si>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</si>
  <si>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</si>
  <si>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</si>
  <si>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</si>
  <si>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</si>
  <si>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</si>
  <si>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</si>
  <si>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</si>
  <si>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</si>
  <si>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</si>
  <si>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</si>
  <si>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</si>
  <si>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</si>
  <si>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</si>
  <si>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</si>
  <si>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</si>
  <si>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</si>
  <si>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</si>
  <si>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</si>
  <si>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</si>
  <si>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</si>
  <si>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</si>
  <si>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</si>
  <si>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</si>
  <si>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</si>
  <si>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</si>
  <si>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</si>
  <si>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</si>
  <si>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</si>
  <si>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</si>
  <si>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</si>
  <si>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</si>
  <si>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</si>
  <si>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</si>
  <si>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</si>
  <si>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</si>
  <si>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</si>
  <si>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</si>
  <si>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</si>
  <si>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</si>
  <si>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</si>
  <si>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</si>
  <si>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</si>
  <si>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</si>
  <si>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</si>
  <si>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</si>
  <si>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</si>
  <si>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</si>
  <si>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</si>
  <si>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</si>
  <si>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</si>
  <si>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</si>
  <si>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</si>
  <si>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</si>
  <si>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</si>
  <si>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</si>
  <si>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</si>
  <si>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</si>
  <si>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</si>
  <si>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</si>
  <si>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</si>
  <si>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</si>
  <si>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</si>
  <si>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</si>
  <si>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</si>
  <si>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</si>
  <si>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</si>
  <si>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</si>
  <si>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</si>
  <si>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</si>
  <si>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</si>
  <si>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</si>
  <si>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</si>
  <si>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</si>
  <si>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</si>
  <si>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</si>
  <si>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</si>
  <si>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</si>
  <si>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</si>
  <si>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</si>
  <si>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</si>
  <si>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</si>
  <si>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</si>
  <si>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</si>
  <si>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</si>
  <si>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</si>
  <si>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</si>
  <si>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</si>
  <si>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</si>
  <si>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</si>
  <si>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</si>
  <si>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</si>
  <si>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</si>
  <si>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</si>
  <si>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</si>
  <si>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</si>
  <si>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</si>
  <si>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</si>
  <si>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</si>
  <si>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</si>
  <si>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</si>
  <si>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</si>
  <si>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</si>
  <si>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</si>
  <si>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</si>
  <si>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</si>
  <si>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</si>
  <si>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</si>
  <si>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</si>
  <si>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</si>
  <si>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</si>
  <si>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</si>
  <si>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</si>
  <si>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</si>
  <si>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</si>
  <si>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</si>
  <si>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</si>
  <si>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</si>
  <si>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</si>
  <si>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</si>
  <si>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</si>
  <si>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</si>
  <si>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</si>
  <si>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</si>
  <si>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</si>
  <si>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</si>
  <si>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</si>
  <si>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</si>
  <si>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</si>
  <si>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</si>
  <si>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</si>
  <si>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</si>
  <si>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</si>
  <si>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</si>
  <si>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</si>
  <si>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</si>
  <si>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</si>
  <si>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</si>
  <si>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</si>
  <si>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</si>
  <si>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</si>
  <si>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</si>
  <si>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</si>
  <si>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</si>
  <si>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</si>
  <si>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</si>
  <si>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</si>
  <si>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</si>
  <si>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</si>
  <si>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</si>
  <si>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</si>
  <si>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</si>
  <si>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</si>
  <si>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</si>
  <si>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</si>
  <si>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</si>
  <si>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</si>
  <si>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</si>
  <si>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</si>
  <si>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</si>
  <si>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</si>
  <si>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</si>
  <si>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</si>
  <si>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</si>
  <si>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</si>
  <si>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</si>
  <si>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</si>
  <si>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</si>
  <si>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</si>
  <si>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</si>
  <si>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</si>
  <si>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</si>
  <si>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</si>
  <si>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</si>
  <si>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</si>
  <si>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</si>
  <si>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</si>
  <si>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</si>
  <si>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</si>
  <si>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</si>
  <si>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</si>
  <si>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</si>
  <si>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</si>
  <si>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</si>
  <si>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</si>
  <si>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</si>
  <si>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</si>
  <si>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</si>
  <si>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</si>
  <si>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</si>
  <si>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</si>
  <si>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</si>
  <si>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</si>
  <si>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</si>
  <si>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</si>
  <si>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</si>
  <si>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</si>
  <si>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</si>
  <si>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</si>
  <si>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</si>
  <si>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</si>
  <si>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</si>
  <si>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</si>
  <si>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</si>
  <si>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</si>
  <si>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</si>
  <si>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</si>
  <si>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</si>
  <si>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</si>
  <si>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</si>
  <si>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</si>
  <si>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</si>
  <si>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</si>
  <si>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</si>
  <si>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</si>
  <si>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</si>
  <si>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</si>
  <si>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</si>
  <si>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</si>
  <si>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</si>
  <si>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</si>
  <si>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</si>
  <si>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</si>
  <si>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</si>
  <si>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</si>
  <si>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</si>
  <si>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</si>
  <si>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</si>
  <si>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</si>
  <si>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</si>
  <si>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</si>
  <si>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</si>
  <si>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</si>
  <si>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</si>
  <si>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</si>
  <si>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</si>
  <si>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</si>
  <si>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</si>
  <si>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</si>
  <si>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</si>
  <si>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</si>
  <si>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</si>
  <si>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</si>
  <si>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</si>
  <si>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</si>
  <si>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</si>
  <si>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</si>
  <si>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</si>
  <si>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</si>
  <si>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</si>
  <si>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</si>
  <si>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</si>
  <si>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</si>
  <si>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</si>
  <si>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</si>
  <si>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</si>
  <si>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</si>
  <si>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</si>
  <si>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</si>
  <si>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</si>
  <si>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</si>
  <si>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</si>
  <si>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</si>
  <si>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</si>
  <si>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</si>
  <si>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</si>
  <si>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</si>
  <si>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</si>
  <si>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</si>
  <si>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</si>
  <si>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</si>
  <si>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</si>
  <si>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</si>
  <si>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</si>
  <si>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</si>
  <si>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</si>
  <si>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</si>
  <si>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</si>
  <si>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</si>
  <si>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</si>
  <si>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</si>
  <si>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</si>
  <si>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</si>
  <si>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</si>
  <si>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</si>
  <si>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</si>
  <si>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</si>
  <si>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</si>
  <si>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</si>
  <si>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</si>
  <si>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</si>
  <si>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</si>
  <si>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</si>
  <si>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</si>
  <si>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</si>
  <si>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</si>
  <si>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</si>
  <si>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</si>
  <si>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</si>
  <si>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</si>
  <si>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</si>
  <si>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</si>
  <si>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</si>
  <si>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</si>
  <si>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</si>
  <si>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</si>
  <si>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</si>
  <si>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</si>
  <si>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</si>
  <si>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</si>
  <si>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</si>
  <si>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</si>
  <si>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</si>
  <si>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</si>
  <si>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</si>
  <si>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</si>
  <si>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</si>
  <si>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</si>
  <si>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</si>
  <si>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</si>
  <si>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</si>
  <si>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</si>
  <si>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</si>
  <si>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</si>
  <si>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</si>
  <si>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</si>
  <si>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</si>
  <si>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</si>
  <si>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</si>
  <si>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</si>
  <si>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</si>
  <si>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</si>
  <si>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</si>
  <si>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</si>
  <si>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</si>
  <si>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</si>
  <si>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</si>
  <si>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</si>
  <si>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</si>
  <si>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</si>
  <si>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</si>
  <si>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</si>
  <si>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</si>
  <si>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</si>
  <si>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</si>
  <si>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</si>
  <si>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</si>
  <si>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</si>
  <si>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</si>
  <si>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</si>
  <si>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</si>
  <si>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</si>
  <si>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</si>
  <si>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</si>
  <si>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</si>
  <si>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</si>
  <si>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</si>
  <si>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</si>
  <si>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</si>
  <si>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</si>
  <si>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</si>
  <si>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</si>
  <si>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</si>
  <si>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</si>
  <si>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</si>
  <si>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</si>
  <si>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</si>
  <si>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</si>
  <si>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</si>
  <si>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</si>
  <si>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</si>
  <si>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</si>
  <si>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</si>
  <si>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</si>
  <si>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</si>
  <si>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</si>
  <si>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</si>
  <si>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</si>
  <si>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</si>
  <si>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</si>
  <si>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</si>
  <si>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</si>
  <si>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</si>
  <si>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</si>
  <si>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</si>
  <si>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</si>
  <si>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</si>
  <si>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</si>
  <si>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</si>
  <si>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</si>
  <si>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</si>
  <si>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</si>
  <si>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</si>
  <si>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</si>
  <si>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</si>
  <si>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</si>
  <si>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</si>
  <si>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</si>
  <si>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</si>
  <si>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</si>
  <si>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</si>
  <si>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</si>
  <si>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</si>
  <si>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</si>
  <si>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</si>
  <si>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</si>
  <si>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</si>
  <si>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</si>
  <si>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</si>
  <si>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</si>
  <si>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</si>
  <si>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</si>
  <si>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</si>
  <si>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</si>
  <si>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</si>
  <si>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</si>
  <si>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</si>
  <si>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</si>
  <si>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</si>
  <si>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</si>
  <si>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</si>
  <si>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</si>
  <si>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</si>
  <si>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</si>
  <si>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</si>
  <si>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</si>
  <si>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</si>
  <si>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</si>
  <si>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</si>
  <si>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</si>
  <si>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</si>
  <si>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</si>
  <si>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</si>
  <si>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</si>
  <si>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</si>
  <si>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</si>
  <si>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</si>
  <si>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</si>
  <si>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</si>
  <si>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</si>
  <si>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</si>
  <si>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</si>
  <si>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</si>
  <si>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</si>
  <si>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</si>
  <si>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</si>
  <si>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</si>
  <si>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</si>
  <si>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</si>
  <si>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</si>
  <si>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</si>
  <si>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</si>
  <si>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</si>
  <si>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</si>
  <si>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</si>
  <si>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</si>
  <si>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</si>
  <si>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</si>
  <si>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</si>
  <si>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</si>
  <si>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</si>
  <si>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</si>
  <si>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</si>
  <si>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</si>
  <si>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</si>
  <si>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</si>
  <si>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</si>
  <si>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</si>
  <si>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</si>
  <si>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</si>
  <si>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</si>
  <si>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</si>
  <si>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</si>
  <si>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</si>
  <si>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</si>
  <si>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</si>
  <si>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</si>
  <si>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</si>
  <si>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</si>
  <si>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</si>
  <si>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</si>
  <si>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</si>
  <si>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</si>
  <si>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</si>
  <si>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</si>
  <si>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</si>
  <si>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</si>
  <si>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</si>
  <si>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</si>
  <si>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</si>
  <si>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</si>
  <si>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</si>
  <si>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</si>
  <si>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</si>
  <si>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</si>
  <si>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</si>
  <si>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</si>
  <si>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</si>
  <si>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</si>
  <si>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</si>
  <si>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</si>
  <si>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</si>
  <si>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</si>
  <si>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</si>
  <si>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</si>
  <si>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</si>
  <si>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</si>
  <si>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</si>
  <si>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</si>
  <si>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</si>
  <si>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</si>
  <si>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</si>
  <si>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</si>
  <si>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</si>
  <si>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</si>
  <si>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</si>
  <si>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</si>
  <si>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</si>
  <si>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</si>
  <si>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</si>
  <si>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</si>
  <si>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</si>
  <si>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</si>
  <si>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</si>
  <si>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</si>
  <si>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</si>
  <si>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</si>
  <si>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</si>
  <si>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</si>
  <si>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</si>
  <si>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</si>
  <si>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</si>
  <si>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</si>
  <si>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</si>
  <si>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</si>
  <si>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</si>
  <si>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</si>
  <si>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</si>
  <si>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</si>
  <si>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</si>
  <si>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</si>
  <si>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</si>
  <si>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</si>
  <si>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</si>
  <si>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</si>
  <si>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</si>
  <si>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</si>
  <si>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</si>
  <si>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</si>
  <si>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</si>
  <si>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</si>
  <si>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</si>
  <si>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</si>
  <si>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</si>
  <si>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</si>
  <si>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</si>
  <si>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</si>
  <si>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</si>
  <si>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</si>
  <si>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</si>
  <si>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</si>
  <si>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</si>
  <si>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</si>
  <si>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</si>
  <si>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</si>
  <si>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</si>
  <si>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</si>
  <si>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</si>
  <si>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</si>
  <si>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</si>
  <si>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</si>
  <si>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</si>
  <si>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</si>
  <si>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</si>
  <si>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</si>
  <si>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</si>
  <si>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</si>
  <si>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</si>
  <si>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</si>
  <si>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</si>
  <si>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</si>
  <si>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</si>
  <si>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</si>
  <si>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</si>
  <si>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</si>
  <si>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</si>
  <si>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</si>
  <si>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</si>
  <si>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</si>
  <si>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</si>
  <si>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</si>
  <si>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</si>
  <si>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</si>
  <si>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</si>
  <si>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</si>
  <si>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</si>
  <si>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</si>
  <si>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</si>
  <si>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</si>
  <si>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</si>
  <si>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</si>
  <si>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</si>
  <si>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</si>
  <si>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</si>
  <si>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</si>
  <si>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</si>
  <si>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</si>
  <si>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</si>
  <si>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</si>
  <si>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</si>
  <si>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</si>
  <si>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</si>
  <si>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</si>
  <si>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</si>
  <si>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</si>
  <si>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</si>
  <si>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</si>
  <si>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</si>
  <si>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</si>
  <si>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</si>
  <si>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</si>
  <si>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</si>
  <si>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</si>
  <si>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</si>
  <si>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</si>
  <si>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</si>
  <si>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</si>
  <si>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</si>
  <si>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</si>
  <si>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</si>
  <si>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</si>
  <si>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</si>
  <si>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</si>
  <si>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</si>
  <si>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</si>
  <si>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</si>
  <si>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</si>
  <si>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</si>
  <si>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</si>
  <si>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</si>
  <si>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</si>
  <si>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</si>
  <si>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</si>
  <si>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</si>
  <si>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</si>
  <si>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</si>
  <si>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</si>
  <si>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</si>
  <si>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</si>
  <si>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</si>
  <si>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</si>
  <si>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</si>
  <si>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</si>
  <si>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</si>
  <si>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</si>
  <si>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</si>
  <si>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</si>
  <si>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</si>
  <si>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</si>
  <si>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</si>
  <si>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</si>
  <si>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</si>
  <si>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</si>
  <si>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</si>
  <si>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</si>
  <si>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</si>
  <si>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</si>
  <si>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</si>
  <si>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</si>
  <si>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</si>
  <si>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</si>
  <si>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</si>
  <si>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</si>
  <si>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</si>
  <si>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</si>
  <si>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</si>
  <si>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</si>
  <si>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</si>
  <si>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44019</t>
  </si>
  <si>
    <t>EVERGEM</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</si>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</sst>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3C74C2E-960B-417C-9E53-117EE53D976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288419.95382977545</c:v>
                </c:pt>
                <c:pt idx="1">
                  <c:v>105471.37053105875</c:v>
                </c:pt>
                <c:pt idx="2">
                  <c:v>2184.605</c:v>
                </c:pt>
                <c:pt idx="3">
                  <c:v>26801.825123560237</c:v>
                </c:pt>
                <c:pt idx="4">
                  <c:v>142580.12977753018</c:v>
                </c:pt>
                <c:pt idx="5">
                  <c:v>168316.2895986744</c:v>
                </c:pt>
                <c:pt idx="6">
                  <c:v>3919.7715287997726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288419.95382977545</c:v>
                </c:pt>
                <c:pt idx="1">
                  <c:v>105471.37053105875</c:v>
                </c:pt>
                <c:pt idx="2">
                  <c:v>2184.605</c:v>
                </c:pt>
                <c:pt idx="3">
                  <c:v>26801.825123560237</c:v>
                </c:pt>
                <c:pt idx="4">
                  <c:v>142580.12977753018</c:v>
                </c:pt>
                <c:pt idx="5">
                  <c:v>168316.2895986744</c:v>
                </c:pt>
                <c:pt idx="6">
                  <c:v>3919.7715287997726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55084.423195828487</c:v>
                </c:pt>
                <c:pt idx="1">
                  <c:v>18018.120923824972</c:v>
                </c:pt>
                <c:pt idx="2">
                  <c:v>293.45149480981513</c:v>
                </c:pt>
                <c:pt idx="3">
                  <c:v>6410.7509495523518</c:v>
                </c:pt>
                <c:pt idx="4">
                  <c:v>24305.438636626586</c:v>
                </c:pt>
                <c:pt idx="5">
                  <c:v>41860.626658273453</c:v>
                </c:pt>
                <c:pt idx="6">
                  <c:v>855.45393732244429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55084.423195828487</c:v>
                </c:pt>
                <c:pt idx="1">
                  <c:v>18018.120923824972</c:v>
                </c:pt>
                <c:pt idx="2">
                  <c:v>293.45149480981513</c:v>
                </c:pt>
                <c:pt idx="3">
                  <c:v>6410.7509495523518</c:v>
                </c:pt>
                <c:pt idx="4">
                  <c:v>24305.438636626586</c:v>
                </c:pt>
                <c:pt idx="5">
                  <c:v>41860.626658273453</c:v>
                </c:pt>
                <c:pt idx="6">
                  <c:v>855.45393732244429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44019</v>
      </c>
      <c r="B6" s="384"/>
      <c r="C6" s="385"/>
    </row>
    <row r="7" spans="1:7" s="382" customFormat="1" ht="15.75" customHeight="1">
      <c r="A7" s="386" t="str">
        <f>txtMunicipality</f>
        <v>EVERGEM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44313.447876000006</v>
      </c>
      <c r="D10" s="679">
        <f ca="1">tertiair!C16</f>
        <v>81</v>
      </c>
      <c r="E10" s="679">
        <f ca="1">tertiair!D16</f>
        <v>54112.326551676</v>
      </c>
      <c r="F10" s="679">
        <f>tertiair!E16</f>
        <v>583.24065317453983</v>
      </c>
      <c r="G10" s="679">
        <f ca="1">tertiair!F16</f>
        <v>4786.6801320241284</v>
      </c>
      <c r="H10" s="679">
        <f>tertiair!G16</f>
        <v>0</v>
      </c>
      <c r="I10" s="679">
        <f>tertiair!H16</f>
        <v>0</v>
      </c>
      <c r="J10" s="679">
        <f>tertiair!I16</f>
        <v>0</v>
      </c>
      <c r="K10" s="679">
        <f>tertiair!J16</f>
        <v>8.9268063742701437E-2</v>
      </c>
      <c r="L10" s="679">
        <f>tertiair!K16</f>
        <v>0</v>
      </c>
      <c r="M10" s="679">
        <f ca="1">tertiair!L16</f>
        <v>0</v>
      </c>
      <c r="N10" s="679">
        <f>tertiair!M16</f>
        <v>0</v>
      </c>
      <c r="O10" s="679">
        <f ca="1">tertiair!N16</f>
        <v>3520.0618892359535</v>
      </c>
      <c r="P10" s="679">
        <f>tertiair!O16</f>
        <v>48.972607658411548</v>
      </c>
      <c r="Q10" s="680">
        <f>tertiair!P16</f>
        <v>210.15655322598008</v>
      </c>
      <c r="R10" s="682">
        <f ca="1">SUM(C10:Q10)</f>
        <v>107655.97553105876</v>
      </c>
      <c r="S10" s="67"/>
    </row>
    <row r="11" spans="1:19" s="442" customFormat="1">
      <c r="A11" s="800" t="s">
        <v>213</v>
      </c>
      <c r="B11" s="805"/>
      <c r="C11" s="679">
        <f>huishoudens!B8</f>
        <v>65484.750552722537</v>
      </c>
      <c r="D11" s="679">
        <f>huishoudens!C8</f>
        <v>0</v>
      </c>
      <c r="E11" s="679">
        <f>huishoudens!D8</f>
        <v>108842.28041469201</v>
      </c>
      <c r="F11" s="679">
        <f>huishoudens!E8</f>
        <v>5336.1595926736682</v>
      </c>
      <c r="G11" s="679">
        <f>huishoudens!F8</f>
        <v>86026.004701207639</v>
      </c>
      <c r="H11" s="679">
        <f>huishoudens!G8</f>
        <v>0</v>
      </c>
      <c r="I11" s="679">
        <f>huishoudens!H8</f>
        <v>0</v>
      </c>
      <c r="J11" s="679">
        <f>huishoudens!I8</f>
        <v>0</v>
      </c>
      <c r="K11" s="679">
        <f>huishoudens!J8</f>
        <v>343.6700960533164</v>
      </c>
      <c r="L11" s="679">
        <f>huishoudens!K8</f>
        <v>0</v>
      </c>
      <c r="M11" s="679">
        <f>huishoudens!L8</f>
        <v>0</v>
      </c>
      <c r="N11" s="679">
        <f>huishoudens!M8</f>
        <v>0</v>
      </c>
      <c r="O11" s="679">
        <f>huishoudens!N8</f>
        <v>20039.582360269364</v>
      </c>
      <c r="P11" s="679">
        <f>huishoudens!O8</f>
        <v>978.09140215780667</v>
      </c>
      <c r="Q11" s="680">
        <f>huishoudens!P8</f>
        <v>1369.4147099990528</v>
      </c>
      <c r="R11" s="682">
        <f>SUM(C11:Q11)</f>
        <v>288419.95382977545</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69930.373257000014</v>
      </c>
      <c r="D13" s="679">
        <f>industrie!C18</f>
        <v>0</v>
      </c>
      <c r="E13" s="679">
        <f>industrie!D18</f>
        <v>64406.941134316003</v>
      </c>
      <c r="F13" s="679">
        <f>industrie!E18</f>
        <v>1543.9017000942961</v>
      </c>
      <c r="G13" s="679">
        <f>industrie!F18</f>
        <v>5635.143670327916</v>
      </c>
      <c r="H13" s="679">
        <f>industrie!G18</f>
        <v>0</v>
      </c>
      <c r="I13" s="679">
        <f>industrie!H18</f>
        <v>0</v>
      </c>
      <c r="J13" s="679">
        <f>industrie!I18</f>
        <v>0</v>
      </c>
      <c r="K13" s="679">
        <f>industrie!J18</f>
        <v>131.77498668761083</v>
      </c>
      <c r="L13" s="679">
        <f>industrie!K18</f>
        <v>0</v>
      </c>
      <c r="M13" s="679">
        <f>industrie!L18</f>
        <v>0</v>
      </c>
      <c r="N13" s="679">
        <f>industrie!M18</f>
        <v>0</v>
      </c>
      <c r="O13" s="679">
        <f>industrie!N18</f>
        <v>931.99502910433841</v>
      </c>
      <c r="P13" s="679">
        <f>industrie!O18</f>
        <v>0</v>
      </c>
      <c r="Q13" s="680">
        <f>industrie!P18</f>
        <v>0</v>
      </c>
      <c r="R13" s="682">
        <f>SUM(C13:Q13)</f>
        <v>142580.12977753018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179728.57168572256</v>
      </c>
      <c r="D16" s="715">
        <f t="shared" ref="D16:R16" ca="1" si="0">SUM(D9:D15)</f>
        <v>81</v>
      </c>
      <c r="E16" s="715">
        <f t="shared" ca="1" si="0"/>
        <v>227361.54810068401</v>
      </c>
      <c r="F16" s="715">
        <f t="shared" si="0"/>
        <v>7463.3019459425041</v>
      </c>
      <c r="G16" s="715">
        <f t="shared" ca="1" si="0"/>
        <v>96447.828503559678</v>
      </c>
      <c r="H16" s="715">
        <f t="shared" si="0"/>
        <v>0</v>
      </c>
      <c r="I16" s="715">
        <f t="shared" si="0"/>
        <v>0</v>
      </c>
      <c r="J16" s="715">
        <f t="shared" si="0"/>
        <v>0</v>
      </c>
      <c r="K16" s="715">
        <f t="shared" si="0"/>
        <v>475.53435080466988</v>
      </c>
      <c r="L16" s="715">
        <f t="shared" si="0"/>
        <v>0</v>
      </c>
      <c r="M16" s="715">
        <f t="shared" ca="1" si="0"/>
        <v>0</v>
      </c>
      <c r="N16" s="715">
        <f t="shared" si="0"/>
        <v>0</v>
      </c>
      <c r="O16" s="715">
        <f t="shared" ca="1" si="0"/>
        <v>24491.639278609655</v>
      </c>
      <c r="P16" s="715">
        <f t="shared" si="0"/>
        <v>1027.0640098162182</v>
      </c>
      <c r="Q16" s="715">
        <f t="shared" si="0"/>
        <v>1579.5712632250329</v>
      </c>
      <c r="R16" s="715">
        <f t="shared" ca="1" si="0"/>
        <v>538656.05913836439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1141.2192457905908</v>
      </c>
      <c r="D19" s="679">
        <f>transport!C54</f>
        <v>0</v>
      </c>
      <c r="E19" s="679">
        <f>transport!D54</f>
        <v>0</v>
      </c>
      <c r="F19" s="679">
        <f>transport!E54</f>
        <v>0</v>
      </c>
      <c r="G19" s="679">
        <f>transport!F54</f>
        <v>0</v>
      </c>
      <c r="H19" s="679">
        <f>transport!G54</f>
        <v>2629.8028048134274</v>
      </c>
      <c r="I19" s="679">
        <f>transport!H54</f>
        <v>0</v>
      </c>
      <c r="J19" s="679">
        <f>transport!I54</f>
        <v>0</v>
      </c>
      <c r="K19" s="679">
        <f>transport!J54</f>
        <v>0</v>
      </c>
      <c r="L19" s="679">
        <f>transport!K54</f>
        <v>0</v>
      </c>
      <c r="M19" s="679">
        <f>transport!L54</f>
        <v>0</v>
      </c>
      <c r="N19" s="679">
        <f>transport!M54</f>
        <v>148.74947819575442</v>
      </c>
      <c r="O19" s="679">
        <f>transport!N54</f>
        <v>0</v>
      </c>
      <c r="P19" s="679">
        <f>transport!O54</f>
        <v>0</v>
      </c>
      <c r="Q19" s="680">
        <f>transport!P54</f>
        <v>0</v>
      </c>
      <c r="R19" s="682">
        <f>SUM(C19:Q19)</f>
        <v>3919.7715287997726</v>
      </c>
      <c r="S19" s="67"/>
    </row>
    <row r="20" spans="1:19" s="442" customFormat="1">
      <c r="A20" s="800" t="s">
        <v>295</v>
      </c>
      <c r="B20" s="805"/>
      <c r="C20" s="679">
        <f>transport!B14</f>
        <v>177.01619136464276</v>
      </c>
      <c r="D20" s="679">
        <f>transport!C14</f>
        <v>0</v>
      </c>
      <c r="E20" s="679">
        <f>transport!D14</f>
        <v>327.83610698300538</v>
      </c>
      <c r="F20" s="679">
        <f>transport!E14</f>
        <v>282.02462747424886</v>
      </c>
      <c r="G20" s="679">
        <f>transport!F14</f>
        <v>0</v>
      </c>
      <c r="H20" s="679">
        <f>transport!G14</f>
        <v>129104.08755095341</v>
      </c>
      <c r="I20" s="679">
        <f>transport!H14</f>
        <v>29059.496945403855</v>
      </c>
      <c r="J20" s="679">
        <f>transport!I14</f>
        <v>0</v>
      </c>
      <c r="K20" s="679">
        <f>transport!J14</f>
        <v>0</v>
      </c>
      <c r="L20" s="679">
        <f>transport!K14</f>
        <v>0</v>
      </c>
      <c r="M20" s="679">
        <f>transport!L14</f>
        <v>0</v>
      </c>
      <c r="N20" s="679">
        <f>transport!M14</f>
        <v>9365.828176495248</v>
      </c>
      <c r="O20" s="679">
        <f>transport!N14</f>
        <v>0</v>
      </c>
      <c r="P20" s="679">
        <f>transport!O14</f>
        <v>0</v>
      </c>
      <c r="Q20" s="680">
        <f>transport!P14</f>
        <v>0</v>
      </c>
      <c r="R20" s="682">
        <f>SUM(C20:Q20)</f>
        <v>168316.2895986744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1318.2354371552335</v>
      </c>
      <c r="D22" s="803">
        <f t="shared" ref="D22:R22" si="1">SUM(D18:D21)</f>
        <v>0</v>
      </c>
      <c r="E22" s="803">
        <f t="shared" si="1"/>
        <v>327.83610698300538</v>
      </c>
      <c r="F22" s="803">
        <f t="shared" si="1"/>
        <v>282.02462747424886</v>
      </c>
      <c r="G22" s="803">
        <f t="shared" si="1"/>
        <v>0</v>
      </c>
      <c r="H22" s="803">
        <f t="shared" si="1"/>
        <v>131733.89035576684</v>
      </c>
      <c r="I22" s="803">
        <f t="shared" si="1"/>
        <v>29059.496945403855</v>
      </c>
      <c r="J22" s="803">
        <f t="shared" si="1"/>
        <v>0</v>
      </c>
      <c r="K22" s="803">
        <f t="shared" si="1"/>
        <v>0</v>
      </c>
      <c r="L22" s="803">
        <f t="shared" si="1"/>
        <v>0</v>
      </c>
      <c r="M22" s="803">
        <f t="shared" si="1"/>
        <v>0</v>
      </c>
      <c r="N22" s="803">
        <f t="shared" si="1"/>
        <v>9514.577654691002</v>
      </c>
      <c r="O22" s="803">
        <f t="shared" si="1"/>
        <v>0</v>
      </c>
      <c r="P22" s="803">
        <f t="shared" si="1"/>
        <v>0</v>
      </c>
      <c r="Q22" s="803">
        <f t="shared" si="1"/>
        <v>0</v>
      </c>
      <c r="R22" s="803">
        <f t="shared" si="1"/>
        <v>172236.06112747418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4623.2567540000009</v>
      </c>
      <c r="D24" s="679">
        <f>+landbouw!C8</f>
        <v>2623.5</v>
      </c>
      <c r="E24" s="679">
        <f>+landbouw!D8</f>
        <v>1797.9372338948569</v>
      </c>
      <c r="F24" s="679">
        <f>+landbouw!E8</f>
        <v>144.2903187303445</v>
      </c>
      <c r="G24" s="679">
        <f>+landbouw!F8</f>
        <v>16339.101519203436</v>
      </c>
      <c r="H24" s="679">
        <f>+landbouw!G8</f>
        <v>0</v>
      </c>
      <c r="I24" s="679">
        <f>+landbouw!H8</f>
        <v>0</v>
      </c>
      <c r="J24" s="679">
        <f>+landbouw!I8</f>
        <v>0</v>
      </c>
      <c r="K24" s="679">
        <f>+landbouw!J8</f>
        <v>1273.7392977315994</v>
      </c>
      <c r="L24" s="679">
        <f>+landbouw!K8</f>
        <v>0</v>
      </c>
      <c r="M24" s="679">
        <f>+landbouw!L8</f>
        <v>0</v>
      </c>
      <c r="N24" s="679">
        <f>+landbouw!M8</f>
        <v>0</v>
      </c>
      <c r="O24" s="679">
        <f>+landbouw!N8</f>
        <v>0</v>
      </c>
      <c r="P24" s="679">
        <f>+landbouw!O8</f>
        <v>0</v>
      </c>
      <c r="Q24" s="680">
        <f>+landbouw!P8</f>
        <v>0</v>
      </c>
      <c r="R24" s="682">
        <f>SUM(C24:Q24)</f>
        <v>26801.825123560237</v>
      </c>
      <c r="S24" s="67"/>
    </row>
    <row r="25" spans="1:19" s="442" customFormat="1" ht="15" thickBot="1">
      <c r="A25" s="822" t="s">
        <v>708</v>
      </c>
      <c r="B25" s="941"/>
      <c r="C25" s="942">
        <f>IF(Onbekend_ele_kWh="---",0,Onbekend_ele_kWh)/1000+IF(REST_rest_ele_kWh="---",0,REST_rest_ele_kWh)/1000</f>
        <v>1613.7236270000001</v>
      </c>
      <c r="D25" s="942"/>
      <c r="E25" s="942">
        <f>IF(onbekend_gas_kWh="---",0,onbekend_gas_kWh)/1000+IF(REST_rest_gas_kWh="---",0,REST_rest_gas_kWh)/1000</f>
        <v>3156.5335340000001</v>
      </c>
      <c r="F25" s="942"/>
      <c r="G25" s="942"/>
      <c r="H25" s="942"/>
      <c r="I25" s="942"/>
      <c r="J25" s="942"/>
      <c r="K25" s="942"/>
      <c r="L25" s="942"/>
      <c r="M25" s="942"/>
      <c r="N25" s="942"/>
      <c r="O25" s="942"/>
      <c r="P25" s="942"/>
      <c r="Q25" s="943"/>
      <c r="R25" s="682">
        <f>SUM(C25:Q25)</f>
        <v>4770.2571610000005</v>
      </c>
      <c r="S25" s="67"/>
    </row>
    <row r="26" spans="1:19" s="442" customFormat="1" ht="15.75" thickBot="1">
      <c r="A26" s="687" t="s">
        <v>709</v>
      </c>
      <c r="B26" s="808"/>
      <c r="C26" s="803">
        <f>SUM(C24:C25)</f>
        <v>6236.9803810000012</v>
      </c>
      <c r="D26" s="803">
        <f t="shared" ref="D26:R26" si="2">SUM(D24:D25)</f>
        <v>2623.5</v>
      </c>
      <c r="E26" s="803">
        <f t="shared" si="2"/>
        <v>4954.4707678948571</v>
      </c>
      <c r="F26" s="803">
        <f t="shared" si="2"/>
        <v>144.2903187303445</v>
      </c>
      <c r="G26" s="803">
        <f t="shared" si="2"/>
        <v>16339.101519203436</v>
      </c>
      <c r="H26" s="803">
        <f t="shared" si="2"/>
        <v>0</v>
      </c>
      <c r="I26" s="803">
        <f t="shared" si="2"/>
        <v>0</v>
      </c>
      <c r="J26" s="803">
        <f t="shared" si="2"/>
        <v>0</v>
      </c>
      <c r="K26" s="803">
        <f t="shared" si="2"/>
        <v>1273.7392977315994</v>
      </c>
      <c r="L26" s="803">
        <f t="shared" si="2"/>
        <v>0</v>
      </c>
      <c r="M26" s="803">
        <f t="shared" si="2"/>
        <v>0</v>
      </c>
      <c r="N26" s="803">
        <f t="shared" si="2"/>
        <v>0</v>
      </c>
      <c r="O26" s="803">
        <f t="shared" si="2"/>
        <v>0</v>
      </c>
      <c r="P26" s="803">
        <f t="shared" si="2"/>
        <v>0</v>
      </c>
      <c r="Q26" s="803">
        <f t="shared" si="2"/>
        <v>0</v>
      </c>
      <c r="R26" s="803">
        <f t="shared" si="2"/>
        <v>31572.082284560238</v>
      </c>
      <c r="S26" s="67"/>
    </row>
    <row r="27" spans="1:19" s="442" customFormat="1" ht="17.25" thickTop="1" thickBot="1">
      <c r="A27" s="688" t="s">
        <v>109</v>
      </c>
      <c r="B27" s="795"/>
      <c r="C27" s="689">
        <f ca="1">C22+C16+C26</f>
        <v>187283.7875038778</v>
      </c>
      <c r="D27" s="689">
        <f t="shared" ref="D27:R27" ca="1" si="3">D22+D16+D26</f>
        <v>2704.5</v>
      </c>
      <c r="E27" s="689">
        <f t="shared" ca="1" si="3"/>
        <v>232643.85497556187</v>
      </c>
      <c r="F27" s="689">
        <f t="shared" si="3"/>
        <v>7889.6168921470971</v>
      </c>
      <c r="G27" s="689">
        <f t="shared" ca="1" si="3"/>
        <v>112786.93002276312</v>
      </c>
      <c r="H27" s="689">
        <f t="shared" si="3"/>
        <v>131733.89035576684</v>
      </c>
      <c r="I27" s="689">
        <f t="shared" si="3"/>
        <v>29059.496945403855</v>
      </c>
      <c r="J27" s="689">
        <f t="shared" si="3"/>
        <v>0</v>
      </c>
      <c r="K27" s="689">
        <f t="shared" si="3"/>
        <v>1749.2736485362693</v>
      </c>
      <c r="L27" s="689">
        <f t="shared" si="3"/>
        <v>0</v>
      </c>
      <c r="M27" s="689">
        <f t="shared" ca="1" si="3"/>
        <v>0</v>
      </c>
      <c r="N27" s="689">
        <f t="shared" si="3"/>
        <v>9514.577654691002</v>
      </c>
      <c r="O27" s="689">
        <f t="shared" ca="1" si="3"/>
        <v>24491.639278609655</v>
      </c>
      <c r="P27" s="689">
        <f t="shared" si="3"/>
        <v>1027.0640098162182</v>
      </c>
      <c r="Q27" s="689">
        <f t="shared" si="3"/>
        <v>1579.5712632250329</v>
      </c>
      <c r="R27" s="689">
        <f t="shared" ca="1" si="3"/>
        <v>742464.20255039877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5952.4937091094389</v>
      </c>
      <c r="D40" s="679">
        <f ca="1">tertiair!C20</f>
        <v>17.917921671164308</v>
      </c>
      <c r="E40" s="679">
        <f ca="1">tertiair!D20</f>
        <v>10930.689963438554</v>
      </c>
      <c r="F40" s="679">
        <f>tertiair!E20</f>
        <v>132.39562827062053</v>
      </c>
      <c r="G40" s="679">
        <f ca="1">tertiair!F20</f>
        <v>1278.0435952504424</v>
      </c>
      <c r="H40" s="679">
        <f>tertiair!G20</f>
        <v>0</v>
      </c>
      <c r="I40" s="679">
        <f>tertiair!H20</f>
        <v>0</v>
      </c>
      <c r="J40" s="679">
        <f>tertiair!I20</f>
        <v>0</v>
      </c>
      <c r="K40" s="679">
        <f>tertiair!J20</f>
        <v>3.1600894564916306E-2</v>
      </c>
      <c r="L40" s="679">
        <f>tertiair!K20</f>
        <v>0</v>
      </c>
      <c r="M40" s="679">
        <f ca="1">tertiair!L20</f>
        <v>0</v>
      </c>
      <c r="N40" s="679">
        <f>tertiair!M20</f>
        <v>0</v>
      </c>
      <c r="O40" s="679">
        <f ca="1">tertiair!N20</f>
        <v>0</v>
      </c>
      <c r="P40" s="679">
        <f>tertiair!O20</f>
        <v>0</v>
      </c>
      <c r="Q40" s="762">
        <f>tertiair!P20</f>
        <v>0</v>
      </c>
      <c r="R40" s="841">
        <f t="shared" ca="1" si="4"/>
        <v>18311.572418634787</v>
      </c>
    </row>
    <row r="41" spans="1:18">
      <c r="A41" s="813" t="s">
        <v>213</v>
      </c>
      <c r="B41" s="820"/>
      <c r="C41" s="679">
        <f ca="1">huishoudens!B12</f>
        <v>8796.371855298461</v>
      </c>
      <c r="D41" s="679">
        <f ca="1">huishoudens!C12</f>
        <v>0</v>
      </c>
      <c r="E41" s="679">
        <f>huishoudens!D12</f>
        <v>21986.140643767787</v>
      </c>
      <c r="F41" s="679">
        <f>huishoudens!E12</f>
        <v>1211.3082275369227</v>
      </c>
      <c r="G41" s="679">
        <f>huishoudens!F12</f>
        <v>22968.943255222443</v>
      </c>
      <c r="H41" s="679">
        <f>huishoudens!G12</f>
        <v>0</v>
      </c>
      <c r="I41" s="679">
        <f>huishoudens!H12</f>
        <v>0</v>
      </c>
      <c r="J41" s="679">
        <f>huishoudens!I12</f>
        <v>0</v>
      </c>
      <c r="K41" s="679">
        <f>huishoudens!J12</f>
        <v>121.65921400287399</v>
      </c>
      <c r="L41" s="679">
        <f>huishoudens!K12</f>
        <v>0</v>
      </c>
      <c r="M41" s="679">
        <f>huishoudens!L12</f>
        <v>0</v>
      </c>
      <c r="N41" s="679">
        <f>huishoudens!M12</f>
        <v>0</v>
      </c>
      <c r="O41" s="679">
        <f>huishoudens!N12</f>
        <v>0</v>
      </c>
      <c r="P41" s="679">
        <f>huishoudens!O12</f>
        <v>0</v>
      </c>
      <c r="Q41" s="762">
        <f>huishoudens!P12</f>
        <v>0</v>
      </c>
      <c r="R41" s="841">
        <f t="shared" ca="1" si="4"/>
        <v>55084.423195828487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9393.5391363083818</v>
      </c>
      <c r="D43" s="679">
        <f ca="1">industrie!C22</f>
        <v>0</v>
      </c>
      <c r="E43" s="679">
        <f>industrie!D22</f>
        <v>13010.202109131833</v>
      </c>
      <c r="F43" s="679">
        <f>industrie!E22</f>
        <v>350.46568592140522</v>
      </c>
      <c r="G43" s="679">
        <f>industrie!F22</f>
        <v>1504.5833599775538</v>
      </c>
      <c r="H43" s="679">
        <f>industrie!G22</f>
        <v>0</v>
      </c>
      <c r="I43" s="679">
        <f>industrie!H22</f>
        <v>0</v>
      </c>
      <c r="J43" s="679">
        <f>industrie!I22</f>
        <v>0</v>
      </c>
      <c r="K43" s="679">
        <f>industrie!J22</f>
        <v>46.64834528741423</v>
      </c>
      <c r="L43" s="679">
        <f>industrie!K22</f>
        <v>0</v>
      </c>
      <c r="M43" s="679">
        <f>industrie!L22</f>
        <v>0</v>
      </c>
      <c r="N43" s="679">
        <f>industrie!M22</f>
        <v>0</v>
      </c>
      <c r="O43" s="679">
        <f>industrie!N22</f>
        <v>0</v>
      </c>
      <c r="P43" s="679">
        <f>industrie!O22</f>
        <v>0</v>
      </c>
      <c r="Q43" s="762">
        <f>industrie!P22</f>
        <v>0</v>
      </c>
      <c r="R43" s="840">
        <f t="shared" ca="1" si="4"/>
        <v>24305.438636626586</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24142.404700716281</v>
      </c>
      <c r="D46" s="715">
        <f t="shared" ref="D46:Q46" ca="1" si="5">SUM(D39:D45)</f>
        <v>17.917921671164308</v>
      </c>
      <c r="E46" s="715">
        <f t="shared" ca="1" si="5"/>
        <v>45927.032716338173</v>
      </c>
      <c r="F46" s="715">
        <f t="shared" si="5"/>
        <v>1694.1695417289484</v>
      </c>
      <c r="G46" s="715">
        <f t="shared" ca="1" si="5"/>
        <v>25751.570210450438</v>
      </c>
      <c r="H46" s="715">
        <f t="shared" si="5"/>
        <v>0</v>
      </c>
      <c r="I46" s="715">
        <f t="shared" si="5"/>
        <v>0</v>
      </c>
      <c r="J46" s="715">
        <f t="shared" si="5"/>
        <v>0</v>
      </c>
      <c r="K46" s="715">
        <f t="shared" si="5"/>
        <v>168.33916018485314</v>
      </c>
      <c r="L46" s="715">
        <f t="shared" si="5"/>
        <v>0</v>
      </c>
      <c r="M46" s="715">
        <f t="shared" ca="1" si="5"/>
        <v>0</v>
      </c>
      <c r="N46" s="715">
        <f t="shared" si="5"/>
        <v>0</v>
      </c>
      <c r="O46" s="715">
        <f t="shared" ca="1" si="5"/>
        <v>0</v>
      </c>
      <c r="P46" s="715">
        <f t="shared" si="5"/>
        <v>0</v>
      </c>
      <c r="Q46" s="715">
        <f t="shared" si="5"/>
        <v>0</v>
      </c>
      <c r="R46" s="715">
        <f ca="1">SUM(R39:R45)</f>
        <v>97701.434251089857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153.2965884372592</v>
      </c>
      <c r="D49" s="679">
        <f ca="1">transport!C58</f>
        <v>0</v>
      </c>
      <c r="E49" s="679">
        <f>transport!D58</f>
        <v>0</v>
      </c>
      <c r="F49" s="679">
        <f>transport!E58</f>
        <v>0</v>
      </c>
      <c r="G49" s="679">
        <f>transport!F58</f>
        <v>0</v>
      </c>
      <c r="H49" s="679">
        <f>transport!G58</f>
        <v>702.15734888518512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855.45393732244429</v>
      </c>
    </row>
    <row r="50" spans="1:18">
      <c r="A50" s="816" t="s">
        <v>295</v>
      </c>
      <c r="B50" s="826"/>
      <c r="C50" s="685">
        <f ca="1">transport!B18</f>
        <v>23.778058716104148</v>
      </c>
      <c r="D50" s="685">
        <f>transport!C18</f>
        <v>0</v>
      </c>
      <c r="E50" s="685">
        <f>transport!D18</f>
        <v>66.222893610567084</v>
      </c>
      <c r="F50" s="685">
        <f>transport!E18</f>
        <v>64.019590436654497</v>
      </c>
      <c r="G50" s="685">
        <f>transport!F18</f>
        <v>0</v>
      </c>
      <c r="H50" s="685">
        <f>transport!G18</f>
        <v>34470.791376104564</v>
      </c>
      <c r="I50" s="685">
        <f>transport!H18</f>
        <v>7235.8147394055595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41860.626658273453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177.07464715336334</v>
      </c>
      <c r="D52" s="715">
        <f t="shared" ref="D52:Q52" ca="1" si="6">SUM(D48:D51)</f>
        <v>0</v>
      </c>
      <c r="E52" s="715">
        <f t="shared" si="6"/>
        <v>66.222893610567084</v>
      </c>
      <c r="F52" s="715">
        <f t="shared" si="6"/>
        <v>64.019590436654497</v>
      </c>
      <c r="G52" s="715">
        <f t="shared" si="6"/>
        <v>0</v>
      </c>
      <c r="H52" s="715">
        <f t="shared" si="6"/>
        <v>35172.94872498975</v>
      </c>
      <c r="I52" s="715">
        <f t="shared" si="6"/>
        <v>7235.8147394055595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42716.0805955959</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621.02833480234358</v>
      </c>
      <c r="D54" s="685">
        <f ca="1">+landbouw!C12</f>
        <v>580.34157412715513</v>
      </c>
      <c r="E54" s="685">
        <f>+landbouw!D12</f>
        <v>363.18332124676112</v>
      </c>
      <c r="F54" s="685">
        <f>+landbouw!E12</f>
        <v>32.753902351788199</v>
      </c>
      <c r="G54" s="685">
        <f>+landbouw!F12</f>
        <v>4362.5401056273176</v>
      </c>
      <c r="H54" s="685">
        <f>+landbouw!G12</f>
        <v>0</v>
      </c>
      <c r="I54" s="685">
        <f>+landbouw!H12</f>
        <v>0</v>
      </c>
      <c r="J54" s="685">
        <f>+landbouw!I12</f>
        <v>0</v>
      </c>
      <c r="K54" s="685">
        <f>+landbouw!J12</f>
        <v>450.90371139698618</v>
      </c>
      <c r="L54" s="685">
        <f>+landbouw!K12</f>
        <v>0</v>
      </c>
      <c r="M54" s="685">
        <f>+landbouw!L12</f>
        <v>0</v>
      </c>
      <c r="N54" s="685">
        <f>+landbouw!M12</f>
        <v>0</v>
      </c>
      <c r="O54" s="685">
        <f>+landbouw!N12</f>
        <v>0</v>
      </c>
      <c r="P54" s="685">
        <f>+landbouw!O12</f>
        <v>0</v>
      </c>
      <c r="Q54" s="686">
        <f>+landbouw!P12</f>
        <v>0</v>
      </c>
      <c r="R54" s="714">
        <f ca="1">SUM(C54:Q54)</f>
        <v>6410.7509495523518</v>
      </c>
    </row>
    <row r="55" spans="1:18" ht="15" thickBot="1">
      <c r="A55" s="816" t="s">
        <v>708</v>
      </c>
      <c r="B55" s="826"/>
      <c r="C55" s="685">
        <f ca="1">C25*'EF ele_warmte'!B12</f>
        <v>216.76669720753478</v>
      </c>
      <c r="D55" s="685"/>
      <c r="E55" s="685">
        <f>E25*EF_CO2_aardgas</f>
        <v>637.61977386800004</v>
      </c>
      <c r="F55" s="685"/>
      <c r="G55" s="685"/>
      <c r="H55" s="685"/>
      <c r="I55" s="685"/>
      <c r="J55" s="685"/>
      <c r="K55" s="685"/>
      <c r="L55" s="685"/>
      <c r="M55" s="685"/>
      <c r="N55" s="685"/>
      <c r="O55" s="685"/>
      <c r="P55" s="685"/>
      <c r="Q55" s="686"/>
      <c r="R55" s="714">
        <f ca="1">SUM(C55:Q55)</f>
        <v>854.38647107553481</v>
      </c>
    </row>
    <row r="56" spans="1:18" ht="15.75" thickBot="1">
      <c r="A56" s="814" t="s">
        <v>709</v>
      </c>
      <c r="B56" s="827"/>
      <c r="C56" s="715">
        <f ca="1">SUM(C54:C55)</f>
        <v>837.79503200987835</v>
      </c>
      <c r="D56" s="715">
        <f t="shared" ref="D56:Q56" ca="1" si="7">SUM(D54:D55)</f>
        <v>580.34157412715513</v>
      </c>
      <c r="E56" s="715">
        <f t="shared" si="7"/>
        <v>1000.8030951147612</v>
      </c>
      <c r="F56" s="715">
        <f t="shared" si="7"/>
        <v>32.753902351788199</v>
      </c>
      <c r="G56" s="715">
        <f t="shared" si="7"/>
        <v>4362.5401056273176</v>
      </c>
      <c r="H56" s="715">
        <f t="shared" si="7"/>
        <v>0</v>
      </c>
      <c r="I56" s="715">
        <f t="shared" si="7"/>
        <v>0</v>
      </c>
      <c r="J56" s="715">
        <f t="shared" si="7"/>
        <v>0</v>
      </c>
      <c r="K56" s="715">
        <f t="shared" si="7"/>
        <v>450.90371139698618</v>
      </c>
      <c r="L56" s="715">
        <f t="shared" si="7"/>
        <v>0</v>
      </c>
      <c r="M56" s="715">
        <f t="shared" si="7"/>
        <v>0</v>
      </c>
      <c r="N56" s="715">
        <f t="shared" si="7"/>
        <v>0</v>
      </c>
      <c r="O56" s="715">
        <f t="shared" si="7"/>
        <v>0</v>
      </c>
      <c r="P56" s="715">
        <f t="shared" si="7"/>
        <v>0</v>
      </c>
      <c r="Q56" s="716">
        <f t="shared" si="7"/>
        <v>0</v>
      </c>
      <c r="R56" s="717">
        <f ca="1">SUM(R54:R55)</f>
        <v>7265.137420627887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25157.274379879524</v>
      </c>
      <c r="D61" s="723">
        <f t="shared" ref="D61:Q61" ca="1" si="8">D46+D52+D56</f>
        <v>598.25949579831945</v>
      </c>
      <c r="E61" s="723">
        <f t="shared" ca="1" si="8"/>
        <v>46994.0587050635</v>
      </c>
      <c r="F61" s="723">
        <f t="shared" si="8"/>
        <v>1790.943034517391</v>
      </c>
      <c r="G61" s="723">
        <f t="shared" ca="1" si="8"/>
        <v>30114.110316077757</v>
      </c>
      <c r="H61" s="723">
        <f t="shared" si="8"/>
        <v>35172.94872498975</v>
      </c>
      <c r="I61" s="723">
        <f t="shared" si="8"/>
        <v>7235.8147394055595</v>
      </c>
      <c r="J61" s="723">
        <f t="shared" si="8"/>
        <v>0</v>
      </c>
      <c r="K61" s="723">
        <f t="shared" si="8"/>
        <v>619.24287158183938</v>
      </c>
      <c r="L61" s="723">
        <f t="shared" si="8"/>
        <v>0</v>
      </c>
      <c r="M61" s="723">
        <f t="shared" ca="1" si="8"/>
        <v>0</v>
      </c>
      <c r="N61" s="723">
        <f t="shared" si="8"/>
        <v>0</v>
      </c>
      <c r="O61" s="723">
        <f t="shared" ca="1" si="8"/>
        <v>0</v>
      </c>
      <c r="P61" s="723">
        <f t="shared" si="8"/>
        <v>0</v>
      </c>
      <c r="Q61" s="723">
        <f t="shared" si="8"/>
        <v>0</v>
      </c>
      <c r="R61" s="723">
        <f ca="1">R46+R52+R56</f>
        <v>147682.65226731365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0.13432702699564228</v>
      </c>
      <c r="D63" s="769">
        <f t="shared" ca="1" si="9"/>
        <v>0.22120890952054703</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47936.683791304415</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25515.072568588323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130.94999999999999</v>
      </c>
      <c r="C76" s="736">
        <f>'lokale energieproductie'!B8*IFERROR(SUM(D76:H76)/SUM(D76:O76),0)</f>
        <v>1762.2</v>
      </c>
      <c r="D76" s="950">
        <f>'lokale energieproductie'!C8</f>
        <v>2073.1764705882356</v>
      </c>
      <c r="E76" s="951">
        <f>'lokale energieproductie'!D8</f>
        <v>0</v>
      </c>
      <c r="F76" s="951">
        <f>'lokale energieproductie'!E8</f>
        <v>0</v>
      </c>
      <c r="G76" s="951">
        <f>'lokale energieproductie'!F8</f>
        <v>0</v>
      </c>
      <c r="H76" s="951">
        <f>'lokale energieproductie'!G8</f>
        <v>0</v>
      </c>
      <c r="I76" s="951">
        <f>'lokale energieproductie'!I8</f>
        <v>0</v>
      </c>
      <c r="J76" s="951">
        <f>'lokale energieproductie'!J8</f>
        <v>154.05882352941177</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418.78164705882364</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73582.706359892734</v>
      </c>
      <c r="C78" s="741">
        <f>SUM(C72:C77)</f>
        <v>1762.2</v>
      </c>
      <c r="D78" s="742">
        <f t="shared" ref="D78:H78" si="10">SUM(D76:D77)</f>
        <v>2073.1764705882356</v>
      </c>
      <c r="E78" s="742">
        <f t="shared" si="10"/>
        <v>0</v>
      </c>
      <c r="F78" s="742">
        <f t="shared" si="10"/>
        <v>0</v>
      </c>
      <c r="G78" s="742">
        <f t="shared" si="10"/>
        <v>0</v>
      </c>
      <c r="H78" s="742">
        <f t="shared" si="10"/>
        <v>0</v>
      </c>
      <c r="I78" s="742">
        <f>SUM(I76:I77)</f>
        <v>0</v>
      </c>
      <c r="J78" s="742">
        <f>SUM(J76:J77)</f>
        <v>154.05882352941177</v>
      </c>
      <c r="K78" s="742">
        <f t="shared" ref="K78:L78" si="11">SUM(K76:K77)</f>
        <v>0</v>
      </c>
      <c r="L78" s="742">
        <f t="shared" si="11"/>
        <v>0</v>
      </c>
      <c r="M78" s="742">
        <f>SUM(M76:M77)</f>
        <v>0</v>
      </c>
      <c r="N78" s="742">
        <f>SUM(N76:N77)</f>
        <v>0</v>
      </c>
      <c r="O78" s="851">
        <f>SUM(O76:O77)</f>
        <v>0</v>
      </c>
      <c r="P78" s="743">
        <v>0</v>
      </c>
      <c r="Q78" s="743">
        <f>SUM(Q76:Q77)</f>
        <v>418.78164705882364</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187.07142857142856</v>
      </c>
      <c r="C87" s="754">
        <f>'lokale energieproductie'!B17*IFERROR(SUM(D87:H87)/SUM(D87:O87),0)</f>
        <v>2517.4285714285716</v>
      </c>
      <c r="D87" s="765">
        <f>'lokale energieproductie'!C17</f>
        <v>2961.680672268908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220.08403361344537</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598.25949579831945</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187.07142857142856</v>
      </c>
      <c r="C90" s="741">
        <f>SUM(C87:C89)</f>
        <v>2517.4285714285716</v>
      </c>
      <c r="D90" s="741">
        <f t="shared" ref="D90:H90" si="12">SUM(D87:D89)</f>
        <v>2961.680672268908</v>
      </c>
      <c r="E90" s="741">
        <f t="shared" si="12"/>
        <v>0</v>
      </c>
      <c r="F90" s="741">
        <f t="shared" si="12"/>
        <v>0</v>
      </c>
      <c r="G90" s="741">
        <f t="shared" si="12"/>
        <v>0</v>
      </c>
      <c r="H90" s="741">
        <f t="shared" si="12"/>
        <v>0</v>
      </c>
      <c r="I90" s="741">
        <f>SUM(I87:I89)</f>
        <v>0</v>
      </c>
      <c r="J90" s="741">
        <f>SUM(J87:J89)</f>
        <v>220.08403361344537</v>
      </c>
      <c r="K90" s="741">
        <f t="shared" ref="K90:L90" si="13">SUM(K87:K89)</f>
        <v>0</v>
      </c>
      <c r="L90" s="741">
        <f t="shared" si="13"/>
        <v>0</v>
      </c>
      <c r="M90" s="741">
        <f>SUM(M87:M89)</f>
        <v>0</v>
      </c>
      <c r="N90" s="741">
        <f>SUM(N87:N89)</f>
        <v>0</v>
      </c>
      <c r="O90" s="741">
        <f>SUM(O87:O89)</f>
        <v>0</v>
      </c>
      <c r="P90" s="741">
        <v>0</v>
      </c>
      <c r="Q90" s="741">
        <f>SUM(Q87:Q89)</f>
        <v>598.25949579831945</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65484.750552722537</v>
      </c>
      <c r="C4" s="446">
        <f>huishoudens!C8</f>
        <v>0</v>
      </c>
      <c r="D4" s="446">
        <f>huishoudens!D8</f>
        <v>108842.28041469201</v>
      </c>
      <c r="E4" s="446">
        <f>huishoudens!E8</f>
        <v>5336.1595926736682</v>
      </c>
      <c r="F4" s="446">
        <f>huishoudens!F8</f>
        <v>86026.004701207639</v>
      </c>
      <c r="G4" s="446">
        <f>huishoudens!G8</f>
        <v>0</v>
      </c>
      <c r="H4" s="446">
        <f>huishoudens!H8</f>
        <v>0</v>
      </c>
      <c r="I4" s="446">
        <f>huishoudens!I8</f>
        <v>0</v>
      </c>
      <c r="J4" s="446">
        <f>huishoudens!J8</f>
        <v>343.6700960533164</v>
      </c>
      <c r="K4" s="446">
        <f>huishoudens!K8</f>
        <v>0</v>
      </c>
      <c r="L4" s="446">
        <f>huishoudens!L8</f>
        <v>0</v>
      </c>
      <c r="M4" s="446">
        <f>huishoudens!M8</f>
        <v>0</v>
      </c>
      <c r="N4" s="446">
        <f>huishoudens!N8</f>
        <v>20039.582360269364</v>
      </c>
      <c r="O4" s="446">
        <f>huishoudens!O8</f>
        <v>978.09140215780667</v>
      </c>
      <c r="P4" s="447">
        <f>huishoudens!P8</f>
        <v>1369.4147099990528</v>
      </c>
      <c r="Q4" s="448">
        <f>SUM(B4:P4)</f>
        <v>288419.95382977545</v>
      </c>
    </row>
    <row r="5" spans="1:17">
      <c r="A5" s="445" t="s">
        <v>149</v>
      </c>
      <c r="B5" s="446">
        <f ca="1">tertiair!B16</f>
        <v>42128.842876000002</v>
      </c>
      <c r="C5" s="446">
        <f ca="1">tertiair!C16</f>
        <v>81</v>
      </c>
      <c r="D5" s="446">
        <f ca="1">tertiair!D16</f>
        <v>54112.326551676</v>
      </c>
      <c r="E5" s="446">
        <f>tertiair!E16</f>
        <v>583.24065317453983</v>
      </c>
      <c r="F5" s="446">
        <f ca="1">tertiair!F16</f>
        <v>4786.6801320241284</v>
      </c>
      <c r="G5" s="446">
        <f>tertiair!G16</f>
        <v>0</v>
      </c>
      <c r="H5" s="446">
        <f>tertiair!H16</f>
        <v>0</v>
      </c>
      <c r="I5" s="446">
        <f>tertiair!I16</f>
        <v>0</v>
      </c>
      <c r="J5" s="446">
        <f>tertiair!J16</f>
        <v>8.9268063742701437E-2</v>
      </c>
      <c r="K5" s="446">
        <f>tertiair!K16</f>
        <v>0</v>
      </c>
      <c r="L5" s="446">
        <f ca="1">tertiair!L16</f>
        <v>0</v>
      </c>
      <c r="M5" s="446">
        <f>tertiair!M16</f>
        <v>0</v>
      </c>
      <c r="N5" s="446">
        <f ca="1">tertiair!N16</f>
        <v>3520.0618892359535</v>
      </c>
      <c r="O5" s="446">
        <f>tertiair!O16</f>
        <v>48.972607658411548</v>
      </c>
      <c r="P5" s="447">
        <f>tertiair!P16</f>
        <v>210.15655322598008</v>
      </c>
      <c r="Q5" s="445">
        <f t="shared" ref="Q5:Q14" ca="1" si="0">SUM(B5:P5)</f>
        <v>105471.37053105875</v>
      </c>
    </row>
    <row r="6" spans="1:17">
      <c r="A6" s="445" t="s">
        <v>187</v>
      </c>
      <c r="B6" s="446">
        <f>'openbare verlichting'!B8</f>
        <v>2184.605</v>
      </c>
      <c r="C6" s="446"/>
      <c r="D6" s="446"/>
      <c r="E6" s="446"/>
      <c r="F6" s="446"/>
      <c r="G6" s="446"/>
      <c r="H6" s="446"/>
      <c r="I6" s="446"/>
      <c r="J6" s="446"/>
      <c r="K6" s="446"/>
      <c r="L6" s="446"/>
      <c r="M6" s="446"/>
      <c r="N6" s="446"/>
      <c r="O6" s="446"/>
      <c r="P6" s="447"/>
      <c r="Q6" s="445">
        <f t="shared" si="0"/>
        <v>2184.605</v>
      </c>
    </row>
    <row r="7" spans="1:17">
      <c r="A7" s="445" t="s">
        <v>105</v>
      </c>
      <c r="B7" s="446">
        <f>landbouw!B8</f>
        <v>4623.2567540000009</v>
      </c>
      <c r="C7" s="446">
        <f>landbouw!C8</f>
        <v>2623.5</v>
      </c>
      <c r="D7" s="446">
        <f>landbouw!D8</f>
        <v>1797.9372338948569</v>
      </c>
      <c r="E7" s="446">
        <f>landbouw!E8</f>
        <v>144.2903187303445</v>
      </c>
      <c r="F7" s="446">
        <f>landbouw!F8</f>
        <v>16339.101519203436</v>
      </c>
      <c r="G7" s="446">
        <f>landbouw!G8</f>
        <v>0</v>
      </c>
      <c r="H7" s="446">
        <f>landbouw!H8</f>
        <v>0</v>
      </c>
      <c r="I7" s="446">
        <f>landbouw!I8</f>
        <v>0</v>
      </c>
      <c r="J7" s="446">
        <f>landbouw!J8</f>
        <v>1273.7392977315994</v>
      </c>
      <c r="K7" s="446">
        <f>landbouw!K8</f>
        <v>0</v>
      </c>
      <c r="L7" s="446">
        <f>landbouw!L8</f>
        <v>0</v>
      </c>
      <c r="M7" s="446">
        <f>landbouw!M8</f>
        <v>0</v>
      </c>
      <c r="N7" s="446">
        <f>landbouw!N8</f>
        <v>0</v>
      </c>
      <c r="O7" s="446">
        <f>landbouw!O8</f>
        <v>0</v>
      </c>
      <c r="P7" s="447">
        <f>landbouw!P8</f>
        <v>0</v>
      </c>
      <c r="Q7" s="445">
        <f t="shared" si="0"/>
        <v>26801.825123560237</v>
      </c>
    </row>
    <row r="8" spans="1:17">
      <c r="A8" s="445" t="s">
        <v>612</v>
      </c>
      <c r="B8" s="446">
        <f>industrie!B18</f>
        <v>69930.373257000014</v>
      </c>
      <c r="C8" s="446">
        <f>industrie!C18</f>
        <v>0</v>
      </c>
      <c r="D8" s="446">
        <f>industrie!D18</f>
        <v>64406.941134316003</v>
      </c>
      <c r="E8" s="446">
        <f>industrie!E18</f>
        <v>1543.9017000942961</v>
      </c>
      <c r="F8" s="446">
        <f>industrie!F18</f>
        <v>5635.143670327916</v>
      </c>
      <c r="G8" s="446">
        <f>industrie!G18</f>
        <v>0</v>
      </c>
      <c r="H8" s="446">
        <f>industrie!H18</f>
        <v>0</v>
      </c>
      <c r="I8" s="446">
        <f>industrie!I18</f>
        <v>0</v>
      </c>
      <c r="J8" s="446">
        <f>industrie!J18</f>
        <v>131.77498668761083</v>
      </c>
      <c r="K8" s="446">
        <f>industrie!K18</f>
        <v>0</v>
      </c>
      <c r="L8" s="446">
        <f>industrie!L18</f>
        <v>0</v>
      </c>
      <c r="M8" s="446">
        <f>industrie!M18</f>
        <v>0</v>
      </c>
      <c r="N8" s="446">
        <f>industrie!N18</f>
        <v>931.99502910433841</v>
      </c>
      <c r="O8" s="446">
        <f>industrie!O18</f>
        <v>0</v>
      </c>
      <c r="P8" s="447">
        <f>industrie!P18</f>
        <v>0</v>
      </c>
      <c r="Q8" s="445">
        <f t="shared" si="0"/>
        <v>142580.12977753018</v>
      </c>
    </row>
    <row r="9" spans="1:17" s="451" customFormat="1">
      <c r="A9" s="449" t="s">
        <v>538</v>
      </c>
      <c r="B9" s="450">
        <f>transport!B14</f>
        <v>177.01619136464276</v>
      </c>
      <c r="C9" s="450">
        <f>transport!C14</f>
        <v>0</v>
      </c>
      <c r="D9" s="450">
        <f>transport!D14</f>
        <v>327.83610698300538</v>
      </c>
      <c r="E9" s="450">
        <f>transport!E14</f>
        <v>282.02462747424886</v>
      </c>
      <c r="F9" s="450">
        <f>transport!F14</f>
        <v>0</v>
      </c>
      <c r="G9" s="450">
        <f>transport!G14</f>
        <v>129104.08755095341</v>
      </c>
      <c r="H9" s="450">
        <f>transport!H14</f>
        <v>29059.496945403855</v>
      </c>
      <c r="I9" s="450">
        <f>transport!I14</f>
        <v>0</v>
      </c>
      <c r="J9" s="450">
        <f>transport!J14</f>
        <v>0</v>
      </c>
      <c r="K9" s="450">
        <f>transport!K14</f>
        <v>0</v>
      </c>
      <c r="L9" s="450">
        <f>transport!L14</f>
        <v>0</v>
      </c>
      <c r="M9" s="450">
        <f>transport!M14</f>
        <v>9365.828176495248</v>
      </c>
      <c r="N9" s="450">
        <f>transport!N14</f>
        <v>0</v>
      </c>
      <c r="O9" s="450">
        <f>transport!O14</f>
        <v>0</v>
      </c>
      <c r="P9" s="450">
        <f>transport!P14</f>
        <v>0</v>
      </c>
      <c r="Q9" s="449">
        <f>SUM(B9:P9)</f>
        <v>168316.2895986744</v>
      </c>
    </row>
    <row r="10" spans="1:17">
      <c r="A10" s="445" t="s">
        <v>528</v>
      </c>
      <c r="B10" s="446">
        <f>transport!B54</f>
        <v>1141.2192457905908</v>
      </c>
      <c r="C10" s="446">
        <f>transport!C54</f>
        <v>0</v>
      </c>
      <c r="D10" s="446">
        <f>transport!D54</f>
        <v>0</v>
      </c>
      <c r="E10" s="446">
        <f>transport!E54</f>
        <v>0</v>
      </c>
      <c r="F10" s="446">
        <f>transport!F54</f>
        <v>0</v>
      </c>
      <c r="G10" s="446">
        <f>transport!G54</f>
        <v>2629.8028048134274</v>
      </c>
      <c r="H10" s="446">
        <f>transport!H54</f>
        <v>0</v>
      </c>
      <c r="I10" s="446">
        <f>transport!I54</f>
        <v>0</v>
      </c>
      <c r="J10" s="446">
        <f>transport!J54</f>
        <v>0</v>
      </c>
      <c r="K10" s="446">
        <f>transport!K54</f>
        <v>0</v>
      </c>
      <c r="L10" s="446">
        <f>transport!L54</f>
        <v>0</v>
      </c>
      <c r="M10" s="446">
        <f>transport!M54</f>
        <v>148.74947819575442</v>
      </c>
      <c r="N10" s="446">
        <f>transport!N54</f>
        <v>0</v>
      </c>
      <c r="O10" s="446">
        <f>transport!O54</f>
        <v>0</v>
      </c>
      <c r="P10" s="447">
        <f>transport!P54</f>
        <v>0</v>
      </c>
      <c r="Q10" s="445">
        <f t="shared" si="0"/>
        <v>3919.7715287997726</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1613.7236270000001</v>
      </c>
      <c r="C14" s="453"/>
      <c r="D14" s="453">
        <f>'SEAP template'!E25</f>
        <v>3156.5335340000001</v>
      </c>
      <c r="E14" s="453"/>
      <c r="F14" s="453"/>
      <c r="G14" s="453"/>
      <c r="H14" s="453"/>
      <c r="I14" s="453"/>
      <c r="J14" s="453"/>
      <c r="K14" s="453"/>
      <c r="L14" s="453"/>
      <c r="M14" s="453"/>
      <c r="N14" s="453"/>
      <c r="O14" s="453"/>
      <c r="P14" s="454"/>
      <c r="Q14" s="445">
        <f t="shared" si="0"/>
        <v>4770.2571610000005</v>
      </c>
    </row>
    <row r="15" spans="1:17" s="457" customFormat="1">
      <c r="A15" s="455" t="s">
        <v>532</v>
      </c>
      <c r="B15" s="456">
        <f ca="1">SUM(B4:B14)</f>
        <v>187283.78750387777</v>
      </c>
      <c r="C15" s="456">
        <f t="shared" ref="C15:Q15" ca="1" si="1">SUM(C4:C14)</f>
        <v>2704.5</v>
      </c>
      <c r="D15" s="456">
        <f t="shared" ca="1" si="1"/>
        <v>232643.85497556187</v>
      </c>
      <c r="E15" s="456">
        <f t="shared" si="1"/>
        <v>7889.6168921470971</v>
      </c>
      <c r="F15" s="456">
        <f t="shared" ca="1" si="1"/>
        <v>112786.93002276312</v>
      </c>
      <c r="G15" s="456">
        <f t="shared" si="1"/>
        <v>131733.89035576684</v>
      </c>
      <c r="H15" s="456">
        <f t="shared" si="1"/>
        <v>29059.496945403855</v>
      </c>
      <c r="I15" s="456">
        <f t="shared" si="1"/>
        <v>0</v>
      </c>
      <c r="J15" s="456">
        <f t="shared" si="1"/>
        <v>1749.2736485362693</v>
      </c>
      <c r="K15" s="456">
        <f t="shared" si="1"/>
        <v>0</v>
      </c>
      <c r="L15" s="456">
        <f t="shared" ca="1" si="1"/>
        <v>0</v>
      </c>
      <c r="M15" s="456">
        <f t="shared" si="1"/>
        <v>9514.577654691002</v>
      </c>
      <c r="N15" s="456">
        <f t="shared" ca="1" si="1"/>
        <v>24491.639278609655</v>
      </c>
      <c r="O15" s="456">
        <f t="shared" si="1"/>
        <v>1027.0640098162182</v>
      </c>
      <c r="P15" s="456">
        <f t="shared" si="1"/>
        <v>1579.5712632250329</v>
      </c>
      <c r="Q15" s="456">
        <f t="shared" ca="1" si="1"/>
        <v>742464.20255039888</v>
      </c>
    </row>
    <row r="17" spans="1:17">
      <c r="A17" s="458" t="s">
        <v>533</v>
      </c>
      <c r="B17" s="774">
        <f ca="1">huishoudens!B10</f>
        <v>0.13432702699564228</v>
      </c>
      <c r="C17" s="774">
        <f ca="1">huishoudens!C10</f>
        <v>0.22120890952054703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8796.371855298461</v>
      </c>
      <c r="C22" s="446">
        <f t="shared" ref="C22:C32" ca="1" si="3">C4*$C$17</f>
        <v>0</v>
      </c>
      <c r="D22" s="446">
        <f t="shared" ref="D22:D32" si="4">D4*$D$17</f>
        <v>21986.140643767787</v>
      </c>
      <c r="E22" s="446">
        <f t="shared" ref="E22:E32" si="5">E4*$E$17</f>
        <v>1211.3082275369227</v>
      </c>
      <c r="F22" s="446">
        <f t="shared" ref="F22:F32" si="6">F4*$F$17</f>
        <v>22968.943255222443</v>
      </c>
      <c r="G22" s="446">
        <f t="shared" ref="G22:G32" si="7">G4*$G$17</f>
        <v>0</v>
      </c>
      <c r="H22" s="446">
        <f t="shared" ref="H22:H32" si="8">H4*$H$17</f>
        <v>0</v>
      </c>
      <c r="I22" s="446">
        <f t="shared" ref="I22:I32" si="9">I4*$I$17</f>
        <v>0</v>
      </c>
      <c r="J22" s="446">
        <f t="shared" ref="J22:J32" si="10">J4*$J$17</f>
        <v>121.65921400287399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55084.423195828487</v>
      </c>
    </row>
    <row r="23" spans="1:17">
      <c r="A23" s="445" t="s">
        <v>149</v>
      </c>
      <c r="B23" s="446">
        <f t="shared" ca="1" si="2"/>
        <v>5659.042214299624</v>
      </c>
      <c r="C23" s="446">
        <f t="shared" ca="1" si="3"/>
        <v>17.917921671164308</v>
      </c>
      <c r="D23" s="446">
        <f t="shared" ca="1" si="4"/>
        <v>10930.689963438554</v>
      </c>
      <c r="E23" s="446">
        <f t="shared" si="5"/>
        <v>132.39562827062053</v>
      </c>
      <c r="F23" s="446">
        <f t="shared" ca="1" si="6"/>
        <v>1278.0435952504424</v>
      </c>
      <c r="G23" s="446">
        <f t="shared" si="7"/>
        <v>0</v>
      </c>
      <c r="H23" s="446">
        <f t="shared" si="8"/>
        <v>0</v>
      </c>
      <c r="I23" s="446">
        <f t="shared" si="9"/>
        <v>0</v>
      </c>
      <c r="J23" s="446">
        <f t="shared" si="10"/>
        <v>3.1600894564916306E-2</v>
      </c>
      <c r="K23" s="446">
        <f t="shared" si="11"/>
        <v>0</v>
      </c>
      <c r="L23" s="446">
        <f t="shared" ca="1" si="12"/>
        <v>0</v>
      </c>
      <c r="M23" s="446">
        <f t="shared" si="13"/>
        <v>0</v>
      </c>
      <c r="N23" s="446">
        <f t="shared" ca="1" si="14"/>
        <v>0</v>
      </c>
      <c r="O23" s="446">
        <f t="shared" si="15"/>
        <v>0</v>
      </c>
      <c r="P23" s="447">
        <f t="shared" si="16"/>
        <v>0</v>
      </c>
      <c r="Q23" s="445">
        <f t="shared" ref="Q23:Q31" ca="1" si="17">SUM(B23:P23)</f>
        <v>18018.120923824972</v>
      </c>
    </row>
    <row r="24" spans="1:17">
      <c r="A24" s="445" t="s">
        <v>187</v>
      </c>
      <c r="B24" s="446">
        <f t="shared" ca="1" si="2"/>
        <v>293.45149480981513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293.45149480981513</v>
      </c>
    </row>
    <row r="25" spans="1:17">
      <c r="A25" s="445" t="s">
        <v>105</v>
      </c>
      <c r="B25" s="446">
        <f t="shared" ca="1" si="2"/>
        <v>621.02833480234358</v>
      </c>
      <c r="C25" s="446">
        <f t="shared" ca="1" si="3"/>
        <v>580.34157412715513</v>
      </c>
      <c r="D25" s="446">
        <f t="shared" si="4"/>
        <v>363.18332124676112</v>
      </c>
      <c r="E25" s="446">
        <f t="shared" si="5"/>
        <v>32.753902351788199</v>
      </c>
      <c r="F25" s="446">
        <f t="shared" si="6"/>
        <v>4362.5401056273176</v>
      </c>
      <c r="G25" s="446">
        <f t="shared" si="7"/>
        <v>0</v>
      </c>
      <c r="H25" s="446">
        <f t="shared" si="8"/>
        <v>0</v>
      </c>
      <c r="I25" s="446">
        <f t="shared" si="9"/>
        <v>0</v>
      </c>
      <c r="J25" s="446">
        <f t="shared" si="10"/>
        <v>450.90371139698618</v>
      </c>
      <c r="K25" s="446">
        <f t="shared" si="11"/>
        <v>0</v>
      </c>
      <c r="L25" s="446">
        <f t="shared" si="12"/>
        <v>0</v>
      </c>
      <c r="M25" s="446">
        <f t="shared" si="13"/>
        <v>0</v>
      </c>
      <c r="N25" s="446">
        <f t="shared" si="14"/>
        <v>0</v>
      </c>
      <c r="O25" s="446">
        <f t="shared" si="15"/>
        <v>0</v>
      </c>
      <c r="P25" s="447">
        <f t="shared" si="16"/>
        <v>0</v>
      </c>
      <c r="Q25" s="445">
        <f t="shared" ca="1" si="17"/>
        <v>6410.7509495523518</v>
      </c>
    </row>
    <row r="26" spans="1:17">
      <c r="A26" s="445" t="s">
        <v>612</v>
      </c>
      <c r="B26" s="446">
        <f t="shared" ca="1" si="2"/>
        <v>9393.5391363083818</v>
      </c>
      <c r="C26" s="446">
        <f t="shared" ca="1" si="3"/>
        <v>0</v>
      </c>
      <c r="D26" s="446">
        <f t="shared" si="4"/>
        <v>13010.202109131833</v>
      </c>
      <c r="E26" s="446">
        <f t="shared" si="5"/>
        <v>350.46568592140522</v>
      </c>
      <c r="F26" s="446">
        <f t="shared" si="6"/>
        <v>1504.5833599775538</v>
      </c>
      <c r="G26" s="446">
        <f t="shared" si="7"/>
        <v>0</v>
      </c>
      <c r="H26" s="446">
        <f t="shared" si="8"/>
        <v>0</v>
      </c>
      <c r="I26" s="446">
        <f t="shared" si="9"/>
        <v>0</v>
      </c>
      <c r="J26" s="446">
        <f t="shared" si="10"/>
        <v>46.64834528741423</v>
      </c>
      <c r="K26" s="446">
        <f t="shared" si="11"/>
        <v>0</v>
      </c>
      <c r="L26" s="446">
        <f t="shared" si="12"/>
        <v>0</v>
      </c>
      <c r="M26" s="446">
        <f t="shared" si="13"/>
        <v>0</v>
      </c>
      <c r="N26" s="446">
        <f t="shared" si="14"/>
        <v>0</v>
      </c>
      <c r="O26" s="446">
        <f t="shared" si="15"/>
        <v>0</v>
      </c>
      <c r="P26" s="447">
        <f t="shared" si="16"/>
        <v>0</v>
      </c>
      <c r="Q26" s="445">
        <f t="shared" ca="1" si="17"/>
        <v>24305.438636626586</v>
      </c>
    </row>
    <row r="27" spans="1:17" s="451" customFormat="1">
      <c r="A27" s="449" t="s">
        <v>538</v>
      </c>
      <c r="B27" s="768">
        <f t="shared" ca="1" si="2"/>
        <v>23.778058716104148</v>
      </c>
      <c r="C27" s="450">
        <f t="shared" ca="1" si="3"/>
        <v>0</v>
      </c>
      <c r="D27" s="450">
        <f t="shared" si="4"/>
        <v>66.222893610567084</v>
      </c>
      <c r="E27" s="450">
        <f t="shared" si="5"/>
        <v>64.019590436654497</v>
      </c>
      <c r="F27" s="450">
        <f t="shared" si="6"/>
        <v>0</v>
      </c>
      <c r="G27" s="450">
        <f t="shared" si="7"/>
        <v>34470.791376104564</v>
      </c>
      <c r="H27" s="450">
        <f t="shared" si="8"/>
        <v>7235.8147394055595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41860.626658273453</v>
      </c>
    </row>
    <row r="28" spans="1:17" ht="16.5" customHeight="1">
      <c r="A28" s="445" t="s">
        <v>528</v>
      </c>
      <c r="B28" s="446">
        <f t="shared" ca="1" si="2"/>
        <v>153.2965884372592</v>
      </c>
      <c r="C28" s="446">
        <f t="shared" ca="1" si="3"/>
        <v>0</v>
      </c>
      <c r="D28" s="446">
        <f t="shared" si="4"/>
        <v>0</v>
      </c>
      <c r="E28" s="446">
        <f t="shared" si="5"/>
        <v>0</v>
      </c>
      <c r="F28" s="446">
        <f t="shared" si="6"/>
        <v>0</v>
      </c>
      <c r="G28" s="446">
        <f t="shared" si="7"/>
        <v>702.15734888518512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855.45393732244429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216.76669720753478</v>
      </c>
      <c r="C32" s="446">
        <f t="shared" ca="1" si="3"/>
        <v>0</v>
      </c>
      <c r="D32" s="446">
        <f t="shared" si="4"/>
        <v>637.61977386800004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854.38647107553481</v>
      </c>
    </row>
    <row r="33" spans="1:17" s="457" customFormat="1">
      <c r="A33" s="455" t="s">
        <v>532</v>
      </c>
      <c r="B33" s="456">
        <f ca="1">SUM(B22:B32)</f>
        <v>25157.274379879524</v>
      </c>
      <c r="C33" s="456">
        <f t="shared" ref="C33:Q33" ca="1" si="19">SUM(C22:C32)</f>
        <v>598.25949579831945</v>
      </c>
      <c r="D33" s="456">
        <f t="shared" ca="1" si="19"/>
        <v>46994.0587050635</v>
      </c>
      <c r="E33" s="456">
        <f t="shared" si="19"/>
        <v>1790.9430345173912</v>
      </c>
      <c r="F33" s="456">
        <f t="shared" ca="1" si="19"/>
        <v>30114.110316077757</v>
      </c>
      <c r="G33" s="456">
        <f t="shared" si="19"/>
        <v>35172.94872498975</v>
      </c>
      <c r="H33" s="456">
        <f t="shared" si="19"/>
        <v>7235.8147394055595</v>
      </c>
      <c r="I33" s="456">
        <f t="shared" si="19"/>
        <v>0</v>
      </c>
      <c r="J33" s="456">
        <f t="shared" si="19"/>
        <v>619.24287158183938</v>
      </c>
      <c r="K33" s="456">
        <f t="shared" si="19"/>
        <v>0</v>
      </c>
      <c r="L33" s="456">
        <f t="shared" ca="1" si="19"/>
        <v>0</v>
      </c>
      <c r="M33" s="456">
        <f t="shared" si="19"/>
        <v>0</v>
      </c>
      <c r="N33" s="456">
        <f t="shared" ca="1" si="19"/>
        <v>0</v>
      </c>
      <c r="O33" s="456">
        <f t="shared" si="19"/>
        <v>0</v>
      </c>
      <c r="P33" s="456">
        <f t="shared" si="19"/>
        <v>0</v>
      </c>
      <c r="Q33" s="456">
        <f t="shared" ca="1" si="19"/>
        <v>147682.65226731365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47936.683791304415</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25515.072568588323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130.94999999999999</v>
      </c>
      <c r="C8" s="1019">
        <f>'SEAP template'!C76</f>
        <v>1762.2</v>
      </c>
      <c r="D8" s="1019">
        <f>'SEAP template'!D76</f>
        <v>2073.1764705882356</v>
      </c>
      <c r="E8" s="1019">
        <f>'SEAP template'!E76</f>
        <v>0</v>
      </c>
      <c r="F8" s="1019">
        <f>'SEAP template'!F76</f>
        <v>0</v>
      </c>
      <c r="G8" s="1019">
        <f>'SEAP template'!G76</f>
        <v>0</v>
      </c>
      <c r="H8" s="1019">
        <f>'SEAP template'!H76</f>
        <v>0</v>
      </c>
      <c r="I8" s="1019">
        <f>'SEAP template'!I76</f>
        <v>0</v>
      </c>
      <c r="J8" s="1019">
        <f>'SEAP template'!J76</f>
        <v>154.05882352941177</v>
      </c>
      <c r="K8" s="1019">
        <f>'SEAP template'!K76</f>
        <v>0</v>
      </c>
      <c r="L8" s="1019">
        <f>'SEAP template'!L76</f>
        <v>0</v>
      </c>
      <c r="M8" s="1019">
        <f>'SEAP template'!M76</f>
        <v>0</v>
      </c>
      <c r="N8" s="1019">
        <f>'SEAP template'!N76</f>
        <v>0</v>
      </c>
      <c r="O8" s="1019">
        <f>'SEAP template'!O76</f>
        <v>0</v>
      </c>
      <c r="P8" s="1020">
        <f>'SEAP template'!Q76</f>
        <v>418.78164705882364</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73582.706359892734</v>
      </c>
      <c r="C10" s="1021">
        <f>SUM(C4:C9)</f>
        <v>1762.2</v>
      </c>
      <c r="D10" s="1021">
        <f t="shared" ref="D10:H10" si="0">SUM(D8:D9)</f>
        <v>2073.1764705882356</v>
      </c>
      <c r="E10" s="1021">
        <f t="shared" si="0"/>
        <v>0</v>
      </c>
      <c r="F10" s="1021">
        <f t="shared" si="0"/>
        <v>0</v>
      </c>
      <c r="G10" s="1021">
        <f t="shared" si="0"/>
        <v>0</v>
      </c>
      <c r="H10" s="1021">
        <f t="shared" si="0"/>
        <v>0</v>
      </c>
      <c r="I10" s="1021">
        <f>SUM(I8:I9)</f>
        <v>0</v>
      </c>
      <c r="J10" s="1021">
        <f>SUM(J8:J9)</f>
        <v>154.05882352941177</v>
      </c>
      <c r="K10" s="1021">
        <f t="shared" ref="K10:L10" si="1">SUM(K8:K9)</f>
        <v>0</v>
      </c>
      <c r="L10" s="1021">
        <f t="shared" si="1"/>
        <v>0</v>
      </c>
      <c r="M10" s="1021">
        <f>SUM(M8:M9)</f>
        <v>0</v>
      </c>
      <c r="N10" s="1021">
        <f>SUM(N8:N9)</f>
        <v>0</v>
      </c>
      <c r="O10" s="1021">
        <f>SUM(O8:O9)</f>
        <v>0</v>
      </c>
      <c r="P10" s="1021">
        <f>SUM(P8:P9)</f>
        <v>418.78164705882364</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0.13432702699564228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187.07142857142856</v>
      </c>
      <c r="C17" s="1022">
        <f>'SEAP template'!C87</f>
        <v>2517.4285714285716</v>
      </c>
      <c r="D17" s="1020">
        <f>'SEAP template'!D87</f>
        <v>2961.680672268908</v>
      </c>
      <c r="E17" s="1020">
        <f>'SEAP template'!E87</f>
        <v>0</v>
      </c>
      <c r="F17" s="1020">
        <f>'SEAP template'!F87</f>
        <v>0</v>
      </c>
      <c r="G17" s="1020">
        <f>'SEAP template'!G87</f>
        <v>0</v>
      </c>
      <c r="H17" s="1020">
        <f>'SEAP template'!H87</f>
        <v>0</v>
      </c>
      <c r="I17" s="1020">
        <f>'SEAP template'!I87</f>
        <v>0</v>
      </c>
      <c r="J17" s="1020">
        <f>'SEAP template'!J87</f>
        <v>220.08403361344537</v>
      </c>
      <c r="K17" s="1020">
        <f>'SEAP template'!K87</f>
        <v>0</v>
      </c>
      <c r="L17" s="1020">
        <f>'SEAP template'!L87</f>
        <v>0</v>
      </c>
      <c r="M17" s="1020">
        <f>'SEAP template'!M87</f>
        <v>0</v>
      </c>
      <c r="N17" s="1020">
        <f>'SEAP template'!N87</f>
        <v>0</v>
      </c>
      <c r="O17" s="1020">
        <f>'SEAP template'!O87</f>
        <v>0</v>
      </c>
      <c r="P17" s="1020">
        <f>'SEAP template'!Q87</f>
        <v>598.25949579831945</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187.07142857142856</v>
      </c>
      <c r="C20" s="1021">
        <f>SUM(C17:C19)</f>
        <v>2517.4285714285716</v>
      </c>
      <c r="D20" s="1021">
        <f t="shared" ref="D20:H20" si="2">SUM(D17:D19)</f>
        <v>2961.680672268908</v>
      </c>
      <c r="E20" s="1021">
        <f t="shared" si="2"/>
        <v>0</v>
      </c>
      <c r="F20" s="1021">
        <f t="shared" si="2"/>
        <v>0</v>
      </c>
      <c r="G20" s="1021">
        <f t="shared" si="2"/>
        <v>0</v>
      </c>
      <c r="H20" s="1021">
        <f t="shared" si="2"/>
        <v>0</v>
      </c>
      <c r="I20" s="1021">
        <f>SUM(I17:I19)</f>
        <v>0</v>
      </c>
      <c r="J20" s="1021">
        <f>SUM(J17:J19)</f>
        <v>220.08403361344537</v>
      </c>
      <c r="K20" s="1021">
        <f t="shared" ref="K20:L20" si="3">SUM(K17:K19)</f>
        <v>0</v>
      </c>
      <c r="L20" s="1021">
        <f t="shared" si="3"/>
        <v>0</v>
      </c>
      <c r="M20" s="1021">
        <f>SUM(M17:M19)</f>
        <v>0</v>
      </c>
      <c r="N20" s="1021">
        <f>SUM(N17:N19)</f>
        <v>0</v>
      </c>
      <c r="O20" s="1021">
        <f>SUM(O17:O19)</f>
        <v>0</v>
      </c>
      <c r="P20" s="1021">
        <f>SUM(P17:P19)</f>
        <v>598.25949579831945</v>
      </c>
    </row>
    <row r="21" spans="1:16">
      <c r="B21" s="879"/>
    </row>
    <row r="22" spans="1:16">
      <c r="A22" s="458" t="s">
        <v>780</v>
      </c>
      <c r="B22" s="774" t="s">
        <v>778</v>
      </c>
      <c r="C22" s="774">
        <f ca="1">'EF ele_warmte'!B22</f>
        <v>0.22120890952054703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0.13432702699564228</v>
      </c>
      <c r="C17" s="494">
        <f ca="1">'EF ele_warmte'!B22</f>
        <v>0.22120890952054703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0.13432702699564228</v>
      </c>
      <c r="C17" s="494">
        <f ca="1">'EF ele_warmte'!B22</f>
        <v>0.22120890952054703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0.13432702699564228</v>
      </c>
      <c r="C29" s="495">
        <f ca="1">'EF ele_warmte'!B22</f>
        <v>0.22120890952054703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14343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4281.18</v>
      </c>
      <c r="C14" s="326"/>
      <c r="D14" s="326"/>
      <c r="E14" s="326"/>
      <c r="F14" s="326"/>
    </row>
    <row r="15" spans="1:6">
      <c r="A15" s="1296" t="s">
        <v>177</v>
      </c>
      <c r="B15" s="1297">
        <v>69</v>
      </c>
      <c r="C15" s="326"/>
      <c r="D15" s="326"/>
      <c r="E15" s="326"/>
      <c r="F15" s="326"/>
    </row>
    <row r="16" spans="1:6">
      <c r="A16" s="1296" t="s">
        <v>6</v>
      </c>
      <c r="B16" s="1297">
        <v>2899</v>
      </c>
      <c r="C16" s="326"/>
      <c r="D16" s="326"/>
      <c r="E16" s="326"/>
      <c r="F16" s="326"/>
    </row>
    <row r="17" spans="1:6">
      <c r="A17" s="1296" t="s">
        <v>7</v>
      </c>
      <c r="B17" s="1297">
        <v>1440</v>
      </c>
      <c r="C17" s="326"/>
      <c r="D17" s="326"/>
      <c r="E17" s="326"/>
      <c r="F17" s="326"/>
    </row>
    <row r="18" spans="1:6">
      <c r="A18" s="1296" t="s">
        <v>8</v>
      </c>
      <c r="B18" s="1297">
        <v>2673</v>
      </c>
      <c r="C18" s="326"/>
      <c r="D18" s="326"/>
      <c r="E18" s="326"/>
      <c r="F18" s="326"/>
    </row>
    <row r="19" spans="1:6">
      <c r="A19" s="1296" t="s">
        <v>9</v>
      </c>
      <c r="B19" s="1297">
        <v>2884</v>
      </c>
      <c r="C19" s="326"/>
      <c r="D19" s="326"/>
      <c r="E19" s="326"/>
      <c r="F19" s="326"/>
    </row>
    <row r="20" spans="1:6">
      <c r="A20" s="1296" t="s">
        <v>10</v>
      </c>
      <c r="B20" s="1297">
        <v>1343</v>
      </c>
      <c r="C20" s="326"/>
      <c r="D20" s="326"/>
      <c r="E20" s="326"/>
      <c r="F20" s="326"/>
    </row>
    <row r="21" spans="1:6">
      <c r="A21" s="1296" t="s">
        <v>11</v>
      </c>
      <c r="B21" s="1297">
        <v>11219</v>
      </c>
      <c r="C21" s="326"/>
      <c r="D21" s="326"/>
      <c r="E21" s="326"/>
      <c r="F21" s="326"/>
    </row>
    <row r="22" spans="1:6">
      <c r="A22" s="1296" t="s">
        <v>12</v>
      </c>
      <c r="B22" s="1297">
        <v>21768</v>
      </c>
      <c r="C22" s="326"/>
      <c r="D22" s="326"/>
      <c r="E22" s="326"/>
      <c r="F22" s="326"/>
    </row>
    <row r="23" spans="1:6">
      <c r="A23" s="1296" t="s">
        <v>13</v>
      </c>
      <c r="B23" s="1297">
        <v>588</v>
      </c>
      <c r="C23" s="326"/>
      <c r="D23" s="326"/>
      <c r="E23" s="326"/>
      <c r="F23" s="326"/>
    </row>
    <row r="24" spans="1:6">
      <c r="A24" s="1296" t="s">
        <v>14</v>
      </c>
      <c r="B24" s="1297">
        <v>51</v>
      </c>
      <c r="C24" s="326"/>
      <c r="D24" s="326"/>
      <c r="E24" s="326"/>
      <c r="F24" s="326"/>
    </row>
    <row r="25" spans="1:6">
      <c r="A25" s="1296" t="s">
        <v>15</v>
      </c>
      <c r="B25" s="1297">
        <v>2967</v>
      </c>
      <c r="C25" s="326"/>
      <c r="D25" s="326"/>
      <c r="E25" s="326"/>
      <c r="F25" s="326"/>
    </row>
    <row r="26" spans="1:6">
      <c r="A26" s="1296" t="s">
        <v>16</v>
      </c>
      <c r="B26" s="1297">
        <v>205</v>
      </c>
      <c r="C26" s="326"/>
      <c r="D26" s="326"/>
      <c r="E26" s="326"/>
      <c r="F26" s="326"/>
    </row>
    <row r="27" spans="1:6">
      <c r="A27" s="1296" t="s">
        <v>17</v>
      </c>
      <c r="B27" s="1297">
        <v>0</v>
      </c>
      <c r="C27" s="326"/>
      <c r="D27" s="326"/>
      <c r="E27" s="326"/>
      <c r="F27" s="326"/>
    </row>
    <row r="28" spans="1:6">
      <c r="A28" s="1296" t="s">
        <v>18</v>
      </c>
      <c r="B28" s="1298">
        <v>48960</v>
      </c>
      <c r="C28" s="326"/>
      <c r="D28" s="326"/>
      <c r="E28" s="326"/>
      <c r="F28" s="326"/>
    </row>
    <row r="29" spans="1:6">
      <c r="A29" s="1296" t="s">
        <v>689</v>
      </c>
      <c r="B29" s="1298">
        <v>416</v>
      </c>
      <c r="C29" s="326"/>
      <c r="D29" s="326"/>
      <c r="E29" s="326"/>
      <c r="F29" s="326"/>
    </row>
    <row r="30" spans="1:6">
      <c r="A30" s="1291" t="s">
        <v>690</v>
      </c>
      <c r="B30" s="1299">
        <v>65</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5</v>
      </c>
      <c r="F35" s="1297">
        <v>99306.94</v>
      </c>
    </row>
    <row r="36" spans="1:6">
      <c r="A36" s="1296" t="s">
        <v>24</v>
      </c>
      <c r="B36" s="1296" t="s">
        <v>26</v>
      </c>
      <c r="C36" s="1297">
        <v>0</v>
      </c>
      <c r="D36" s="1297">
        <v>0</v>
      </c>
      <c r="E36" s="1297">
        <v>4</v>
      </c>
      <c r="F36" s="1297">
        <v>22609.508000000002</v>
      </c>
    </row>
    <row r="37" spans="1:6">
      <c r="A37" s="1296" t="s">
        <v>24</v>
      </c>
      <c r="B37" s="1296" t="s">
        <v>27</v>
      </c>
      <c r="C37" s="1297">
        <v>0</v>
      </c>
      <c r="D37" s="1297">
        <v>0</v>
      </c>
      <c r="E37" s="1297">
        <v>0</v>
      </c>
      <c r="F37" s="1297">
        <v>0</v>
      </c>
    </row>
    <row r="38" spans="1:6">
      <c r="A38" s="1296" t="s">
        <v>24</v>
      </c>
      <c r="B38" s="1296" t="s">
        <v>28</v>
      </c>
      <c r="C38" s="1297">
        <v>1</v>
      </c>
      <c r="D38" s="1297">
        <v>0</v>
      </c>
      <c r="E38" s="1297">
        <v>5</v>
      </c>
      <c r="F38" s="1297">
        <v>153075.64600000001</v>
      </c>
    </row>
    <row r="39" spans="1:6">
      <c r="A39" s="1296" t="s">
        <v>29</v>
      </c>
      <c r="B39" s="1296" t="s">
        <v>30</v>
      </c>
      <c r="C39" s="1297">
        <v>8448</v>
      </c>
      <c r="D39" s="1297">
        <v>120649626.90000001</v>
      </c>
      <c r="E39" s="1297">
        <v>13867</v>
      </c>
      <c r="F39" s="1297">
        <v>56565016.57</v>
      </c>
    </row>
    <row r="40" spans="1:6">
      <c r="A40" s="1296" t="s">
        <v>29</v>
      </c>
      <c r="B40" s="1296" t="s">
        <v>28</v>
      </c>
      <c r="C40" s="1297">
        <v>1</v>
      </c>
      <c r="D40" s="1297">
        <v>18089.745999999999</v>
      </c>
      <c r="E40" s="1297">
        <v>1</v>
      </c>
      <c r="F40" s="1297">
        <v>2664</v>
      </c>
    </row>
    <row r="41" spans="1:6">
      <c r="A41" s="1296" t="s">
        <v>31</v>
      </c>
      <c r="B41" s="1296" t="s">
        <v>32</v>
      </c>
      <c r="C41" s="1297">
        <v>141</v>
      </c>
      <c r="D41" s="1297">
        <v>38658271.799999997</v>
      </c>
      <c r="E41" s="1297">
        <v>339</v>
      </c>
      <c r="F41" s="1297">
        <v>2886137.915</v>
      </c>
    </row>
    <row r="42" spans="1:6">
      <c r="A42" s="1296" t="s">
        <v>31</v>
      </c>
      <c r="B42" s="1296" t="s">
        <v>33</v>
      </c>
      <c r="C42" s="1297">
        <v>0</v>
      </c>
      <c r="D42" s="1297">
        <v>0</v>
      </c>
      <c r="E42" s="1297">
        <v>3</v>
      </c>
      <c r="F42" s="1297">
        <v>49422101.590000004</v>
      </c>
    </row>
    <row r="43" spans="1:6">
      <c r="A43" s="1296" t="s">
        <v>31</v>
      </c>
      <c r="B43" s="1296" t="s">
        <v>34</v>
      </c>
      <c r="C43" s="1297">
        <v>0</v>
      </c>
      <c r="D43" s="1297">
        <v>0</v>
      </c>
      <c r="E43" s="1297">
        <v>0</v>
      </c>
      <c r="F43" s="1297">
        <v>0</v>
      </c>
    </row>
    <row r="44" spans="1:6">
      <c r="A44" s="1296" t="s">
        <v>31</v>
      </c>
      <c r="B44" s="1296" t="s">
        <v>35</v>
      </c>
      <c r="C44" s="1297">
        <v>10</v>
      </c>
      <c r="D44" s="1297">
        <v>357375.54300000001</v>
      </c>
      <c r="E44" s="1297">
        <v>43</v>
      </c>
      <c r="F44" s="1297">
        <v>2131303.3229999999</v>
      </c>
    </row>
    <row r="45" spans="1:6">
      <c r="A45" s="1296" t="s">
        <v>31</v>
      </c>
      <c r="B45" s="1296" t="s">
        <v>36</v>
      </c>
      <c r="C45" s="1297">
        <v>0</v>
      </c>
      <c r="D45" s="1297">
        <v>0</v>
      </c>
      <c r="E45" s="1297">
        <v>3</v>
      </c>
      <c r="F45" s="1297">
        <v>118543.264</v>
      </c>
    </row>
    <row r="46" spans="1:6">
      <c r="A46" s="1296" t="s">
        <v>31</v>
      </c>
      <c r="B46" s="1296" t="s">
        <v>37</v>
      </c>
      <c r="C46" s="1297">
        <v>0</v>
      </c>
      <c r="D46" s="1297">
        <v>0</v>
      </c>
      <c r="E46" s="1297">
        <v>0</v>
      </c>
      <c r="F46" s="1297">
        <v>0</v>
      </c>
    </row>
    <row r="47" spans="1:6">
      <c r="A47" s="1296" t="s">
        <v>31</v>
      </c>
      <c r="B47" s="1296" t="s">
        <v>38</v>
      </c>
      <c r="C47" s="1297">
        <v>5</v>
      </c>
      <c r="D47" s="1297">
        <v>240408.84299999999</v>
      </c>
      <c r="E47" s="1297">
        <v>12</v>
      </c>
      <c r="F47" s="1297">
        <v>214177.75899999999</v>
      </c>
    </row>
    <row r="48" spans="1:6">
      <c r="A48" s="1296" t="s">
        <v>31</v>
      </c>
      <c r="B48" s="1296" t="s">
        <v>28</v>
      </c>
      <c r="C48" s="1297">
        <v>33</v>
      </c>
      <c r="D48" s="1297">
        <v>29713967.84</v>
      </c>
      <c r="E48" s="1297">
        <v>47</v>
      </c>
      <c r="F48" s="1297">
        <v>12850783.67</v>
      </c>
    </row>
    <row r="49" spans="1:6">
      <c r="A49" s="1296" t="s">
        <v>31</v>
      </c>
      <c r="B49" s="1296" t="s">
        <v>39</v>
      </c>
      <c r="C49" s="1297">
        <v>0</v>
      </c>
      <c r="D49" s="1297">
        <v>0</v>
      </c>
      <c r="E49" s="1297">
        <v>0</v>
      </c>
      <c r="F49" s="1297">
        <v>0</v>
      </c>
    </row>
    <row r="50" spans="1:6">
      <c r="A50" s="1296" t="s">
        <v>31</v>
      </c>
      <c r="B50" s="1296" t="s">
        <v>40</v>
      </c>
      <c r="C50" s="1297">
        <v>21</v>
      </c>
      <c r="D50" s="1297">
        <v>2434567.0320000001</v>
      </c>
      <c r="E50" s="1297">
        <v>35</v>
      </c>
      <c r="F50" s="1297">
        <v>2307325.736</v>
      </c>
    </row>
    <row r="51" spans="1:6">
      <c r="A51" s="1296" t="s">
        <v>41</v>
      </c>
      <c r="B51" s="1296" t="s">
        <v>42</v>
      </c>
      <c r="C51" s="1297">
        <v>24</v>
      </c>
      <c r="D51" s="1297">
        <v>3862475.5090000001</v>
      </c>
      <c r="E51" s="1297">
        <v>208</v>
      </c>
      <c r="F51" s="1297">
        <v>4222072.1320000002</v>
      </c>
    </row>
    <row r="52" spans="1:6">
      <c r="A52" s="1296" t="s">
        <v>41</v>
      </c>
      <c r="B52" s="1296" t="s">
        <v>28</v>
      </c>
      <c r="C52" s="1297">
        <v>7</v>
      </c>
      <c r="D52" s="1297">
        <v>3533083.6669999999</v>
      </c>
      <c r="E52" s="1297">
        <v>11</v>
      </c>
      <c r="F52" s="1297">
        <v>401184.62199999997</v>
      </c>
    </row>
    <row r="53" spans="1:6">
      <c r="A53" s="1296" t="s">
        <v>43</v>
      </c>
      <c r="B53" s="1296" t="s">
        <v>44</v>
      </c>
      <c r="C53" s="1297">
        <v>150</v>
      </c>
      <c r="D53" s="1297">
        <v>3156533.534</v>
      </c>
      <c r="E53" s="1297">
        <v>370</v>
      </c>
      <c r="F53" s="1297">
        <v>1613723.6270000001</v>
      </c>
    </row>
    <row r="54" spans="1:6">
      <c r="A54" s="1296" t="s">
        <v>45</v>
      </c>
      <c r="B54" s="1296" t="s">
        <v>46</v>
      </c>
      <c r="C54" s="1297">
        <v>0</v>
      </c>
      <c r="D54" s="1297">
        <v>0</v>
      </c>
      <c r="E54" s="1297">
        <v>1</v>
      </c>
      <c r="F54" s="1297">
        <v>2184605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80</v>
      </c>
      <c r="D57" s="1297">
        <v>4004415.912</v>
      </c>
      <c r="E57" s="1297">
        <v>178</v>
      </c>
      <c r="F57" s="1297">
        <v>4344933.2779999999</v>
      </c>
    </row>
    <row r="58" spans="1:6">
      <c r="A58" s="1296" t="s">
        <v>48</v>
      </c>
      <c r="B58" s="1296" t="s">
        <v>50</v>
      </c>
      <c r="C58" s="1297">
        <v>75</v>
      </c>
      <c r="D58" s="1297">
        <v>5419407.3339999998</v>
      </c>
      <c r="E58" s="1297">
        <v>127</v>
      </c>
      <c r="F58" s="1297">
        <v>2560478.6209999998</v>
      </c>
    </row>
    <row r="59" spans="1:6">
      <c r="A59" s="1296" t="s">
        <v>48</v>
      </c>
      <c r="B59" s="1296" t="s">
        <v>51</v>
      </c>
      <c r="C59" s="1297">
        <v>128</v>
      </c>
      <c r="D59" s="1297">
        <v>5677392.6469999999</v>
      </c>
      <c r="E59" s="1297">
        <v>359</v>
      </c>
      <c r="F59" s="1297">
        <v>12395691.5</v>
      </c>
    </row>
    <row r="60" spans="1:6">
      <c r="A60" s="1296" t="s">
        <v>48</v>
      </c>
      <c r="B60" s="1296" t="s">
        <v>52</v>
      </c>
      <c r="C60" s="1297">
        <v>76</v>
      </c>
      <c r="D60" s="1297">
        <v>2843913.193</v>
      </c>
      <c r="E60" s="1297">
        <v>126</v>
      </c>
      <c r="F60" s="1297">
        <v>2225795.8560000001</v>
      </c>
    </row>
    <row r="61" spans="1:6">
      <c r="A61" s="1296" t="s">
        <v>48</v>
      </c>
      <c r="B61" s="1296" t="s">
        <v>53</v>
      </c>
      <c r="C61" s="1297">
        <v>232</v>
      </c>
      <c r="D61" s="1297">
        <v>11965999.74</v>
      </c>
      <c r="E61" s="1297">
        <v>530</v>
      </c>
      <c r="F61" s="1297">
        <v>11850608.83</v>
      </c>
    </row>
    <row r="62" spans="1:6">
      <c r="A62" s="1296" t="s">
        <v>48</v>
      </c>
      <c r="B62" s="1296" t="s">
        <v>54</v>
      </c>
      <c r="C62" s="1297">
        <v>14</v>
      </c>
      <c r="D62" s="1297">
        <v>3625755.5619999999</v>
      </c>
      <c r="E62" s="1297">
        <v>21</v>
      </c>
      <c r="F62" s="1297">
        <v>602452.57400000002</v>
      </c>
    </row>
    <row r="63" spans="1:6">
      <c r="A63" s="1296" t="s">
        <v>48</v>
      </c>
      <c r="B63" s="1296" t="s">
        <v>28</v>
      </c>
      <c r="C63" s="1297">
        <v>112</v>
      </c>
      <c r="D63" s="1297">
        <v>26634209.350000001</v>
      </c>
      <c r="E63" s="1297">
        <v>101</v>
      </c>
      <c r="F63" s="1297">
        <v>8092182.2170000002</v>
      </c>
    </row>
    <row r="64" spans="1:6">
      <c r="A64" s="1296" t="s">
        <v>55</v>
      </c>
      <c r="B64" s="1296" t="s">
        <v>56</v>
      </c>
      <c r="C64" s="1297">
        <v>0</v>
      </c>
      <c r="D64" s="1297">
        <v>0</v>
      </c>
      <c r="E64" s="1297">
        <v>0</v>
      </c>
      <c r="F64" s="1297">
        <v>0</v>
      </c>
    </row>
    <row r="65" spans="1:6">
      <c r="A65" s="1296" t="s">
        <v>55</v>
      </c>
      <c r="B65" s="1296" t="s">
        <v>28</v>
      </c>
      <c r="C65" s="1297">
        <v>3</v>
      </c>
      <c r="D65" s="1297">
        <v>70702.982000000004</v>
      </c>
      <c r="E65" s="1297">
        <v>8</v>
      </c>
      <c r="F65" s="1297">
        <v>51176.396000000001</v>
      </c>
    </row>
    <row r="66" spans="1:6">
      <c r="A66" s="1296" t="s">
        <v>55</v>
      </c>
      <c r="B66" s="1296" t="s">
        <v>57</v>
      </c>
      <c r="C66" s="1297">
        <v>0</v>
      </c>
      <c r="D66" s="1297">
        <v>0</v>
      </c>
      <c r="E66" s="1297">
        <v>15</v>
      </c>
      <c r="F66" s="1297">
        <v>264861.84899999999</v>
      </c>
    </row>
    <row r="67" spans="1:6">
      <c r="A67" s="1296" t="s">
        <v>55</v>
      </c>
      <c r="B67" s="1296" t="s">
        <v>58</v>
      </c>
      <c r="C67" s="1297">
        <v>0</v>
      </c>
      <c r="D67" s="1297">
        <v>0</v>
      </c>
      <c r="E67" s="1297">
        <v>0</v>
      </c>
      <c r="F67" s="1297">
        <v>0</v>
      </c>
    </row>
    <row r="68" spans="1:6">
      <c r="A68" s="1291" t="s">
        <v>55</v>
      </c>
      <c r="B68" s="1291" t="s">
        <v>59</v>
      </c>
      <c r="C68" s="1299">
        <v>14</v>
      </c>
      <c r="D68" s="1299">
        <v>3496689.2790000001</v>
      </c>
      <c r="E68" s="1299">
        <v>37</v>
      </c>
      <c r="F68" s="1299">
        <v>1305480.632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121888375</v>
      </c>
      <c r="E73" s="444"/>
      <c r="F73" s="326"/>
    </row>
    <row r="74" spans="1:6">
      <c r="A74" s="1296" t="s">
        <v>63</v>
      </c>
      <c r="B74" s="1296" t="s">
        <v>633</v>
      </c>
      <c r="C74" s="1309" t="s">
        <v>635</v>
      </c>
      <c r="D74" s="1297">
        <v>13693823</v>
      </c>
      <c r="E74" s="444"/>
      <c r="F74" s="326"/>
    </row>
    <row r="75" spans="1:6">
      <c r="A75" s="1296" t="s">
        <v>64</v>
      </c>
      <c r="B75" s="1296" t="s">
        <v>632</v>
      </c>
      <c r="C75" s="1309" t="s">
        <v>636</v>
      </c>
      <c r="D75" s="1297">
        <v>55067809</v>
      </c>
      <c r="E75" s="444"/>
      <c r="F75" s="326"/>
    </row>
    <row r="76" spans="1:6">
      <c r="A76" s="1296" t="s">
        <v>64</v>
      </c>
      <c r="B76" s="1296" t="s">
        <v>633</v>
      </c>
      <c r="C76" s="1309" t="s">
        <v>637</v>
      </c>
      <c r="D76" s="1297">
        <v>2287578</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771326</v>
      </c>
      <c r="C83" s="444"/>
      <c r="D83" s="326"/>
      <c r="E83" s="326"/>
      <c r="F83" s="326"/>
    </row>
    <row r="84" spans="1:6">
      <c r="A84" s="1291" t="s">
        <v>323</v>
      </c>
      <c r="B84" s="1299">
        <v>313453</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47936.683791304415</v>
      </c>
      <c r="C90" s="326"/>
      <c r="D90" s="326"/>
      <c r="E90" s="326"/>
      <c r="F90" s="326"/>
    </row>
    <row r="91" spans="1:6">
      <c r="A91" s="1296" t="s">
        <v>67</v>
      </c>
      <c r="B91" s="1297">
        <v>8917.069982722538</v>
      </c>
      <c r="C91" s="326"/>
      <c r="D91" s="326"/>
      <c r="E91" s="326"/>
      <c r="F91" s="326"/>
    </row>
    <row r="92" spans="1:6">
      <c r="A92" s="1291" t="s">
        <v>68</v>
      </c>
      <c r="B92" s="1292">
        <v>16598.002585865786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2815</v>
      </c>
      <c r="C97" s="326"/>
      <c r="D97" s="326"/>
      <c r="E97" s="326"/>
      <c r="F97" s="326"/>
    </row>
    <row r="98" spans="1:6">
      <c r="A98" s="1296" t="s">
        <v>71</v>
      </c>
      <c r="B98" s="1297">
        <v>1</v>
      </c>
      <c r="C98" s="326"/>
      <c r="D98" s="326"/>
      <c r="E98" s="326"/>
      <c r="F98" s="326"/>
    </row>
    <row r="99" spans="1:6">
      <c r="A99" s="1296" t="s">
        <v>72</v>
      </c>
      <c r="B99" s="1297">
        <v>245</v>
      </c>
      <c r="C99" s="326"/>
      <c r="D99" s="326"/>
      <c r="E99" s="326"/>
      <c r="F99" s="326"/>
    </row>
    <row r="100" spans="1:6">
      <c r="A100" s="1296" t="s">
        <v>73</v>
      </c>
      <c r="B100" s="1297">
        <v>1781</v>
      </c>
      <c r="C100" s="326"/>
      <c r="D100" s="326"/>
      <c r="E100" s="326"/>
      <c r="F100" s="326"/>
    </row>
    <row r="101" spans="1:6">
      <c r="A101" s="1296" t="s">
        <v>74</v>
      </c>
      <c r="B101" s="1297">
        <v>249</v>
      </c>
      <c r="C101" s="326"/>
      <c r="D101" s="326"/>
      <c r="E101" s="326"/>
      <c r="F101" s="326"/>
    </row>
    <row r="102" spans="1:6">
      <c r="A102" s="1296" t="s">
        <v>75</v>
      </c>
      <c r="B102" s="1297">
        <v>206</v>
      </c>
      <c r="C102" s="326"/>
      <c r="D102" s="326"/>
      <c r="E102" s="326"/>
      <c r="F102" s="326"/>
    </row>
    <row r="103" spans="1:6">
      <c r="A103" s="1296" t="s">
        <v>76</v>
      </c>
      <c r="B103" s="1297">
        <v>399</v>
      </c>
      <c r="C103" s="326"/>
      <c r="D103" s="326"/>
      <c r="E103" s="326"/>
      <c r="F103" s="326"/>
    </row>
    <row r="104" spans="1:6">
      <c r="A104" s="1296" t="s">
        <v>77</v>
      </c>
      <c r="B104" s="1297">
        <v>6177</v>
      </c>
      <c r="C104" s="326"/>
      <c r="D104" s="326"/>
      <c r="E104" s="326"/>
      <c r="F104" s="326"/>
    </row>
    <row r="105" spans="1:6">
      <c r="A105" s="1291" t="s">
        <v>78</v>
      </c>
      <c r="B105" s="1299">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92</v>
      </c>
      <c r="C123" s="1297">
        <v>93</v>
      </c>
      <c r="D123" s="326"/>
      <c r="E123" s="326"/>
      <c r="F123" s="326"/>
    </row>
    <row r="124" spans="1:6">
      <c r="A124" s="1296" t="s">
        <v>88</v>
      </c>
      <c r="B124" s="1297">
        <v>2</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398</v>
      </c>
      <c r="C129" s="326"/>
      <c r="D129" s="326"/>
      <c r="E129" s="326"/>
      <c r="F129" s="326"/>
    </row>
    <row r="130" spans="1:6">
      <c r="A130" s="1296" t="s">
        <v>283</v>
      </c>
      <c r="B130" s="1297">
        <v>10</v>
      </c>
      <c r="C130" s="326"/>
      <c r="D130" s="326"/>
      <c r="E130" s="326"/>
      <c r="F130" s="326"/>
    </row>
    <row r="131" spans="1:6">
      <c r="A131" s="1296" t="s">
        <v>284</v>
      </c>
      <c r="B131" s="1297">
        <v>4</v>
      </c>
      <c r="C131" s="326"/>
      <c r="D131" s="326"/>
      <c r="E131" s="326"/>
      <c r="F131" s="326"/>
    </row>
    <row r="132" spans="1:6">
      <c r="A132" s="1291" t="s">
        <v>285</v>
      </c>
      <c r="B132" s="1292">
        <v>36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187283.7875038778</v>
      </c>
      <c r="C3" s="43" t="s">
        <v>163</v>
      </c>
      <c r="D3" s="43"/>
      <c r="E3" s="154"/>
      <c r="F3" s="43"/>
      <c r="G3" s="43"/>
      <c r="H3" s="43"/>
      <c r="I3" s="43"/>
      <c r="J3" s="43"/>
      <c r="K3" s="96"/>
    </row>
    <row r="4" spans="1:11">
      <c r="A4" s="352" t="s">
        <v>164</v>
      </c>
      <c r="B4" s="49">
        <f>IF(ISERROR('SEAP template'!B78+'SEAP template'!C78),0,'SEAP template'!B78+'SEAP template'!C78)</f>
        <v>75344.906359892731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418.78164705882364</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0.13432702699564228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598.25949579831945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2704.5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0.22120890952054703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2184.605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2184.605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0.13432702699564228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293.45149480981513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56567.680569999997</v>
      </c>
      <c r="C5" s="17">
        <f>IF(ISERROR('Eigen informatie GS &amp; warmtenet'!B59),0,'Eigen informatie GS &amp; warmtenet'!B59)</f>
        <v>0</v>
      </c>
      <c r="D5" s="30">
        <f>(SUM(HH_hh_gas_kWh,HH_rest_gas_kWh)/1000)*0.902</f>
        <v>108842.28041469201</v>
      </c>
      <c r="E5" s="17">
        <f>B32*B41</f>
        <v>5336.1595926736682</v>
      </c>
      <c r="F5" s="17">
        <f>B36*B45</f>
        <v>86026.004701207639</v>
      </c>
      <c r="G5" s="18"/>
      <c r="H5" s="17"/>
      <c r="I5" s="17"/>
      <c r="J5" s="17">
        <f>B35*B44+C35*C44</f>
        <v>343.6700960533164</v>
      </c>
      <c r="K5" s="17"/>
      <c r="L5" s="17"/>
      <c r="M5" s="17"/>
      <c r="N5" s="17">
        <f>B34*B43+C34*C43</f>
        <v>20039.582360269364</v>
      </c>
      <c r="O5" s="17">
        <f>B52*B53*B54</f>
        <v>978.09140215780667</v>
      </c>
      <c r="P5" s="17">
        <f>B60*B61*B62/1000-B60*B61*B62/1000/B63</f>
        <v>1369.4147099990528</v>
      </c>
    </row>
    <row r="6" spans="1:16">
      <c r="A6" s="16" t="s">
        <v>598</v>
      </c>
      <c r="B6" s="776">
        <f>kWh_PV_kleiner_dan_10kW</f>
        <v>8917.069982722538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65484.750552722537</v>
      </c>
      <c r="C8" s="21">
        <f>C5</f>
        <v>0</v>
      </c>
      <c r="D8" s="21">
        <f>D5</f>
        <v>108842.28041469201</v>
      </c>
      <c r="E8" s="21">
        <f>E5</f>
        <v>5336.1595926736682</v>
      </c>
      <c r="F8" s="21">
        <f>F5</f>
        <v>86026.004701207639</v>
      </c>
      <c r="G8" s="21"/>
      <c r="H8" s="21"/>
      <c r="I8" s="21"/>
      <c r="J8" s="21">
        <f>J5</f>
        <v>343.6700960533164</v>
      </c>
      <c r="K8" s="21"/>
      <c r="L8" s="21">
        <f>L5</f>
        <v>0</v>
      </c>
      <c r="M8" s="21">
        <f>M5</f>
        <v>0</v>
      </c>
      <c r="N8" s="21">
        <f>N5</f>
        <v>20039.582360269364</v>
      </c>
      <c r="O8" s="21">
        <f>O5</f>
        <v>978.09140215780667</v>
      </c>
      <c r="P8" s="21">
        <f>P5</f>
        <v>1369.4147099990528</v>
      </c>
    </row>
    <row r="9" spans="1:16">
      <c r="B9" s="19"/>
      <c r="C9" s="19"/>
      <c r="D9" s="256"/>
      <c r="E9" s="19"/>
      <c r="F9" s="19"/>
      <c r="G9" s="19"/>
      <c r="H9" s="19"/>
      <c r="I9" s="19"/>
      <c r="J9" s="19"/>
      <c r="K9" s="19"/>
      <c r="L9" s="19"/>
      <c r="M9" s="19"/>
      <c r="N9" s="19"/>
      <c r="O9" s="19"/>
      <c r="P9" s="19"/>
    </row>
    <row r="10" spans="1:16">
      <c r="A10" s="24" t="s">
        <v>207</v>
      </c>
      <c r="B10" s="25">
        <f ca="1">'EF ele_warmte'!B12</f>
        <v>0.13432702699564228</v>
      </c>
      <c r="C10" s="25">
        <f ca="1">'EF ele_warmte'!B22</f>
        <v>0.22120890952054703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8796.371855298461</v>
      </c>
      <c r="C12" s="23">
        <f ca="1">C10*C8</f>
        <v>0</v>
      </c>
      <c r="D12" s="23">
        <f>D8*D10</f>
        <v>21986.140643767787</v>
      </c>
      <c r="E12" s="23">
        <f>E10*E8</f>
        <v>1211.3082275369227</v>
      </c>
      <c r="F12" s="23">
        <f>F10*F8</f>
        <v>22968.943255222443</v>
      </c>
      <c r="G12" s="23"/>
      <c r="H12" s="23"/>
      <c r="I12" s="23"/>
      <c r="J12" s="23">
        <f>J10*J8</f>
        <v>121.65921400287399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14343</v>
      </c>
      <c r="C26" s="36"/>
      <c r="D26" s="226"/>
    </row>
    <row r="27" spans="1:7" s="15" customFormat="1">
      <c r="A27" s="228" t="s">
        <v>800</v>
      </c>
      <c r="B27" s="37">
        <f>SUM(HH_hh_gas_aantal,HH_rest_gas_aantal)</f>
        <v>8449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8026.55</v>
      </c>
      <c r="C31" s="166" t="s">
        <v>104</v>
      </c>
      <c r="D31" s="231"/>
      <c r="G31" s="15"/>
    </row>
    <row r="32" spans="1:7">
      <c r="A32" s="169" t="s">
        <v>72</v>
      </c>
      <c r="B32" s="166">
        <f>IF((B21*($B$26-($B$27-0.05*$B$27)-$B$60))&lt;0,0,B21*($B$26-($B$27-0.05*$B$27)-$B$60))</f>
        <v>98.211122960092311</v>
      </c>
      <c r="C32" s="166" t="s">
        <v>104</v>
      </c>
      <c r="D32" s="231"/>
      <c r="G32" s="15"/>
    </row>
    <row r="33" spans="1:7">
      <c r="A33" s="169" t="s">
        <v>73</v>
      </c>
      <c r="B33" s="166">
        <f>IF((B22*($B$26-($B$27-0.05*$B$27)-$B$60))&lt;0,0,B22*($B$26-($B$27-0.05*$B$27)-$B$60))</f>
        <v>1594.7541276079646</v>
      </c>
      <c r="C33" s="166" t="s">
        <v>104</v>
      </c>
      <c r="D33" s="231"/>
      <c r="G33" s="15"/>
    </row>
    <row r="34" spans="1:7">
      <c r="A34" s="169" t="s">
        <v>74</v>
      </c>
      <c r="B34" s="166">
        <f>IF((B24*($B$26-($B$27-0.05*$B$27)-$B$60))&lt;0,0,B24*($B$26-($B$27-0.05*$B$27)-$B$60))</f>
        <v>305.73570800230135</v>
      </c>
      <c r="C34" s="166">
        <f>B26*C24</f>
        <v>2938.9658946452632</v>
      </c>
      <c r="D34" s="231"/>
      <c r="G34" s="15"/>
    </row>
    <row r="35" spans="1:7">
      <c r="A35" s="169" t="s">
        <v>76</v>
      </c>
      <c r="B35" s="166">
        <f>IF((B19*($B$26-($B$27-0.05*$B$27)-$B$60))&lt;0,0,B19*($B$26-($B$27-0.05*$B$27)-$B$60))</f>
        <v>42.692141009026201</v>
      </c>
      <c r="C35" s="166">
        <f>B35/2</f>
        <v>21.346070504513101</v>
      </c>
      <c r="D35" s="232"/>
      <c r="G35" s="15"/>
    </row>
    <row r="36" spans="1:7">
      <c r="A36" s="169" t="s">
        <v>77</v>
      </c>
      <c r="B36" s="166">
        <f>IF((B18*($B$26-($B$27-0.05*$B$27)-$B$60))&lt;0,0,B18*($B$26-($B$27-0.05*$B$27)-$B$60))</f>
        <v>4145.0569004206145</v>
      </c>
      <c r="C36" s="166" t="s">
        <v>104</v>
      </c>
      <c r="D36" s="232"/>
      <c r="G36" s="15"/>
    </row>
    <row r="37" spans="1:7">
      <c r="A37" s="169" t="s">
        <v>78</v>
      </c>
      <c r="B37" s="166">
        <f>B60</f>
        <v>130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493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42072.142876000005</v>
      </c>
      <c r="C5" s="17">
        <f>IF(ISERROR('Eigen informatie GS &amp; warmtenet'!B60),0,'Eigen informatie GS &amp; warmtenet'!B60)</f>
        <v>0</v>
      </c>
      <c r="D5" s="30">
        <f>SUM(D6:D12)</f>
        <v>54274.326551676</v>
      </c>
      <c r="E5" s="17">
        <f>SUM(E6:E12)</f>
        <v>583.24065317453983</v>
      </c>
      <c r="F5" s="17">
        <f>SUM(F6:F12)</f>
        <v>4786.6801320241284</v>
      </c>
      <c r="G5" s="18"/>
      <c r="H5" s="17"/>
      <c r="I5" s="17"/>
      <c r="J5" s="17">
        <f>SUM(J6:J12)</f>
        <v>8.9268063742701437E-2</v>
      </c>
      <c r="K5" s="17"/>
      <c r="L5" s="17"/>
      <c r="M5" s="17"/>
      <c r="N5" s="17">
        <f>SUM(N6:N12)</f>
        <v>3520.0618892359535</v>
      </c>
      <c r="O5" s="17">
        <f>B38*B39*B40</f>
        <v>48.972607658411548</v>
      </c>
      <c r="P5" s="17">
        <f>B46*B47*B48/1000-B46*B47*B48/1000/B49</f>
        <v>210.15655322598008</v>
      </c>
      <c r="R5" s="32"/>
    </row>
    <row r="6" spans="1:18">
      <c r="A6" s="32" t="s">
        <v>53</v>
      </c>
      <c r="B6" s="37">
        <f>B26</f>
        <v>11850.608829999999</v>
      </c>
      <c r="C6" s="33"/>
      <c r="D6" s="37">
        <f>IF(ISERROR(TER_kantoor_gas_kWh/1000),0,TER_kantoor_gas_kWh/1000)*0.902</f>
        <v>10793.331765480001</v>
      </c>
      <c r="E6" s="33">
        <f>$C$26*'E Balans VL '!I12/100/3.6*1000000</f>
        <v>95.358049650477128</v>
      </c>
      <c r="F6" s="33">
        <f>$C$26*('E Balans VL '!L12+'E Balans VL '!N12)/100/3.6*1000000</f>
        <v>1448.8615938811784</v>
      </c>
      <c r="G6" s="34"/>
      <c r="H6" s="33"/>
      <c r="I6" s="33"/>
      <c r="J6" s="33">
        <f>$C$26*('E Balans VL '!D12+'E Balans VL '!E12)/100/3.6*1000000</f>
        <v>0</v>
      </c>
      <c r="K6" s="33"/>
      <c r="L6" s="33"/>
      <c r="M6" s="33"/>
      <c r="N6" s="33">
        <f>$C$26*'E Balans VL '!Y12/100/3.6*1000000</f>
        <v>6.3691186668035353</v>
      </c>
      <c r="O6" s="33"/>
      <c r="P6" s="33"/>
      <c r="R6" s="32"/>
    </row>
    <row r="7" spans="1:18">
      <c r="A7" s="32" t="s">
        <v>52</v>
      </c>
      <c r="B7" s="37">
        <f t="shared" ref="B7:B12" si="0">B27</f>
        <v>2225.7958560000002</v>
      </c>
      <c r="C7" s="33"/>
      <c r="D7" s="37">
        <f>IF(ISERROR(TER_horeca_gas_kWh/1000),0,TER_horeca_gas_kWh/1000)*0.902</f>
        <v>2565.2097000859999</v>
      </c>
      <c r="E7" s="33">
        <f>$C$27*'E Balans VL '!I9/100/3.6*1000000</f>
        <v>23.899581894358882</v>
      </c>
      <c r="F7" s="33">
        <f>$C$27*('E Balans VL '!L9+'E Balans VL '!N9)/100/3.6*1000000</f>
        <v>267.70926883706278</v>
      </c>
      <c r="G7" s="34"/>
      <c r="H7" s="33"/>
      <c r="I7" s="33"/>
      <c r="J7" s="33">
        <f>$C$27*('E Balans VL '!D9+'E Balans VL '!E9)/100/3.6*1000000</f>
        <v>0</v>
      </c>
      <c r="K7" s="33"/>
      <c r="L7" s="33"/>
      <c r="M7" s="33"/>
      <c r="N7" s="33">
        <f>$C$27*'E Balans VL '!Y9/100/3.6*1000000</f>
        <v>0.33369191045900531</v>
      </c>
      <c r="O7" s="33"/>
      <c r="P7" s="33"/>
      <c r="R7" s="32"/>
    </row>
    <row r="8" spans="1:18">
      <c r="A8" s="6" t="s">
        <v>51</v>
      </c>
      <c r="B8" s="37">
        <f t="shared" si="0"/>
        <v>12395.691500000001</v>
      </c>
      <c r="C8" s="33"/>
      <c r="D8" s="37">
        <f>IF(ISERROR(TER_handel_gas_kWh/1000),0,TER_handel_gas_kWh/1000)*0.902</f>
        <v>5121.008167594</v>
      </c>
      <c r="E8" s="33">
        <f>$C$28*'E Balans VL '!I13/100/3.6*1000000</f>
        <v>332.66241081860863</v>
      </c>
      <c r="F8" s="33">
        <f>$C$28*('E Balans VL '!L13+'E Balans VL '!N13)/100/3.6*1000000</f>
        <v>1182.931014162968</v>
      </c>
      <c r="G8" s="34"/>
      <c r="H8" s="33"/>
      <c r="I8" s="33"/>
      <c r="J8" s="33">
        <f>$C$28*('E Balans VL '!D13+'E Balans VL '!E13)/100/3.6*1000000</f>
        <v>0</v>
      </c>
      <c r="K8" s="33"/>
      <c r="L8" s="33"/>
      <c r="M8" s="33"/>
      <c r="N8" s="33">
        <f>$C$28*'E Balans VL '!Y13/100/3.6*1000000</f>
        <v>4.9137930543906556</v>
      </c>
      <c r="O8" s="33"/>
      <c r="P8" s="33"/>
      <c r="R8" s="32"/>
    </row>
    <row r="9" spans="1:18">
      <c r="A9" s="32" t="s">
        <v>50</v>
      </c>
      <c r="B9" s="37">
        <f t="shared" si="0"/>
        <v>2560.4786209999997</v>
      </c>
      <c r="C9" s="33"/>
      <c r="D9" s="37">
        <f>IF(ISERROR(TER_gezond_gas_kWh/1000),0,TER_gezond_gas_kWh/1000)*0.902</f>
        <v>4888.3054152679997</v>
      </c>
      <c r="E9" s="33">
        <f>$C$29*'E Balans VL '!I10/100/3.6*1000000</f>
        <v>4.7991706637966347</v>
      </c>
      <c r="F9" s="33">
        <f>$C$29*('E Balans VL '!L10+'E Balans VL '!N10)/100/3.6*1000000</f>
        <v>210.49470521345339</v>
      </c>
      <c r="G9" s="34"/>
      <c r="H9" s="33"/>
      <c r="I9" s="33"/>
      <c r="J9" s="33">
        <f>$C$29*('E Balans VL '!D10+'E Balans VL '!E10)/100/3.6*1000000</f>
        <v>0</v>
      </c>
      <c r="K9" s="33"/>
      <c r="L9" s="33"/>
      <c r="M9" s="33"/>
      <c r="N9" s="33">
        <f>$C$29*'E Balans VL '!Y10/100/3.6*1000000</f>
        <v>19.922434062929611</v>
      </c>
      <c r="O9" s="33"/>
      <c r="P9" s="33"/>
      <c r="R9" s="32"/>
    </row>
    <row r="10" spans="1:18">
      <c r="A10" s="32" t="s">
        <v>49</v>
      </c>
      <c r="B10" s="37">
        <f t="shared" si="0"/>
        <v>4344.9332779999995</v>
      </c>
      <c r="C10" s="33"/>
      <c r="D10" s="37">
        <f>IF(ISERROR(TER_ander_gas_kWh/1000),0,TER_ander_gas_kWh/1000)*0.902</f>
        <v>3611.983152624</v>
      </c>
      <c r="E10" s="33">
        <f>$C$30*'E Balans VL '!I14/100/3.6*1000000</f>
        <v>6.6977586745656392</v>
      </c>
      <c r="F10" s="33">
        <f>$C$30*('E Balans VL '!L14+'E Balans VL '!N14)/100/3.6*1000000</f>
        <v>674.55209089427751</v>
      </c>
      <c r="G10" s="34"/>
      <c r="H10" s="33"/>
      <c r="I10" s="33"/>
      <c r="J10" s="33">
        <f>$C$30*('E Balans VL '!D14+'E Balans VL '!E14)/100/3.6*1000000</f>
        <v>7.375982466843857E-2</v>
      </c>
      <c r="K10" s="33"/>
      <c r="L10" s="33"/>
      <c r="M10" s="33"/>
      <c r="N10" s="33">
        <f>$C$30*'E Balans VL '!Y14/100/3.6*1000000</f>
        <v>2874.4686026585327</v>
      </c>
      <c r="O10" s="33"/>
      <c r="P10" s="33"/>
      <c r="R10" s="32"/>
    </row>
    <row r="11" spans="1:18">
      <c r="A11" s="32" t="s">
        <v>54</v>
      </c>
      <c r="B11" s="37">
        <f t="shared" si="0"/>
        <v>602.45257400000003</v>
      </c>
      <c r="C11" s="33"/>
      <c r="D11" s="37">
        <f>IF(ISERROR(TER_onderwijs_gas_kWh/1000),0,TER_onderwijs_gas_kWh/1000)*0.902</f>
        <v>3270.4315169239999</v>
      </c>
      <c r="E11" s="33">
        <f>$C$31*'E Balans VL '!I11/100/3.6*1000000</f>
        <v>15.366655422078836</v>
      </c>
      <c r="F11" s="33">
        <f>$C$31*('E Balans VL '!L11+'E Balans VL '!N11)/100/3.6*1000000</f>
        <v>72.450592523066661</v>
      </c>
      <c r="G11" s="34"/>
      <c r="H11" s="33"/>
      <c r="I11" s="33"/>
      <c r="J11" s="33">
        <f>$C$31*('E Balans VL '!D11+'E Balans VL '!E11)/100/3.6*1000000</f>
        <v>0</v>
      </c>
      <c r="K11" s="33"/>
      <c r="L11" s="33"/>
      <c r="M11" s="33"/>
      <c r="N11" s="33">
        <f>$C$31*'E Balans VL '!Y11/100/3.6*1000000</f>
        <v>1.3398398246065295</v>
      </c>
      <c r="O11" s="33"/>
      <c r="P11" s="33"/>
      <c r="R11" s="32"/>
    </row>
    <row r="12" spans="1:18">
      <c r="A12" s="32" t="s">
        <v>248</v>
      </c>
      <c r="B12" s="37">
        <f t="shared" si="0"/>
        <v>8092.1822170000005</v>
      </c>
      <c r="C12" s="33"/>
      <c r="D12" s="37">
        <f>IF(ISERROR(TER_rest_gas_kWh/1000),0,TER_rest_gas_kWh/1000)*0.902</f>
        <v>24024.0568337</v>
      </c>
      <c r="E12" s="33">
        <f>$C$32*'E Balans VL '!I8/100/3.6*1000000</f>
        <v>104.45702605065404</v>
      </c>
      <c r="F12" s="33">
        <f>$C$32*('E Balans VL '!L8+'E Balans VL '!N8)/100/3.6*1000000</f>
        <v>929.68086651212161</v>
      </c>
      <c r="G12" s="34"/>
      <c r="H12" s="33"/>
      <c r="I12" s="33"/>
      <c r="J12" s="33">
        <f>$C$32*('E Balans VL '!D8+'E Balans VL '!E8)/100/3.6*1000000</f>
        <v>1.5508239074262862E-2</v>
      </c>
      <c r="K12" s="33"/>
      <c r="L12" s="33"/>
      <c r="M12" s="33"/>
      <c r="N12" s="33">
        <f>$C$32*'E Balans VL '!Y8/100/3.6*1000000</f>
        <v>612.71440905823147</v>
      </c>
      <c r="O12" s="33"/>
      <c r="P12" s="33"/>
      <c r="R12" s="32"/>
    </row>
    <row r="13" spans="1:18">
      <c r="A13" s="16" t="s">
        <v>465</v>
      </c>
      <c r="B13" s="245">
        <f ca="1">'lokale energieproductie'!N41+'lokale energieproductie'!N34</f>
        <v>56.7</v>
      </c>
      <c r="C13" s="245">
        <f ca="1">'lokale energieproductie'!O41+'lokale energieproductie'!O34</f>
        <v>81</v>
      </c>
      <c r="D13" s="304">
        <f ca="1">('lokale energieproductie'!P34+'lokale energieproductie'!P41)*(-1)</f>
        <v>-162.00000000000003</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42128.842876000002</v>
      </c>
      <c r="C16" s="21">
        <f t="shared" ca="1" si="1"/>
        <v>81</v>
      </c>
      <c r="D16" s="21">
        <f t="shared" ca="1" si="1"/>
        <v>54112.326551676</v>
      </c>
      <c r="E16" s="21">
        <f t="shared" si="1"/>
        <v>583.24065317453983</v>
      </c>
      <c r="F16" s="21">
        <f t="shared" ca="1" si="1"/>
        <v>4786.6801320241284</v>
      </c>
      <c r="G16" s="21">
        <f t="shared" si="1"/>
        <v>0</v>
      </c>
      <c r="H16" s="21">
        <f t="shared" si="1"/>
        <v>0</v>
      </c>
      <c r="I16" s="21">
        <f t="shared" si="1"/>
        <v>0</v>
      </c>
      <c r="J16" s="21">
        <f t="shared" si="1"/>
        <v>8.9268063742701437E-2</v>
      </c>
      <c r="K16" s="21">
        <f t="shared" si="1"/>
        <v>0</v>
      </c>
      <c r="L16" s="21">
        <f t="shared" ca="1" si="1"/>
        <v>0</v>
      </c>
      <c r="M16" s="21">
        <f t="shared" si="1"/>
        <v>0</v>
      </c>
      <c r="N16" s="21">
        <f t="shared" ca="1" si="1"/>
        <v>3520.0618892359535</v>
      </c>
      <c r="O16" s="21">
        <f>O5</f>
        <v>48.972607658411548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0.13432702699564228</v>
      </c>
      <c r="C18" s="25">
        <f ca="1">'EF ele_warmte'!B22</f>
        <v>0.22120890952054703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5659.042214299624</v>
      </c>
      <c r="C20" s="23">
        <f t="shared" ref="C20:P20" ca="1" si="2">C16*C18</f>
        <v>17.917921671164308</v>
      </c>
      <c r="D20" s="23">
        <f t="shared" ca="1" si="2"/>
        <v>10930.689963438554</v>
      </c>
      <c r="E20" s="23">
        <f t="shared" si="2"/>
        <v>132.39562827062053</v>
      </c>
      <c r="F20" s="23">
        <f t="shared" ca="1" si="2"/>
        <v>1278.0435952504424</v>
      </c>
      <c r="G20" s="23">
        <f t="shared" si="2"/>
        <v>0</v>
      </c>
      <c r="H20" s="23">
        <f t="shared" si="2"/>
        <v>0</v>
      </c>
      <c r="I20" s="23">
        <f t="shared" si="2"/>
        <v>0</v>
      </c>
      <c r="J20" s="23">
        <f t="shared" si="2"/>
        <v>3.1600894564916306E-2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11850.608829999999</v>
      </c>
      <c r="C26" s="39">
        <f>IF(ISERROR(B26*3.6/1000000/'E Balans VL '!Z12*100),0,B26*3.6/1000000/'E Balans VL '!Z12*100)</f>
        <v>0.25139982426640423</v>
      </c>
      <c r="D26" s="235" t="s">
        <v>692</v>
      </c>
      <c r="F26" s="6"/>
    </row>
    <row r="27" spans="1:18">
      <c r="A27" s="229" t="s">
        <v>52</v>
      </c>
      <c r="B27" s="33">
        <f>IF(ISERROR(TER_horeca_ele_kWh/1000),0,TER_horeca_ele_kWh/1000)</f>
        <v>2225.7958560000002</v>
      </c>
      <c r="C27" s="39">
        <f>IF(ISERROR(B27*3.6/1000000/'E Balans VL '!Z9*100),0,B27*3.6/1000000/'E Balans VL '!Z9*100)</f>
        <v>0.16762214518398622</v>
      </c>
      <c r="D27" s="235" t="s">
        <v>692</v>
      </c>
      <c r="F27" s="6"/>
    </row>
    <row r="28" spans="1:18">
      <c r="A28" s="169" t="s">
        <v>51</v>
      </c>
      <c r="B28" s="33">
        <f>IF(ISERROR(TER_handel_ele_kWh/1000),0,TER_handel_ele_kWh/1000)</f>
        <v>12395.691500000001</v>
      </c>
      <c r="C28" s="39">
        <f>IF(ISERROR(B28*3.6/1000000/'E Balans VL '!Z13*100),0,B28*3.6/1000000/'E Balans VL '!Z13*100)</f>
        <v>0.35980300288319172</v>
      </c>
      <c r="D28" s="235" t="s">
        <v>692</v>
      </c>
      <c r="F28" s="6"/>
    </row>
    <row r="29" spans="1:18">
      <c r="A29" s="229" t="s">
        <v>50</v>
      </c>
      <c r="B29" s="33">
        <f>IF(ISERROR(TER_gezond_ele_kWh/1000),0,TER_gezond_ele_kWh/1000)</f>
        <v>2560.4786209999997</v>
      </c>
      <c r="C29" s="39">
        <f>IF(ISERROR(B29*3.6/1000000/'E Balans VL '!Z10*100),0,B29*3.6/1000000/'E Balans VL '!Z10*100)</f>
        <v>0.25822732242297169</v>
      </c>
      <c r="D29" s="235" t="s">
        <v>692</v>
      </c>
      <c r="F29" s="6"/>
    </row>
    <row r="30" spans="1:18">
      <c r="A30" s="229" t="s">
        <v>49</v>
      </c>
      <c r="B30" s="33">
        <f>IF(ISERROR(TER_ander_ele_kWh/1000),0,TER_ander_ele_kWh/1000)</f>
        <v>4344.9332779999995</v>
      </c>
      <c r="C30" s="39">
        <f>IF(ISERROR(B30*3.6/1000000/'E Balans VL '!Z14*100),0,B30*3.6/1000000/'E Balans VL '!Z14*100)</f>
        <v>0.31528418507732353</v>
      </c>
      <c r="D30" s="235" t="s">
        <v>692</v>
      </c>
      <c r="F30" s="6"/>
    </row>
    <row r="31" spans="1:18">
      <c r="A31" s="229" t="s">
        <v>54</v>
      </c>
      <c r="B31" s="33">
        <f>IF(ISERROR(TER_onderwijs_ele_kWh/1000),0,TER_onderwijs_ele_kWh/1000)</f>
        <v>602.45257400000003</v>
      </c>
      <c r="C31" s="39">
        <f>IF(ISERROR(B31*3.6/1000000/'E Balans VL '!Z11*100),0,B31*3.6/1000000/'E Balans VL '!Z11*100)</f>
        <v>0.17172351660115923</v>
      </c>
      <c r="D31" s="235" t="s">
        <v>692</v>
      </c>
    </row>
    <row r="32" spans="1:18">
      <c r="A32" s="229" t="s">
        <v>248</v>
      </c>
      <c r="B32" s="33">
        <f>IF(ISERROR(TER_rest_ele_kWh/1000),0,TER_rest_ele_kWh/1000)</f>
        <v>8092.1822170000005</v>
      </c>
      <c r="C32" s="39">
        <f>IF(ISERROR(B32*3.6/1000000/'E Balans VL '!Z8*100),0,B32*3.6/1000000/'E Balans VL '!Z8*100)</f>
        <v>6.6289508421316284E-2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69930.373257000014</v>
      </c>
      <c r="C5" s="17">
        <f>IF(ISERROR('Eigen informatie GS &amp; warmtenet'!B61),0,'Eigen informatie GS &amp; warmtenet'!B61)</f>
        <v>0</v>
      </c>
      <c r="D5" s="30">
        <f>SUM(D6:D15)</f>
        <v>64406.941134316003</v>
      </c>
      <c r="E5" s="17">
        <f>SUM(E6:E15)</f>
        <v>1543.9017000942961</v>
      </c>
      <c r="F5" s="17">
        <f>SUM(F6:F15)</f>
        <v>5635.143670327916</v>
      </c>
      <c r="G5" s="18"/>
      <c r="H5" s="17"/>
      <c r="I5" s="17"/>
      <c r="J5" s="17">
        <f>SUM(J6:J15)</f>
        <v>131.77498668761083</v>
      </c>
      <c r="K5" s="17"/>
      <c r="L5" s="17"/>
      <c r="M5" s="17"/>
      <c r="N5" s="17">
        <f>SUM(N6:N15)</f>
        <v>931.99502910433841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2131.3033229999996</v>
      </c>
      <c r="C8" s="33"/>
      <c r="D8" s="37">
        <f>IF( ISERROR(IND_metaal_Gas_kWH/1000),0,IND_metaal_Gas_kWH/1000)*0.902</f>
        <v>322.35273978600003</v>
      </c>
      <c r="E8" s="33">
        <f>C30*'E Balans VL '!I18/100/3.6*1000000</f>
        <v>15.375857586967831</v>
      </c>
      <c r="F8" s="33">
        <f>C30*'E Balans VL '!L18/100/3.6*1000000+C30*'E Balans VL '!N18/100/3.6*1000000</f>
        <v>201.5819958753907</v>
      </c>
      <c r="G8" s="34"/>
      <c r="H8" s="33"/>
      <c r="I8" s="33"/>
      <c r="J8" s="40">
        <f>C30*'E Balans VL '!D18/100/3.6*1000000+C30*'E Balans VL '!E18/100/3.6*1000000</f>
        <v>2.1436772676992568</v>
      </c>
      <c r="K8" s="33"/>
      <c r="L8" s="33"/>
      <c r="M8" s="33"/>
      <c r="N8" s="33">
        <f>C30*'E Balans VL '!Y18/100/3.6*1000000</f>
        <v>26.945312874606842</v>
      </c>
      <c r="O8" s="33"/>
      <c r="P8" s="33"/>
      <c r="R8" s="32"/>
    </row>
    <row r="9" spans="1:18">
      <c r="A9" s="6" t="s">
        <v>32</v>
      </c>
      <c r="B9" s="37">
        <f t="shared" si="0"/>
        <v>2886.1379150000002</v>
      </c>
      <c r="C9" s="33"/>
      <c r="D9" s="37">
        <f>IF( ISERROR(IND_andere_gas_kWh/1000),0,IND_andere_gas_kWh/1000)*0.902</f>
        <v>34869.761163599993</v>
      </c>
      <c r="E9" s="33">
        <f>C31*'E Balans VL '!I19/100/3.6*1000000</f>
        <v>799.78740874537812</v>
      </c>
      <c r="F9" s="33">
        <f>C31*'E Balans VL '!L19/100/3.6*1000000+C31*'E Balans VL '!N19/100/3.6*1000000</f>
        <v>2392.0373409441031</v>
      </c>
      <c r="G9" s="34"/>
      <c r="H9" s="33"/>
      <c r="I9" s="33"/>
      <c r="J9" s="40">
        <f>C31*'E Balans VL '!D19/100/3.6*1000000+C31*'E Balans VL '!E19/100/3.6*1000000</f>
        <v>0</v>
      </c>
      <c r="K9" s="33"/>
      <c r="L9" s="33"/>
      <c r="M9" s="33"/>
      <c r="N9" s="33">
        <f>C31*'E Balans VL '!Y19/100/3.6*1000000</f>
        <v>209.49831134064343</v>
      </c>
      <c r="O9" s="33"/>
      <c r="P9" s="33"/>
      <c r="R9" s="32"/>
    </row>
    <row r="10" spans="1:18">
      <c r="A10" s="6" t="s">
        <v>40</v>
      </c>
      <c r="B10" s="37">
        <f t="shared" si="0"/>
        <v>2307.3257360000002</v>
      </c>
      <c r="C10" s="33"/>
      <c r="D10" s="37">
        <f>IF( ISERROR(IND_voed_gas_kWh/1000),0,IND_voed_gas_kWh/1000)*0.902</f>
        <v>2195.9794628640002</v>
      </c>
      <c r="E10" s="33">
        <f>C32*'E Balans VL '!I20/100/3.6*1000000</f>
        <v>4.0847480940536371</v>
      </c>
      <c r="F10" s="33">
        <f>C32*'E Balans VL '!L20/100/3.6*1000000+C32*'E Balans VL '!N20/100/3.6*1000000</f>
        <v>124.61603938856187</v>
      </c>
      <c r="G10" s="34"/>
      <c r="H10" s="33"/>
      <c r="I10" s="33"/>
      <c r="J10" s="40">
        <f>C32*'E Balans VL '!D20/100/3.6*1000000+C32*'E Balans VL '!E20/100/3.6*1000000</f>
        <v>0</v>
      </c>
      <c r="K10" s="33"/>
      <c r="L10" s="33"/>
      <c r="M10" s="33"/>
      <c r="N10" s="33">
        <f>C32*'E Balans VL '!Y20/100/3.6*1000000</f>
        <v>134.07324652782248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118.54326399999999</v>
      </c>
      <c r="C12" s="33"/>
      <c r="D12" s="37">
        <f>IF( ISERROR(IND_min_gas_kWh/1000),0,IND_min_gas_kWh/1000)*0.902</f>
        <v>0</v>
      </c>
      <c r="E12" s="33">
        <f>C34*'E Balans VL '!I22/100/3.6*1000000</f>
        <v>5.2202224987085684</v>
      </c>
      <c r="F12" s="33">
        <f>C34*'E Balans VL '!L22/100/3.6*1000000+C34*'E Balans VL '!N22/100/3.6*1000000</f>
        <v>46.355203660051252</v>
      </c>
      <c r="G12" s="34"/>
      <c r="H12" s="33"/>
      <c r="I12" s="33"/>
      <c r="J12" s="40">
        <f>C34*'E Balans VL '!D22/100/3.6*1000000+C34*'E Balans VL '!E22/100/3.6*1000000</f>
        <v>3.599394749920426E-2</v>
      </c>
      <c r="K12" s="33"/>
      <c r="L12" s="33"/>
      <c r="M12" s="33"/>
      <c r="N12" s="33">
        <f>C34*'E Balans VL '!Y22/100/3.6*1000000</f>
        <v>29.324011050502044</v>
      </c>
      <c r="O12" s="33"/>
      <c r="P12" s="33"/>
      <c r="R12" s="32"/>
    </row>
    <row r="13" spans="1:18">
      <c r="A13" s="6" t="s">
        <v>38</v>
      </c>
      <c r="B13" s="37">
        <f t="shared" si="0"/>
        <v>214.17775899999998</v>
      </c>
      <c r="C13" s="33"/>
      <c r="D13" s="37">
        <f>IF( ISERROR(IND_papier_gas_kWh/1000),0,IND_papier_gas_kWh/1000)*0.902</f>
        <v>216.848776386</v>
      </c>
      <c r="E13" s="33">
        <f>C35*'E Balans VL '!I23/100/3.6*1000000</f>
        <v>0.31512902788559871</v>
      </c>
      <c r="F13" s="33">
        <f>C35*'E Balans VL '!L23/100/3.6*1000000+C35*'E Balans VL '!N23/100/3.6*1000000</f>
        <v>2.2932669169973265</v>
      </c>
      <c r="G13" s="34"/>
      <c r="H13" s="33"/>
      <c r="I13" s="33"/>
      <c r="J13" s="40">
        <f>C35*'E Balans VL '!D23/100/3.6*1000000+C35*'E Balans VL '!E23/100/3.6*1000000</f>
        <v>23.432247880622743</v>
      </c>
      <c r="K13" s="33"/>
      <c r="L13" s="33"/>
      <c r="M13" s="33"/>
      <c r="N13" s="33">
        <f>C35*'E Balans VL '!Y23/100/3.6*1000000</f>
        <v>0</v>
      </c>
      <c r="O13" s="33"/>
      <c r="P13" s="33"/>
      <c r="R13" s="32"/>
    </row>
    <row r="14" spans="1:18">
      <c r="A14" s="6" t="s">
        <v>33</v>
      </c>
      <c r="B14" s="37">
        <f t="shared" si="0"/>
        <v>49422.101590000006</v>
      </c>
      <c r="C14" s="33"/>
      <c r="D14" s="37">
        <f>IF( ISERROR(IND_chemie_gas_kWh/1000),0,IND_chemie_gas_kWh/1000)*0.902</f>
        <v>0</v>
      </c>
      <c r="E14" s="33">
        <f>C36*'E Balans VL '!I24/100/3.6*1000000</f>
        <v>111.78283924378852</v>
      </c>
      <c r="F14" s="33">
        <f>C36*'E Balans VL '!L24/100/3.6*1000000+C36*'E Balans VL '!N24/100/3.6*1000000</f>
        <v>583.52533045110329</v>
      </c>
      <c r="G14" s="34"/>
      <c r="H14" s="33"/>
      <c r="I14" s="33"/>
      <c r="J14" s="40">
        <f>C36*'E Balans VL '!D24/100/3.6*1000000+C36*'E Balans VL '!E24/100/3.6*1000000</f>
        <v>0</v>
      </c>
      <c r="K14" s="33"/>
      <c r="L14" s="33"/>
      <c r="M14" s="33"/>
      <c r="N14" s="33">
        <f>C36*'E Balans VL '!Y24/100/3.6*1000000</f>
        <v>27.146820669872323</v>
      </c>
      <c r="O14" s="33"/>
      <c r="P14" s="33"/>
      <c r="R14" s="32"/>
    </row>
    <row r="15" spans="1:18">
      <c r="A15" s="6" t="s">
        <v>258</v>
      </c>
      <c r="B15" s="37">
        <f t="shared" si="0"/>
        <v>12850.783670000001</v>
      </c>
      <c r="C15" s="33"/>
      <c r="D15" s="37">
        <f>IF( ISERROR(IND_rest_gas_kWh/1000),0,IND_rest_gas_kWh/1000)*0.902</f>
        <v>26801.99899168</v>
      </c>
      <c r="E15" s="33">
        <f>C37*'E Balans VL '!I15/100/3.6*1000000</f>
        <v>607.33549489751363</v>
      </c>
      <c r="F15" s="33">
        <f>C37*'E Balans VL '!L15/100/3.6*1000000+C37*'E Balans VL '!N15/100/3.6*1000000</f>
        <v>2284.7344930917079</v>
      </c>
      <c r="G15" s="34"/>
      <c r="H15" s="33"/>
      <c r="I15" s="33"/>
      <c r="J15" s="40">
        <f>C37*'E Balans VL '!D15/100/3.6*1000000+C37*'E Balans VL '!E15/100/3.6*1000000</f>
        <v>106.16306759178964</v>
      </c>
      <c r="K15" s="33"/>
      <c r="L15" s="33"/>
      <c r="M15" s="33"/>
      <c r="N15" s="33">
        <f>C37*'E Balans VL '!Y15/100/3.6*1000000</f>
        <v>505.00732664089122</v>
      </c>
      <c r="O15" s="33"/>
      <c r="P15" s="33"/>
      <c r="R15" s="32"/>
    </row>
    <row r="16" spans="1:18">
      <c r="A16" s="16" t="s">
        <v>465</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69930.373257000014</v>
      </c>
      <c r="C18" s="21">
        <f>C5+C16</f>
        <v>0</v>
      </c>
      <c r="D18" s="21">
        <f>MAX((D5+D16),0)</f>
        <v>64406.941134316003</v>
      </c>
      <c r="E18" s="21">
        <f>MAX((E5+E16),0)</f>
        <v>1543.9017000942961</v>
      </c>
      <c r="F18" s="21">
        <f>MAX((F5+F16),0)</f>
        <v>5635.143670327916</v>
      </c>
      <c r="G18" s="21"/>
      <c r="H18" s="21"/>
      <c r="I18" s="21"/>
      <c r="J18" s="21">
        <f>MAX((J5+J16),0)</f>
        <v>131.77498668761083</v>
      </c>
      <c r="K18" s="21"/>
      <c r="L18" s="21">
        <f>MAX((L5+L16),0)</f>
        <v>0</v>
      </c>
      <c r="M18" s="21"/>
      <c r="N18" s="21">
        <f>MAX((N5+N16),0)</f>
        <v>931.99502910433841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0.13432702699564228</v>
      </c>
      <c r="C20" s="25">
        <f ca="1">'EF ele_warmte'!B22</f>
        <v>0.22120890952054703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9393.5391363083818</v>
      </c>
      <c r="C22" s="23">
        <f ca="1">C18*C20</f>
        <v>0</v>
      </c>
      <c r="D22" s="23">
        <f>D18*D20</f>
        <v>13010.202109131833</v>
      </c>
      <c r="E22" s="23">
        <f>E18*E20</f>
        <v>350.46568592140522</v>
      </c>
      <c r="F22" s="23">
        <f>F18*F20</f>
        <v>1504.5833599775538</v>
      </c>
      <c r="G22" s="23"/>
      <c r="H22" s="23"/>
      <c r="I22" s="23"/>
      <c r="J22" s="23">
        <f>J18*J20</f>
        <v>46.64834528741423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2131.3033229999996</v>
      </c>
      <c r="C30" s="39">
        <f>IF(ISERROR(B30*3.6/1000000/'E Balans VL '!Z18*100),0,B30*3.6/1000000/'E Balans VL '!Z18*100)</f>
        <v>0.12303681526262056</v>
      </c>
      <c r="D30" s="235" t="s">
        <v>692</v>
      </c>
    </row>
    <row r="31" spans="1:18">
      <c r="A31" s="6" t="s">
        <v>32</v>
      </c>
      <c r="B31" s="37">
        <f>IF( ISERROR(IND_ander_ele_kWh/1000),0,IND_ander_ele_kWh/1000)</f>
        <v>2886.1379150000002</v>
      </c>
      <c r="C31" s="39">
        <f>IF(ISERROR(B31*3.6/1000000/'E Balans VL '!Z19*100),0,B31*3.6/1000000/'E Balans VL '!Z19*100)</f>
        <v>0.14516338207068538</v>
      </c>
      <c r="D31" s="235" t="s">
        <v>692</v>
      </c>
    </row>
    <row r="32" spans="1:18">
      <c r="A32" s="169" t="s">
        <v>40</v>
      </c>
      <c r="B32" s="37">
        <f>IF( ISERROR(IND_voed_ele_kWh/1000),0,IND_voed_ele_kWh/1000)</f>
        <v>2307.3257360000002</v>
      </c>
      <c r="C32" s="39">
        <f>IF(ISERROR(B32*3.6/1000000/'E Balans VL '!Z20*100),0,B32*3.6/1000000/'E Balans VL '!Z20*100)</f>
        <v>7.6847648481434133E-2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118.54326399999999</v>
      </c>
      <c r="C34" s="39">
        <f>IF(ISERROR(B34*3.6/1000000/'E Balans VL '!Z22*100),0,B34*3.6/1000000/'E Balans VL '!Z22*100)</f>
        <v>2.2112322695755714E-2</v>
      </c>
      <c r="D34" s="235" t="s">
        <v>692</v>
      </c>
    </row>
    <row r="35" spans="1:5">
      <c r="A35" s="169" t="s">
        <v>38</v>
      </c>
      <c r="B35" s="37">
        <f>IF( ISERROR(IND_papier_ele_kWh/1000),0,IND_papier_ele_kWh/1000)</f>
        <v>214.17775899999998</v>
      </c>
      <c r="C35" s="39">
        <f>IF(ISERROR(B35*3.6/1000000/'E Balans VL '!Z22*100),0,B35*3.6/1000000/'E Balans VL '!Z22*100)</f>
        <v>3.995138619822209E-2</v>
      </c>
      <c r="D35" s="235" t="s">
        <v>692</v>
      </c>
    </row>
    <row r="36" spans="1:5">
      <c r="A36" s="169" t="s">
        <v>33</v>
      </c>
      <c r="B36" s="37">
        <f>IF( ISERROR(IND_chemie_ele_kWh/1000),0,IND_chemie_ele_kWh/1000)</f>
        <v>49422.101590000006</v>
      </c>
      <c r="C36" s="39">
        <f>IF(ISERROR(B36*3.6/1000000/'E Balans VL '!Z24*100),0,B36*3.6/1000000/'E Balans VL '!Z24*100)</f>
        <v>1.3035688196817437</v>
      </c>
      <c r="D36" s="235" t="s">
        <v>692</v>
      </c>
    </row>
    <row r="37" spans="1:5">
      <c r="A37" s="169" t="s">
        <v>258</v>
      </c>
      <c r="B37" s="37">
        <f>IF( ISERROR(IND_rest_ele_kWh/1000),0,IND_rest_ele_kWh/1000)</f>
        <v>12850.783670000001</v>
      </c>
      <c r="C37" s="39">
        <f>IF(ISERROR(B37*3.6/1000000/'E Balans VL '!Z15*100),0,B37*3.6/1000000/'E Balans VL '!Z15*100)</f>
        <v>0.1002712547798799</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4623.2567540000009</v>
      </c>
      <c r="C5" s="17">
        <f>'Eigen informatie GS &amp; warmtenet'!B62</f>
        <v>0</v>
      </c>
      <c r="D5" s="30">
        <f>IF(ISERROR(SUM(LB_lb_gas_kWh,LB_rest_gas_kWh)/1000),0,SUM(LB_lb_gas_kWh,LB_rest_gas_kWh)/1000)*0.902</f>
        <v>6670.7943767520001</v>
      </c>
      <c r="E5" s="17">
        <f>B17*'E Balans VL '!I25/3.6*1000000/100</f>
        <v>144.2903187303445</v>
      </c>
      <c r="F5" s="17">
        <f>B17*('E Balans VL '!L25/3.6*1000000+'E Balans VL '!N25/3.6*1000000)/100</f>
        <v>16339.101519203436</v>
      </c>
      <c r="G5" s="18"/>
      <c r="H5" s="17"/>
      <c r="I5" s="17"/>
      <c r="J5" s="17">
        <f>('E Balans VL '!D25+'E Balans VL '!E25)/3.6*1000000*landbouw!B17/100</f>
        <v>1273.7392977315994</v>
      </c>
      <c r="K5" s="17"/>
      <c r="L5" s="17">
        <f>L6*(-1)</f>
        <v>0</v>
      </c>
      <c r="M5" s="17"/>
      <c r="N5" s="17">
        <f>N6*(-1)</f>
        <v>374.14285714285711</v>
      </c>
      <c r="O5" s="17"/>
      <c r="P5" s="17"/>
      <c r="R5" s="32"/>
    </row>
    <row r="6" spans="1:18">
      <c r="A6" s="16" t="s">
        <v>465</v>
      </c>
      <c r="B6" s="17" t="s">
        <v>204</v>
      </c>
      <c r="C6" s="17">
        <f>'lokale energieproductie'!O42+'lokale energieproductie'!O35</f>
        <v>2623.5</v>
      </c>
      <c r="D6" s="304">
        <f>('lokale energieproductie'!P35+'lokale energieproductie'!P42)*(-1)</f>
        <v>-4872.8571428571431</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4623.2567540000009</v>
      </c>
      <c r="C8" s="21">
        <f>C5+C6</f>
        <v>2623.5</v>
      </c>
      <c r="D8" s="21">
        <f>MAX((D5+D6),0)</f>
        <v>1797.9372338948569</v>
      </c>
      <c r="E8" s="21">
        <f>MAX((E5+E6),0)</f>
        <v>144.2903187303445</v>
      </c>
      <c r="F8" s="21">
        <f>MAX((F5+F6),0)</f>
        <v>16339.101519203436</v>
      </c>
      <c r="G8" s="21"/>
      <c r="H8" s="21"/>
      <c r="I8" s="21"/>
      <c r="J8" s="21">
        <f>MAX((J5+J6),0)</f>
        <v>1273.7392977315994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0.13432702699564228</v>
      </c>
      <c r="C10" s="31">
        <f ca="1">'EF ele_warmte'!B22</f>
        <v>0.22120890952054703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621.02833480234358</v>
      </c>
      <c r="C12" s="23">
        <f ca="1">C8*C10</f>
        <v>580.34157412715513</v>
      </c>
      <c r="D12" s="23">
        <f>D8*D10</f>
        <v>363.18332124676112</v>
      </c>
      <c r="E12" s="23">
        <f>E8*E10</f>
        <v>32.753902351788199</v>
      </c>
      <c r="F12" s="23">
        <f>F8*F10</f>
        <v>4362.5401056273176</v>
      </c>
      <c r="G12" s="23"/>
      <c r="H12" s="23"/>
      <c r="I12" s="23"/>
      <c r="J12" s="23">
        <f>J8*J10</f>
        <v>450.90371139698618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0.687280259125856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821.78623685116793</v>
      </c>
      <c r="C26" s="245">
        <f>B26*'GWP N2O_CH4'!B5</f>
        <v>17257.510973874527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284.93619604707573</v>
      </c>
      <c r="C27" s="245">
        <f>B27*'GWP N2O_CH4'!B5</f>
        <v>5983.6601169885898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11.447518339842574</v>
      </c>
      <c r="C28" s="245">
        <f>B28*'GWP N2O_CH4'!B4</f>
        <v>3548.7306853511982</v>
      </c>
      <c r="D28" s="50"/>
    </row>
    <row r="29" spans="1:4">
      <c r="A29" s="41" t="s">
        <v>265</v>
      </c>
      <c r="B29" s="245">
        <f>B34*'ha_N2O bodem landbouw'!B4</f>
        <v>28.905922130757471</v>
      </c>
      <c r="C29" s="245">
        <f>B29*'GWP N2O_CH4'!B4</f>
        <v>8960.8358605348167</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6.3385482838491337E-3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6.3725828891271399E-4</v>
      </c>
      <c r="C5" s="431" t="s">
        <v>204</v>
      </c>
      <c r="D5" s="416">
        <f>SUM(D6:D11)</f>
        <v>1.1802099851388193E-3</v>
      </c>
      <c r="E5" s="416">
        <f>SUM(E6:E11)</f>
        <v>1.015288658907296E-3</v>
      </c>
      <c r="F5" s="429" t="s">
        <v>204</v>
      </c>
      <c r="G5" s="416">
        <f>SUM(G6:G11)</f>
        <v>0.46477471518343227</v>
      </c>
      <c r="H5" s="416">
        <f>SUM(H6:H11)</f>
        <v>0.10461418900345389</v>
      </c>
      <c r="I5" s="431" t="s">
        <v>204</v>
      </c>
      <c r="J5" s="431" t="s">
        <v>204</v>
      </c>
      <c r="K5" s="431" t="s">
        <v>204</v>
      </c>
      <c r="L5" s="431" t="s">
        <v>204</v>
      </c>
      <c r="M5" s="416">
        <f>SUM(M6:M11)</f>
        <v>3.3716981435382896E-2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3.954469829679227E-4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6.6755295875704714E-4</v>
      </c>
      <c r="E6" s="882">
        <f>vkm_GW_PW*SUMIFS(TableVerdeelsleutelVkm[LPG],TableVerdeelsleutelVkm[Voertuigtype],"Lichte voertuigen")*SUMIFS(TableECFTransport[EnergieConsumptieFactor (PJ per km)],TableECFTransport[Index],CONCATENATE($A6,"_LPG_LPG"))</f>
        <v>5.8495825358622093E-4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0.18272959752751672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5.954583703038234E-2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1.4475434757958285E-2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3.4045130572394893E-6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0.12994074290413327</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1.8062179819112703E-6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7.4900936682365119E-3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2.3783806279877723E-4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5.1265702638177211E-4</v>
      </c>
      <c r="E8" s="419">
        <f>vkm_NGW_PW*SUMIFS(TableVerdeelsleutelVkm[LPG],TableVerdeelsleutelVkm[Voertuigtype],"Lichte voertuigen")*SUMIFS(TableECFTransport[EnergieConsumptieFactor (PJ per km)],TableECFTransport[Index],CONCATENATE($A8,"_LPG_LPG"))</f>
        <v>4.3033040532107497E-4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0.12419855780465369</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4.5066181556877936E-2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1.0142896876353221E-2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5.6873008877460998E-7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2.7905816947128584E-2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3.6419821170481814E-7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1.6085561328348819E-3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177.01619136464276</v>
      </c>
      <c r="C14" s="21"/>
      <c r="D14" s="21">
        <f t="shared" ref="D14:M14" si="0">((D5)*10^9/3600)+D12</f>
        <v>327.83610698300538</v>
      </c>
      <c r="E14" s="21">
        <f t="shared" si="0"/>
        <v>282.02462747424886</v>
      </c>
      <c r="F14" s="21"/>
      <c r="G14" s="21">
        <f t="shared" si="0"/>
        <v>129104.08755095341</v>
      </c>
      <c r="H14" s="21">
        <f t="shared" si="0"/>
        <v>29059.496945403855</v>
      </c>
      <c r="I14" s="21"/>
      <c r="J14" s="21"/>
      <c r="K14" s="21"/>
      <c r="L14" s="21"/>
      <c r="M14" s="21">
        <f t="shared" si="0"/>
        <v>9365.828176495248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0.13432702699564228</v>
      </c>
      <c r="C16" s="56">
        <f ca="1">'EF ele_warmte'!B22</f>
        <v>0.22120890952054703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23.778058716104148</v>
      </c>
      <c r="C18" s="23"/>
      <c r="D18" s="23">
        <f t="shared" ref="D18:M18" si="1">D14*D16</f>
        <v>66.222893610567084</v>
      </c>
      <c r="E18" s="23">
        <f t="shared" si="1"/>
        <v>64.019590436654497</v>
      </c>
      <c r="F18" s="23"/>
      <c r="G18" s="23">
        <f t="shared" si="1"/>
        <v>34470.791376104564</v>
      </c>
      <c r="H18" s="23">
        <f t="shared" si="1"/>
        <v>7235.8147394055595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4.1083892848461272E-3</v>
      </c>
      <c r="C50" s="315">
        <f t="shared" ref="C50:P50" si="2">SUM(C51:C52)</f>
        <v>0</v>
      </c>
      <c r="D50" s="315">
        <f t="shared" si="2"/>
        <v>0</v>
      </c>
      <c r="E50" s="315">
        <f t="shared" si="2"/>
        <v>0</v>
      </c>
      <c r="F50" s="315">
        <f t="shared" si="2"/>
        <v>0</v>
      </c>
      <c r="G50" s="315">
        <f t="shared" si="2"/>
        <v>9.4672900973283396E-3</v>
      </c>
      <c r="H50" s="315">
        <f t="shared" si="2"/>
        <v>0</v>
      </c>
      <c r="I50" s="315">
        <f t="shared" si="2"/>
        <v>0</v>
      </c>
      <c r="J50" s="315">
        <f t="shared" si="2"/>
        <v>0</v>
      </c>
      <c r="K50" s="315">
        <f t="shared" si="2"/>
        <v>0</v>
      </c>
      <c r="L50" s="315">
        <f t="shared" si="2"/>
        <v>0</v>
      </c>
      <c r="M50" s="315">
        <f t="shared" si="2"/>
        <v>5.3549812150471582E-4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1.3067071484612725E-4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9.4672900973283396E-3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5.3549812150471582E-4</v>
      </c>
      <c r="N51" s="317"/>
      <c r="O51" s="317"/>
      <c r="P51" s="320"/>
    </row>
    <row r="52" spans="1:18">
      <c r="A52" s="4" t="s">
        <v>317</v>
      </c>
      <c r="B52" s="883">
        <f>vkm_tram*SUMIFS(TableECFTransport[EnergieConsumptieFactor (PJ per km)],TableECFTransport[Index],"Tram_gemiddeld_Electric_Electric")</f>
        <v>3.9777185700000002E-3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1141.2192457905908</v>
      </c>
      <c r="C54" s="21">
        <f t="shared" ref="C54:P54" si="3">(C50)*10^9/3600</f>
        <v>0</v>
      </c>
      <c r="D54" s="21">
        <f t="shared" si="3"/>
        <v>0</v>
      </c>
      <c r="E54" s="21">
        <f t="shared" si="3"/>
        <v>0</v>
      </c>
      <c r="F54" s="21">
        <f t="shared" si="3"/>
        <v>0</v>
      </c>
      <c r="G54" s="21">
        <f t="shared" si="3"/>
        <v>2629.8028048134274</v>
      </c>
      <c r="H54" s="21">
        <f t="shared" si="3"/>
        <v>0</v>
      </c>
      <c r="I54" s="21">
        <f t="shared" si="3"/>
        <v>0</v>
      </c>
      <c r="J54" s="21">
        <f t="shared" si="3"/>
        <v>0</v>
      </c>
      <c r="K54" s="21">
        <f t="shared" si="3"/>
        <v>0</v>
      </c>
      <c r="L54" s="21">
        <f t="shared" si="3"/>
        <v>0</v>
      </c>
      <c r="M54" s="21">
        <f t="shared" si="3"/>
        <v>148.74947819575442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0.13432702699564228</v>
      </c>
      <c r="C56" s="56">
        <f ca="1">'EF ele_warmte'!B22</f>
        <v>0.22120890952054703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153.2965884372592</v>
      </c>
      <c r="C58" s="23">
        <f t="shared" ref="C58:P58" ca="1" si="4">C54*C56</f>
        <v>0</v>
      </c>
      <c r="D58" s="23">
        <f t="shared" si="4"/>
        <v>0</v>
      </c>
      <c r="E58" s="23">
        <f t="shared" si="4"/>
        <v>0</v>
      </c>
      <c r="F58" s="23">
        <f t="shared" si="4"/>
        <v>0</v>
      </c>
      <c r="G58" s="23">
        <f t="shared" si="4"/>
        <v>702.15734888518512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47936.683791304415</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25515.072568588323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1893.15</v>
      </c>
      <c r="C8" s="541">
        <f>B51</f>
        <v>2073.1764705882356</v>
      </c>
      <c r="D8" s="542"/>
      <c r="E8" s="542">
        <f>E51</f>
        <v>0</v>
      </c>
      <c r="F8" s="543"/>
      <c r="G8" s="544"/>
      <c r="H8" s="542">
        <f>I51</f>
        <v>0</v>
      </c>
      <c r="I8" s="542">
        <f>G51+F51</f>
        <v>0</v>
      </c>
      <c r="J8" s="542">
        <f>H51+D51+C51</f>
        <v>154.05882352941177</v>
      </c>
      <c r="K8" s="542"/>
      <c r="L8" s="542"/>
      <c r="M8" s="542"/>
      <c r="N8" s="545"/>
      <c r="O8" s="546">
        <f>C8*$C$12+D8*$D$12+E8*$E$12+F8*$F$12+G8*$G$12+H8*$H$12+I8*$I$12+J8*$J$12</f>
        <v>418.78164705882364</v>
      </c>
      <c r="P8" s="1269"/>
      <c r="Q8" s="1270"/>
      <c r="S8" s="536"/>
      <c r="T8" s="1266"/>
      <c r="U8" s="1266"/>
    </row>
    <row r="9" spans="1:21" s="527" customFormat="1" ht="17.45" customHeight="1" thickBot="1">
      <c r="A9" s="547" t="s">
        <v>236</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75344.906359892731</v>
      </c>
      <c r="C10" s="556">
        <f t="shared" ref="C10:L10" si="0">SUM(C8:C9)</f>
        <v>2073.1764705882356</v>
      </c>
      <c r="D10" s="556">
        <f t="shared" si="0"/>
        <v>0</v>
      </c>
      <c r="E10" s="556">
        <f t="shared" si="0"/>
        <v>0</v>
      </c>
      <c r="F10" s="556">
        <f t="shared" si="0"/>
        <v>0</v>
      </c>
      <c r="G10" s="556">
        <f t="shared" si="0"/>
        <v>0</v>
      </c>
      <c r="H10" s="556">
        <f t="shared" si="0"/>
        <v>0</v>
      </c>
      <c r="I10" s="556">
        <f t="shared" si="0"/>
        <v>0</v>
      </c>
      <c r="J10" s="556">
        <f t="shared" si="0"/>
        <v>154.05882352941177</v>
      </c>
      <c r="K10" s="556">
        <f t="shared" si="0"/>
        <v>0</v>
      </c>
      <c r="L10" s="556">
        <f t="shared" si="0"/>
        <v>0</v>
      </c>
      <c r="M10" s="963"/>
      <c r="N10" s="963"/>
      <c r="O10" s="557">
        <f>SUM(O4:O9)</f>
        <v>418.78164705882364</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2704.5</v>
      </c>
      <c r="C17" s="572">
        <f>B52</f>
        <v>2961.680672268908</v>
      </c>
      <c r="D17" s="573"/>
      <c r="E17" s="573">
        <f>E52</f>
        <v>0</v>
      </c>
      <c r="F17" s="574"/>
      <c r="G17" s="575"/>
      <c r="H17" s="572">
        <f>I52</f>
        <v>0</v>
      </c>
      <c r="I17" s="573">
        <f>G52+F52</f>
        <v>0</v>
      </c>
      <c r="J17" s="573">
        <f>H52+D52+C52</f>
        <v>220.08403361344537</v>
      </c>
      <c r="K17" s="573"/>
      <c r="L17" s="573"/>
      <c r="M17" s="573"/>
      <c r="N17" s="964"/>
      <c r="O17" s="576">
        <f>C17*$C$22+E17*$E$22+H17*$H$22+I17*$I$22+J17*$J$22+D17*$D$22+F17*$F$22+G17*$G$22+K17*$K$22+L17*$L$22</f>
        <v>598.25949579831945</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2704.5</v>
      </c>
      <c r="C20" s="555">
        <f>SUM(C17:C19)</f>
        <v>2961.680672268908</v>
      </c>
      <c r="D20" s="555">
        <f t="shared" ref="D20:L20" si="1">SUM(D17:D19)</f>
        <v>0</v>
      </c>
      <c r="E20" s="555">
        <f t="shared" si="1"/>
        <v>0</v>
      </c>
      <c r="F20" s="555">
        <f t="shared" si="1"/>
        <v>0</v>
      </c>
      <c r="G20" s="555">
        <f t="shared" si="1"/>
        <v>0</v>
      </c>
      <c r="H20" s="555">
        <f t="shared" si="1"/>
        <v>0</v>
      </c>
      <c r="I20" s="555">
        <f t="shared" si="1"/>
        <v>0</v>
      </c>
      <c r="J20" s="555">
        <f t="shared" si="1"/>
        <v>220.08403361344537</v>
      </c>
      <c r="K20" s="555">
        <f t="shared" si="1"/>
        <v>0</v>
      </c>
      <c r="L20" s="555">
        <f t="shared" si="1"/>
        <v>0</v>
      </c>
      <c r="M20" s="555"/>
      <c r="N20" s="555"/>
      <c r="O20" s="581">
        <f>SUM(O17:O19)</f>
        <v>598.25949579831945</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44019</v>
      </c>
      <c r="C28" s="783">
        <v>9940</v>
      </c>
      <c r="D28" s="633"/>
      <c r="E28" s="632"/>
      <c r="F28" s="632"/>
      <c r="G28" s="632" t="s">
        <v>900</v>
      </c>
      <c r="H28" s="632" t="s">
        <v>901</v>
      </c>
      <c r="I28" s="632"/>
      <c r="J28" s="782"/>
      <c r="K28" s="782"/>
      <c r="L28" s="632" t="s">
        <v>902</v>
      </c>
      <c r="M28" s="632">
        <v>12.6</v>
      </c>
      <c r="N28" s="632">
        <v>56.7</v>
      </c>
      <c r="O28" s="632">
        <v>81</v>
      </c>
      <c r="P28" s="632">
        <v>162.00000000000003</v>
      </c>
      <c r="Q28" s="632">
        <v>0</v>
      </c>
      <c r="R28" s="632">
        <v>0</v>
      </c>
      <c r="S28" s="632">
        <v>0</v>
      </c>
      <c r="T28" s="632">
        <v>0</v>
      </c>
      <c r="U28" s="632">
        <v>0</v>
      </c>
      <c r="V28" s="632">
        <v>0</v>
      </c>
      <c r="W28" s="632">
        <v>0</v>
      </c>
      <c r="X28" s="632">
        <v>1600</v>
      </c>
      <c r="Y28" s="632" t="s">
        <v>49</v>
      </c>
      <c r="Z28" s="634" t="s">
        <v>149</v>
      </c>
    </row>
    <row r="29" spans="1:26" s="586" customFormat="1" ht="25.5" hidden="1">
      <c r="A29" s="585"/>
      <c r="B29" s="783">
        <v>44019</v>
      </c>
      <c r="C29" s="783">
        <v>9940</v>
      </c>
      <c r="D29" s="633"/>
      <c r="E29" s="632"/>
      <c r="F29" s="632"/>
      <c r="G29" s="632" t="s">
        <v>900</v>
      </c>
      <c r="H29" s="632" t="s">
        <v>901</v>
      </c>
      <c r="I29" s="632"/>
      <c r="J29" s="782"/>
      <c r="K29" s="782"/>
      <c r="L29" s="632" t="s">
        <v>902</v>
      </c>
      <c r="M29" s="632">
        <v>379</v>
      </c>
      <c r="N29" s="632">
        <v>1705.5</v>
      </c>
      <c r="O29" s="632">
        <v>2436.4285714285716</v>
      </c>
      <c r="P29" s="632">
        <v>4872.8571428571431</v>
      </c>
      <c r="Q29" s="632">
        <v>0</v>
      </c>
      <c r="R29" s="632">
        <v>0</v>
      </c>
      <c r="S29" s="632">
        <v>0</v>
      </c>
      <c r="T29" s="632">
        <v>0</v>
      </c>
      <c r="U29" s="632">
        <v>0</v>
      </c>
      <c r="V29" s="632">
        <v>0</v>
      </c>
      <c r="W29" s="632">
        <v>0</v>
      </c>
      <c r="X29" s="632">
        <v>10</v>
      </c>
      <c r="Y29" s="632" t="s">
        <v>105</v>
      </c>
      <c r="Z29" s="634" t="s">
        <v>105</v>
      </c>
    </row>
    <row r="30" spans="1:26" s="586" customFormat="1" ht="25.5" hidden="1">
      <c r="A30" s="585"/>
      <c r="B30" s="783">
        <v>44019</v>
      </c>
      <c r="C30" s="783">
        <v>9940</v>
      </c>
      <c r="D30" s="633"/>
      <c r="E30" s="632"/>
      <c r="F30" s="632"/>
      <c r="G30" s="632" t="s">
        <v>900</v>
      </c>
      <c r="H30" s="632" t="s">
        <v>901</v>
      </c>
      <c r="I30" s="632"/>
      <c r="J30" s="782"/>
      <c r="K30" s="782"/>
      <c r="L30" s="632" t="s">
        <v>902</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86" customFormat="1" ht="25.5" hidden="1">
      <c r="A31" s="585"/>
      <c r="B31" s="783">
        <v>44019</v>
      </c>
      <c r="C31" s="783">
        <v>9940</v>
      </c>
      <c r="D31" s="633"/>
      <c r="E31" s="632"/>
      <c r="F31" s="632"/>
      <c r="G31" s="632" t="s">
        <v>900</v>
      </c>
      <c r="H31" s="632" t="s">
        <v>901</v>
      </c>
      <c r="I31" s="632"/>
      <c r="J31" s="782"/>
      <c r="K31" s="782"/>
      <c r="L31" s="632" t="s">
        <v>902</v>
      </c>
      <c r="M31" s="632">
        <v>19.399999999999999</v>
      </c>
      <c r="N31" s="632">
        <v>87.299999999999983</v>
      </c>
      <c r="O31" s="632">
        <v>124.71428571428569</v>
      </c>
      <c r="P31" s="632">
        <v>0</v>
      </c>
      <c r="Q31" s="632">
        <v>249.42857142857139</v>
      </c>
      <c r="R31" s="632">
        <v>0</v>
      </c>
      <c r="S31" s="632">
        <v>0</v>
      </c>
      <c r="T31" s="632">
        <v>0</v>
      </c>
      <c r="U31" s="632">
        <v>0</v>
      </c>
      <c r="V31" s="632">
        <v>0</v>
      </c>
      <c r="W31" s="632">
        <v>0</v>
      </c>
      <c r="X31" s="632">
        <v>10</v>
      </c>
      <c r="Y31" s="632" t="s">
        <v>105</v>
      </c>
      <c r="Z31" s="634" t="s">
        <v>105</v>
      </c>
    </row>
    <row r="32" spans="1:26" s="566" customFormat="1" hidden="1">
      <c r="A32" s="588" t="s">
        <v>268</v>
      </c>
      <c r="B32" s="589"/>
      <c r="C32" s="589"/>
      <c r="D32" s="589"/>
      <c r="E32" s="589"/>
      <c r="F32" s="589"/>
      <c r="G32" s="589"/>
      <c r="H32" s="589"/>
      <c r="I32" s="589"/>
      <c r="J32" s="589"/>
      <c r="K32" s="589"/>
      <c r="L32" s="590"/>
      <c r="M32" s="590">
        <f>SUM(M28:M31)</f>
        <v>420.7</v>
      </c>
      <c r="N32" s="590">
        <f>SUM(N28:N31)</f>
        <v>1893.15</v>
      </c>
      <c r="O32" s="590">
        <f>SUM(O28:O31)</f>
        <v>2704.5</v>
      </c>
      <c r="P32" s="590">
        <f>SUM(P28:P31)</f>
        <v>5034.8571428571431</v>
      </c>
      <c r="Q32" s="590">
        <f>SUM(Q28:Q31)</f>
        <v>374.14285714285711</v>
      </c>
      <c r="R32" s="590">
        <f>SUM(R28:R31)</f>
        <v>0</v>
      </c>
      <c r="S32" s="590">
        <f>SUM(S28:S31)</f>
        <v>0</v>
      </c>
      <c r="T32" s="590">
        <f>SUM(T28:T31)</f>
        <v>0</v>
      </c>
      <c r="U32" s="590">
        <f>SUM(U28:U31)</f>
        <v>0</v>
      </c>
      <c r="V32" s="590">
        <f>SUM(V28:V31)</f>
        <v>0</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0</v>
      </c>
      <c r="N33" s="590">
        <f>SUMIF($Z$28:$Z$31,"industrie",N28:N31)</f>
        <v>0</v>
      </c>
      <c r="O33" s="590">
        <f>SUMIF($Z$28:$Z$31,"industrie",O28:O31)</f>
        <v>0</v>
      </c>
      <c r="P33" s="590">
        <f>SUMIF($Z$28:$Z$31,"industrie",P28:P31)</f>
        <v>0</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12.6</v>
      </c>
      <c r="N34" s="590">
        <f ca="1">SUMIF($Z$28:AD31,"tertiair",N28:N31)</f>
        <v>56.7</v>
      </c>
      <c r="O34" s="590">
        <f ca="1">SUMIF($Z$28:AE31,"tertiair",O28:O31)</f>
        <v>81</v>
      </c>
      <c r="P34" s="590">
        <f ca="1">SUMIF($Z$28:AF31,"tertiair",P28:P31)</f>
        <v>162.00000000000003</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408.09999999999997</v>
      </c>
      <c r="N35" s="595">
        <f>SUMIF($Z$28:$Z$31,"landbouw",N28:N31)</f>
        <v>1836.45</v>
      </c>
      <c r="O35" s="595">
        <f>SUMIF($Z$28:$Z$31,"landbouw",O28:O31)</f>
        <v>2623.5</v>
      </c>
      <c r="P35" s="595">
        <f>SUMIF($Z$28:$Z$31,"landbouw",P28:P31)</f>
        <v>4872.8571428571431</v>
      </c>
      <c r="Q35" s="595">
        <f>SUMIF($Z$28:$Z$31,"landbouw",Q28:Q31)</f>
        <v>374.14285714285711</v>
      </c>
      <c r="R35" s="595">
        <f>SUMIF($Z$28:$Z$31,"landbouw",R28:R31)</f>
        <v>0</v>
      </c>
      <c r="S35" s="595">
        <f>SUMIF($Z$28:$Z$31,"landbouw",S28:S31)</f>
        <v>0</v>
      </c>
      <c r="T35" s="595">
        <f>SUMIF($Z$28:$Z$31,"landbouw",T28:T31)</f>
        <v>0</v>
      </c>
      <c r="U35" s="595">
        <f>SUMIF($Z$28:$Z$31,"landbouw",U28:U31)</f>
        <v>0</v>
      </c>
      <c r="V35" s="595">
        <f>SUMIF($Z$28:$Z$31,"landbouw",V28:V31)</f>
        <v>0</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12.75" hidden="1">
      <c r="A38" s="587"/>
      <c r="B38" s="783"/>
      <c r="C38" s="783"/>
      <c r="D38" s="635"/>
      <c r="E38" s="635"/>
      <c r="F38" s="635"/>
      <c r="G38" s="635"/>
      <c r="H38" s="635"/>
      <c r="I38" s="635"/>
      <c r="J38" s="782"/>
      <c r="K38" s="782"/>
      <c r="L38" s="635"/>
      <c r="M38" s="635"/>
      <c r="N38" s="635"/>
      <c r="O38" s="635"/>
      <c r="P38" s="635"/>
      <c r="Q38" s="635"/>
      <c r="R38" s="635"/>
      <c r="S38" s="635"/>
      <c r="T38" s="635"/>
      <c r="U38" s="635"/>
      <c r="V38" s="635"/>
      <c r="W38" s="635"/>
      <c r="X38" s="635"/>
      <c r="Y38" s="635"/>
      <c r="Z38" s="636"/>
    </row>
    <row r="39" spans="1:27" s="566" customFormat="1" hidden="1">
      <c r="A39" s="588" t="s">
        <v>268</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0</v>
      </c>
      <c r="N41" s="590">
        <f>SUMIF($Z$38:$Z$39,"tertiair",N38:N39)</f>
        <v>0</v>
      </c>
      <c r="O41" s="590">
        <f>SUMIF($Z$38:$Z$39,"tertiair",O38:O39)</f>
        <v>0</v>
      </c>
      <c r="P41" s="590">
        <f>SUMIF($Z$38:$Z$39,"tertiair",P38:P39)</f>
        <v>0</v>
      </c>
      <c r="Q41" s="590">
        <f>SUMIF($Z$38:$Z$39,"tertiair",Q38:Q39)</f>
        <v>0</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0.58823529411764708</v>
      </c>
      <c r="C48" s="615">
        <f>IF(ISERROR(N32/(O32+N32)),0,N32/(N32+O32))</f>
        <v>0.41176470588235298</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2073.1764705882356</v>
      </c>
      <c r="C51" s="624">
        <f t="shared" si="2"/>
        <v>154.05882352941177</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274</v>
      </c>
      <c r="B52" s="627">
        <f t="shared" ref="B52:I52" si="3">$B$48*P32</f>
        <v>2961.680672268908</v>
      </c>
      <c r="C52" s="627">
        <f t="shared" si="3"/>
        <v>220.08403361344537</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2021-11-11T12:41:41Z</dcterms:modified>
</cp:coreProperties>
</file>