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3A82C59-522D-4820-80FA-55542B6F7A9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0" i="17"/>
  <c r="C12" i="17" s="1"/>
  <c r="D54" i="14" s="1"/>
  <c r="D56"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<sst xmlns="http://schemas.openxmlformats.org/spreadsheetml/2006/main" count="2482" uniqueCount="904">
  <si>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</si>
  <si>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</si>
  <si>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</si>
  <si>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</si>
  <si>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</si>
  <si>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</si>
  <si>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</si>
  <si>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</si>
  <si>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</si>
  <si>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</si>
  <si>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</si>
  <si>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</si>
  <si>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</si>
  <si>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</si>
  <si>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</si>
  <si>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</si>
  <si>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</si>
  <si>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</si>
  <si>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</si>
  <si>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</si>
  <si>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</si>
  <si>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</si>
  <si>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</si>
  <si>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</si>
  <si>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</si>
  <si>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</si>
  <si>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</si>
  <si>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</si>
  <si>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</si>
  <si>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</si>
  <si>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</si>
  <si>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</si>
  <si>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</si>
  <si>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</si>
  <si>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</si>
  <si>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</si>
  <si>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</si>
  <si>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</si>
  <si>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</si>
  <si>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</si>
  <si>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</si>
  <si>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</si>
  <si>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</si>
  <si>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</si>
  <si>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</si>
  <si>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</si>
  <si>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</si>
  <si>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</si>
  <si>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</si>
  <si>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</si>
  <si>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</si>
  <si>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</si>
  <si>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</si>
  <si>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</si>
  <si>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</si>
  <si>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</si>
  <si>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</si>
  <si>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</si>
  <si>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</si>
  <si>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</si>
  <si>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</si>
  <si>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</si>
  <si>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</si>
  <si>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</si>
  <si>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</si>
  <si>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</si>
  <si>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</si>
  <si>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</si>
  <si>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</si>
  <si>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</si>
  <si>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</si>
  <si>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</si>
  <si>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</si>
  <si>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</si>
  <si>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</si>
  <si>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</si>
  <si>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</si>
  <si>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</si>
  <si>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</si>
  <si>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</si>
  <si>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</si>
  <si>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</si>
  <si>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</si>
  <si>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</si>
  <si>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</si>
  <si>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</si>
  <si>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</si>
  <si>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</si>
  <si>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</si>
  <si>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</si>
  <si>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</si>
  <si>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</si>
  <si>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</si>
  <si>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</si>
  <si>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</si>
  <si>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</si>
  <si>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</si>
  <si>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</si>
  <si>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</si>
  <si>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</si>
  <si>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</si>
  <si>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</si>
  <si>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</si>
  <si>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</si>
  <si>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</si>
  <si>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</si>
  <si>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</si>
  <si>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</si>
  <si>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</si>
  <si>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</si>
  <si>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</si>
  <si>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</si>
  <si>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</si>
  <si>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</si>
  <si>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</si>
  <si>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</si>
  <si>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</si>
  <si>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</si>
  <si>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</si>
  <si>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</si>
  <si>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</si>
  <si>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</si>
  <si>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</si>
  <si>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</si>
  <si>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</si>
  <si>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</si>
  <si>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</si>
  <si>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</si>
  <si>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</si>
  <si>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</si>
  <si>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</si>
  <si>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</si>
  <si>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</si>
  <si>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</si>
  <si>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</si>
  <si>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</si>
  <si>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</si>
  <si>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</si>
  <si>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</si>
  <si>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</si>
  <si>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</si>
  <si>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</si>
  <si>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</si>
  <si>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</si>
  <si>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</si>
  <si>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</si>
  <si>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</si>
  <si>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</si>
  <si>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</si>
  <si>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</si>
  <si>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</si>
  <si>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</si>
  <si>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</si>
  <si>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</si>
  <si>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</si>
  <si>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</si>
  <si>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</si>
  <si>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</si>
  <si>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</si>
  <si>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</si>
  <si>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</si>
  <si>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</si>
  <si>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</si>
  <si>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</si>
  <si>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</si>
  <si>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</si>
  <si>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</si>
  <si>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</si>
  <si>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</si>
  <si>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</si>
  <si>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</si>
  <si>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</si>
  <si>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</si>
  <si>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</si>
  <si>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</si>
  <si>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</si>
  <si>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</si>
  <si>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</si>
  <si>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</si>
  <si>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</si>
  <si>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</si>
  <si>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</si>
  <si>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</si>
  <si>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</si>
  <si>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</si>
  <si>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</si>
  <si>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</si>
  <si>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</si>
  <si>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</si>
  <si>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</si>
  <si>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</si>
  <si>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</si>
  <si>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</si>
  <si>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</si>
  <si>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</si>
  <si>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</si>
  <si>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</si>
  <si>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</si>
  <si>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</si>
  <si>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</si>
  <si>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</si>
  <si>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</si>
  <si>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</si>
  <si>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</si>
  <si>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</si>
  <si>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</si>
  <si>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</si>
  <si>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</si>
  <si>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</si>
  <si>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</si>
  <si>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</si>
  <si>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</si>
  <si>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</si>
  <si>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</si>
  <si>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</si>
  <si>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</si>
  <si>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</si>
  <si>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</si>
  <si>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</si>
  <si>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</si>
  <si>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</si>
  <si>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</si>
  <si>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</si>
  <si>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</si>
  <si>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</si>
  <si>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</si>
  <si>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</si>
  <si>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</si>
  <si>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</si>
  <si>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</si>
  <si>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</si>
  <si>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</si>
  <si>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</si>
  <si>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</si>
  <si>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</si>
  <si>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</si>
  <si>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</si>
  <si>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</si>
  <si>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</si>
  <si>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</si>
  <si>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</si>
  <si>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</si>
  <si>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</si>
  <si>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</si>
  <si>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</si>
  <si>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</si>
  <si>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</si>
  <si>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</si>
  <si>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</si>
  <si>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</si>
  <si>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</si>
  <si>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</si>
  <si>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</si>
  <si>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</si>
  <si>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</si>
  <si>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</si>
  <si>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</si>
  <si>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</si>
  <si>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</si>
  <si>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</si>
  <si>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</si>
  <si>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</si>
  <si>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</si>
  <si>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</si>
  <si>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</si>
  <si>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</si>
  <si>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</si>
  <si>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</si>
  <si>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</si>
  <si>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</si>
  <si>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</si>
  <si>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</si>
  <si>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</si>
  <si>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</si>
  <si>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</si>
  <si>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</si>
  <si>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</si>
  <si>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</si>
  <si>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</si>
  <si>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</si>
  <si>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</si>
  <si>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</si>
  <si>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</si>
  <si>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</si>
  <si>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</si>
  <si>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</si>
  <si>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</si>
  <si>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</si>
  <si>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</si>
  <si>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</si>
  <si>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</si>
  <si>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</si>
  <si>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</si>
  <si>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</si>
  <si>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</si>
  <si>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</si>
  <si>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</si>
  <si>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</si>
  <si>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</si>
  <si>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</si>
  <si>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</si>
  <si>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</si>
  <si>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</si>
  <si>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</si>
  <si>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</si>
  <si>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</si>
  <si>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</si>
  <si>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</si>
  <si>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</si>
  <si>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</si>
  <si>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</si>
  <si>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</si>
  <si>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</si>
  <si>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</si>
  <si>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</si>
  <si>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</si>
  <si>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</si>
  <si>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</si>
  <si>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</si>
  <si>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</si>
  <si>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</si>
  <si>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</si>
  <si>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</si>
  <si>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</si>
  <si>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</si>
  <si>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</si>
  <si>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</si>
  <si>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</si>
  <si>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</si>
  <si>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</si>
  <si>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</si>
  <si>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</si>
  <si>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</si>
  <si>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</si>
  <si>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</si>
  <si>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</si>
  <si>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</si>
  <si>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</si>
  <si>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</si>
  <si>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</si>
  <si>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</si>
  <si>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</si>
  <si>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</si>
  <si>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</si>
  <si>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</si>
  <si>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</si>
  <si>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</si>
  <si>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</si>
  <si>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</si>
  <si>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</si>
  <si>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</si>
  <si>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</si>
  <si>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</si>
  <si>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</si>
  <si>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</si>
  <si>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</si>
  <si>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</si>
  <si>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</si>
  <si>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</si>
  <si>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</si>
  <si>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</si>
  <si>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</si>
  <si>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</si>
  <si>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</si>
  <si>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</si>
  <si>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</si>
  <si>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</si>
  <si>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</si>
  <si>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</si>
  <si>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</si>
  <si>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</si>
  <si>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</si>
  <si>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</si>
  <si>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</si>
  <si>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</si>
  <si>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</si>
  <si>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</si>
  <si>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</si>
  <si>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</si>
  <si>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</si>
  <si>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</si>
  <si>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</si>
  <si>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</si>
  <si>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</si>
  <si>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</si>
  <si>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</si>
  <si>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</si>
  <si>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</si>
  <si>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</si>
  <si>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</si>
  <si>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</si>
  <si>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</si>
  <si>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</si>
  <si>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</si>
  <si>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</si>
  <si>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</si>
  <si>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</si>
  <si>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</si>
  <si>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</si>
  <si>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</si>
  <si>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</si>
  <si>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</si>
  <si>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</si>
  <si>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</si>
  <si>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</si>
  <si>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</si>
  <si>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</si>
  <si>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</si>
  <si>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</si>
  <si>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</si>
  <si>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</si>
  <si>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</si>
  <si>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</si>
  <si>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</si>
  <si>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</si>
  <si>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</si>
  <si>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</si>
  <si>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</si>
  <si>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</si>
  <si>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</si>
  <si>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</si>
  <si>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</si>
  <si>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</si>
  <si>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</si>
  <si>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</si>
  <si>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</si>
  <si>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</si>
  <si>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</si>
  <si>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</si>
  <si>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</si>
  <si>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</si>
  <si>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</si>
  <si>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</si>
  <si>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</si>
  <si>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</si>
  <si>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</si>
  <si>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</si>
  <si>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</si>
  <si>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</si>
  <si>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</si>
  <si>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</si>
  <si>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</si>
  <si>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</si>
  <si>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</si>
  <si>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</si>
  <si>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</si>
  <si>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</si>
  <si>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</si>
  <si>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</si>
  <si>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</si>
  <si>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</si>
  <si>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</si>
  <si>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</si>
  <si>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</si>
  <si>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</si>
  <si>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</si>
  <si>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</si>
  <si>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</si>
  <si>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</si>
  <si>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</si>
  <si>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</si>
  <si>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</si>
  <si>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</si>
  <si>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</si>
  <si>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</si>
  <si>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</si>
  <si>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</si>
  <si>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</si>
  <si>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</si>
  <si>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</si>
  <si>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</si>
  <si>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</si>
  <si>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</si>
  <si>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</si>
  <si>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</si>
  <si>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</si>
  <si>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</si>
  <si>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</si>
  <si>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</si>
  <si>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</si>
  <si>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</si>
  <si>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</si>
  <si>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</si>
  <si>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</si>
  <si>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</si>
  <si>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</si>
  <si>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</si>
  <si>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</si>
  <si>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</si>
  <si>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</si>
  <si>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</si>
  <si>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</si>
  <si>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</si>
  <si>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</si>
  <si>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</si>
  <si>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</si>
  <si>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</si>
  <si>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</si>
  <si>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</si>
  <si>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</si>
  <si>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</si>
  <si>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</si>
  <si>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</si>
  <si>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</si>
  <si>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</si>
  <si>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</si>
  <si>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</si>
  <si>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</si>
  <si>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</si>
  <si>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</si>
  <si>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</si>
  <si>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</si>
  <si>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</si>
  <si>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</si>
  <si>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</si>
  <si>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</si>
  <si>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</si>
  <si>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</si>
  <si>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</si>
  <si>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</si>
  <si>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</si>
  <si>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</si>
  <si>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</si>
  <si>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</si>
  <si>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</si>
  <si>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</si>
  <si>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</si>
  <si>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</si>
  <si>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</si>
  <si>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</si>
  <si>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</si>
  <si>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</si>
  <si>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</si>
  <si>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</si>
  <si>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</si>
  <si>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</si>
  <si>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</si>
  <si>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</si>
  <si>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</si>
  <si>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</si>
  <si>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</si>
  <si>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</si>
  <si>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</si>
  <si>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</si>
  <si>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</si>
  <si>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</si>
  <si>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</si>
  <si>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</si>
  <si>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</si>
  <si>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</si>
  <si>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</si>
  <si>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</si>
  <si>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</si>
  <si>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</si>
  <si>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</si>
  <si>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</si>
  <si>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</si>
  <si>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</si>
  <si>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</si>
  <si>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</si>
  <si>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</si>
  <si>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</si>
  <si>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</si>
  <si>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</si>
  <si>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</si>
  <si>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</si>
  <si>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</si>
  <si>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</si>
  <si>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</si>
  <si>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</si>
  <si>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</si>
  <si>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</si>
  <si>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</si>
  <si>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</si>
  <si>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</si>
  <si>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</si>
  <si>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</si>
  <si>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</si>
  <si>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</si>
  <si>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</si>
  <si>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</si>
  <si>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</si>
  <si>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</si>
  <si>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</si>
  <si>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</si>
  <si>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</si>
  <si>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</si>
  <si>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</si>
  <si>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</si>
  <si>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</si>
  <si>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</si>
  <si>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</si>
  <si>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</si>
  <si>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</si>
  <si>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</si>
  <si>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</si>
  <si>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</si>
  <si>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</si>
  <si>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</si>
  <si>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</si>
  <si>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</si>
  <si>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</si>
  <si>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</si>
  <si>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</si>
  <si>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</si>
  <si>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</si>
  <si>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</si>
  <si>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</si>
  <si>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</si>
  <si>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</si>
  <si>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</si>
  <si>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</si>
  <si>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</si>
  <si>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</si>
  <si>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</si>
  <si>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</si>
  <si>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</si>
  <si>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</si>
  <si>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</si>
  <si>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</si>
  <si>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</si>
  <si>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</si>
  <si>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</si>
  <si>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</si>
  <si>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</si>
  <si>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</si>
  <si>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</si>
  <si>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</si>
  <si>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</si>
  <si>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</si>
  <si>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</si>
  <si>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</si>
  <si>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</si>
  <si>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</si>
  <si>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</si>
  <si>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</si>
  <si>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</si>
  <si>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</si>
  <si>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</si>
  <si>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</si>
  <si>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</si>
  <si>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</si>
  <si>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</si>
  <si>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</si>
  <si>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</si>
  <si>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</si>
  <si>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</si>
  <si>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</si>
  <si>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</si>
  <si>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</si>
  <si>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</si>
  <si>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</si>
  <si>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</si>
  <si>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</si>
  <si>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</si>
  <si>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</si>
  <si>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</si>
  <si>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</si>
  <si>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</si>
  <si>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</si>
  <si>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</si>
  <si>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</si>
  <si>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</si>
  <si>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</si>
  <si>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</si>
  <si>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</si>
  <si>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</si>
  <si>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</si>
  <si>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</si>
  <si>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</si>
  <si>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</si>
  <si>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</si>
  <si>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</si>
  <si>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</si>
  <si>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</si>
  <si>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</si>
  <si>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</si>
  <si>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</si>
  <si>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</si>
  <si>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</si>
  <si>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</si>
  <si>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</si>
  <si>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</si>
  <si>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</si>
  <si>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</si>
  <si>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</si>
  <si>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</si>
  <si>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</si>
  <si>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</si>
  <si>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</si>
  <si>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</si>
  <si>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</si>
  <si>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</si>
  <si>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</si>
  <si>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</si>
  <si>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</si>
  <si>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</si>
  <si>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</si>
  <si>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</si>
  <si>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</si>
  <si>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</si>
  <si>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</si>
  <si>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</si>
  <si>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</si>
  <si>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</si>
  <si>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</si>
  <si>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</si>
  <si>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</si>
  <si>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</si>
  <si>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</si>
  <si>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</si>
  <si>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</si>
  <si>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</si>
  <si>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</si>
  <si>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</si>
  <si>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</si>
  <si>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</si>
  <si>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</si>
  <si>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</si>
  <si>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</si>
  <si>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</si>
  <si>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</si>
  <si>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</si>
  <si>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</si>
  <si>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</si>
  <si>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</si>
  <si>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</si>
  <si>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</si>
  <si>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</si>
  <si>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</si>
  <si>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</si>
  <si>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</si>
  <si>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</si>
  <si>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</si>
  <si>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</si>
  <si>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</si>
  <si>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</si>
  <si>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</si>
  <si>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</si>
  <si>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</si>
  <si>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</si>
  <si>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</si>
  <si>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</si>
  <si>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</si>
  <si>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</si>
  <si>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</si>
  <si>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</si>
  <si>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</si>
  <si>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</si>
  <si>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</si>
  <si>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</si>
  <si>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</si>
  <si>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</si>
  <si>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</si>
  <si>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</si>
  <si>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</si>
  <si>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</si>
  <si>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</si>
  <si>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</si>
  <si>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</si>
  <si>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</si>
  <si>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</si>
  <si>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</si>
  <si>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</si>
  <si>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</si>
  <si>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</si>
  <si>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</si>
  <si>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</si>
  <si>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</si>
  <si>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</si>
  <si>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</si>
  <si>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</si>
  <si>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</si>
  <si>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</si>
  <si>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</si>
  <si>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</si>
  <si>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</si>
  <si>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</si>
  <si>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</si>
  <si>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</si>
  <si>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</si>
  <si>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</si>
  <si>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</si>
  <si>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</si>
  <si>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</si>
  <si>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</si>
  <si>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</si>
  <si>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</si>
  <si>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</si>
  <si>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</si>
  <si>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</si>
  <si>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</si>
  <si>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</si>
  <si>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</si>
  <si>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</si>
  <si>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</si>
  <si>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</si>
  <si>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</si>
  <si>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</si>
  <si>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</si>
  <si>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</si>
  <si>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</si>
  <si>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</si>
  <si>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</si>
  <si>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</si>
  <si>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</si>
  <si>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</si>
  <si>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</si>
  <si>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</si>
  <si>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</si>
  <si>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</si>
  <si>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</si>
  <si>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</si>
  <si>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</si>
  <si>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</si>
  <si>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</si>
  <si>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</si>
  <si>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</si>
  <si>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</si>
  <si>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</si>
  <si>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</si>
  <si>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</si>
  <si>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</si>
  <si>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</si>
  <si>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</si>
  <si>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</si>
  <si>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</si>
  <si>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</si>
  <si>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</si>
  <si>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</si>
  <si>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</si>
  <si>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</si>
  <si>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</si>
  <si>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</si>
  <si>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</si>
  <si>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</si>
  <si>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</si>
  <si>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</si>
  <si>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</si>
  <si>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</si>
  <si>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</si>
  <si>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</si>
  <si>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</si>
  <si>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</si>
  <si>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</si>
  <si>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</si>
  <si>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</si>
  <si>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</si>
  <si>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</si>
  <si>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</si>
  <si>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</si>
  <si>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</si>
  <si>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</si>
  <si>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</si>
  <si>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</si>
  <si>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</si>
  <si>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</si>
  <si>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</si>
  <si>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</si>
  <si>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</si>
  <si>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</si>
  <si>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</si>
  <si>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</si>
  <si>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</si>
  <si>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</si>
  <si>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</si>
  <si>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</si>
  <si>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</si>
  <si>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</si>
  <si>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</si>
  <si>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</si>
  <si>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</si>
  <si>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</si>
  <si>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</si>
  <si>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</si>
  <si>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</si>
  <si>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</si>
  <si>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</si>
  <si>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</si>
  <si>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</si>
  <si>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</si>
  <si>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</si>
  <si>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</si>
  <si>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</si>
  <si>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</si>
  <si>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</si>
  <si>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</si>
  <si>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</si>
  <si>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</si>
  <si>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</si>
  <si>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</si>
  <si>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</si>
  <si>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</si>
  <si>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</si>
  <si>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</si>
  <si>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</si>
  <si>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</si>
  <si>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38014</t>
  </si>
  <si>
    <t>KOKSIJDE</t>
  </si>
  <si>
    <t>referentietaak LNE (2017); Jaarverslag De Lijn</t>
  </si>
  <si>
    <t>interne verbrandingsmotor</t>
  </si>
  <si>
    <t>WKK interne verbrandinsgmotor (gas)</t>
  </si>
  <si>
    <t>GASELWEST</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</si>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</sst>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06B8FAD-61A6-48A4-88BC-06B9231762C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180105.94896789253</c:v>
                </c:pt>
                <c:pt idx="1">
                  <c:v>124253.92320752834</c:v>
                </c:pt>
                <c:pt idx="2">
                  <c:v>2851.3449999999998</c:v>
                </c:pt>
                <c:pt idx="3">
                  <c:v>6244.0187869460915</c:v>
                </c:pt>
                <c:pt idx="4">
                  <c:v>10461.423251683356</c:v>
                </c:pt>
                <c:pt idx="5">
                  <c:v>102265.21811120595</c:v>
                </c:pt>
                <c:pt idx="6">
                  <c:v>2616.1107254517756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180105.94896789253</c:v>
                </c:pt>
                <c:pt idx="1">
                  <c:v>124253.92320752834</c:v>
                </c:pt>
                <c:pt idx="2">
                  <c:v>2851.3449999999998</c:v>
                </c:pt>
                <c:pt idx="3">
                  <c:v>6244.0187869460915</c:v>
                </c:pt>
                <c:pt idx="4">
                  <c:v>10461.423251683356</c:v>
                </c:pt>
                <c:pt idx="5">
                  <c:v>102265.21811120595</c:v>
                </c:pt>
                <c:pt idx="6">
                  <c:v>2616.1107254517756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34216.942522556907</c:v>
                </c:pt>
                <c:pt idx="1">
                  <c:v>24950.032451009742</c:v>
                </c:pt>
                <c:pt idx="2">
                  <c:v>608.84458786894811</c:v>
                </c:pt>
                <c:pt idx="3">
                  <c:v>1618.7170152255874</c:v>
                </c:pt>
                <c:pt idx="4">
                  <c:v>2248.0838257437181</c:v>
                </c:pt>
                <c:pt idx="5">
                  <c:v>25514.392549178545</c:v>
                </c:pt>
                <c:pt idx="6">
                  <c:v>607.49753801819497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34216.942522556907</c:v>
                </c:pt>
                <c:pt idx="1">
                  <c:v>24950.032451009742</c:v>
                </c:pt>
                <c:pt idx="2">
                  <c:v>608.84458786894811</c:v>
                </c:pt>
                <c:pt idx="3">
                  <c:v>1618.7170152255874</c:v>
                </c:pt>
                <c:pt idx="4">
                  <c:v>2248.0838257437181</c:v>
                </c:pt>
                <c:pt idx="5">
                  <c:v>25514.392549178545</c:v>
                </c:pt>
                <c:pt idx="6">
                  <c:v>607.49753801819497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38014</v>
      </c>
      <c r="B6" s="384"/>
      <c r="C6" s="385"/>
    </row>
    <row r="7" spans="1:7" s="382" customFormat="1" ht="15.75" customHeight="1">
      <c r="A7" s="386" t="str">
        <f>txtMunicipality</f>
        <v>KOKSIJDE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52830.921883000003</v>
      </c>
      <c r="D10" s="679">
        <f ca="1">tertiair!C16</f>
        <v>321.42857142857144</v>
      </c>
      <c r="E10" s="679">
        <f ca="1">tertiair!D16</f>
        <v>61751.41458715286</v>
      </c>
      <c r="F10" s="679">
        <f>tertiair!E16</f>
        <v>589.90304879502946</v>
      </c>
      <c r="G10" s="679">
        <f ca="1">tertiair!F16</f>
        <v>5969.3550387675677</v>
      </c>
      <c r="H10" s="679">
        <f>tertiair!G16</f>
        <v>0</v>
      </c>
      <c r="I10" s="679">
        <f>tertiair!H16</f>
        <v>0</v>
      </c>
      <c r="J10" s="679">
        <f>tertiair!I16</f>
        <v>0</v>
      </c>
      <c r="K10" s="679">
        <f>tertiair!J16</f>
        <v>0.1407445966587037</v>
      </c>
      <c r="L10" s="679">
        <f>tertiair!K16</f>
        <v>0</v>
      </c>
      <c r="M10" s="679">
        <f ca="1">tertiair!L16</f>
        <v>0</v>
      </c>
      <c r="N10" s="679">
        <f>tertiair!M16</f>
        <v>0</v>
      </c>
      <c r="O10" s="679">
        <f ca="1">tertiair!N16</f>
        <v>5512.5397533454397</v>
      </c>
      <c r="P10" s="679">
        <f>tertiair!O16</f>
        <v>24.486303829205774</v>
      </c>
      <c r="Q10" s="680">
        <f>tertiair!P16</f>
        <v>105.07827661299004</v>
      </c>
      <c r="R10" s="682">
        <f ca="1">SUM(C10:Q10)</f>
        <v>127105.26820752834</v>
      </c>
      <c r="S10" s="67"/>
    </row>
    <row r="11" spans="1:19" s="442" customFormat="1">
      <c r="A11" s="800" t="s">
        <v>213</v>
      </c>
      <c r="B11" s="805"/>
      <c r="C11" s="679">
        <f>huishoudens!B8</f>
        <v>49603.52557828201</v>
      </c>
      <c r="D11" s="679">
        <f>huishoudens!C8</f>
        <v>0</v>
      </c>
      <c r="E11" s="679">
        <f>huishoudens!D8</f>
        <v>112428.03579040001</v>
      </c>
      <c r="F11" s="679">
        <f>huishoudens!E8</f>
        <v>200.84616559643504</v>
      </c>
      <c r="G11" s="679">
        <f>huishoudens!F8</f>
        <v>3237.9078784563408</v>
      </c>
      <c r="H11" s="679">
        <f>huishoudens!G8</f>
        <v>0</v>
      </c>
      <c r="I11" s="679">
        <f>huishoudens!H8</f>
        <v>0</v>
      </c>
      <c r="J11" s="679">
        <f>huishoudens!I8</f>
        <v>0</v>
      </c>
      <c r="K11" s="679">
        <f>huishoudens!J8</f>
        <v>12.935299221041934</v>
      </c>
      <c r="L11" s="679">
        <f>huishoudens!K8</f>
        <v>0</v>
      </c>
      <c r="M11" s="679">
        <f>huishoudens!L8</f>
        <v>0</v>
      </c>
      <c r="N11" s="679">
        <f>huishoudens!M8</f>
        <v>0</v>
      </c>
      <c r="O11" s="679">
        <f>huishoudens!N8</f>
        <v>13613.142821443493</v>
      </c>
      <c r="P11" s="679">
        <f>huishoudens!O8</f>
        <v>503.92538772430612</v>
      </c>
      <c r="Q11" s="680">
        <f>huishoudens!P8</f>
        <v>505.63004676888113</v>
      </c>
      <c r="R11" s="682">
        <f>SUM(C11:Q11)</f>
        <v>180105.94896789253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3504.1104269999996</v>
      </c>
      <c r="D13" s="679">
        <f>industrie!C18</f>
        <v>0</v>
      </c>
      <c r="E13" s="679">
        <f>industrie!D18</f>
        <v>4211.5309998080002</v>
      </c>
      <c r="F13" s="679">
        <f>industrie!E18</f>
        <v>614.55695176740937</v>
      </c>
      <c r="G13" s="679">
        <f>industrie!F18</f>
        <v>1901.5355563849878</v>
      </c>
      <c r="H13" s="679">
        <f>industrie!G18</f>
        <v>0</v>
      </c>
      <c r="I13" s="679">
        <f>industrie!H18</f>
        <v>0</v>
      </c>
      <c r="J13" s="679">
        <f>industrie!I18</f>
        <v>0</v>
      </c>
      <c r="K13" s="679">
        <f>industrie!J18</f>
        <v>5.3990527001832529</v>
      </c>
      <c r="L13" s="679">
        <f>industrie!K18</f>
        <v>0</v>
      </c>
      <c r="M13" s="679">
        <f>industrie!L18</f>
        <v>0</v>
      </c>
      <c r="N13" s="679">
        <f>industrie!M18</f>
        <v>0</v>
      </c>
      <c r="O13" s="679">
        <f>industrie!N18</f>
        <v>224.29026402277748</v>
      </c>
      <c r="P13" s="679">
        <f>industrie!O18</f>
        <v>0</v>
      </c>
      <c r="Q13" s="680">
        <f>industrie!P18</f>
        <v>0</v>
      </c>
      <c r="R13" s="682">
        <f>SUM(C13:Q13)</f>
        <v>10461.423251683356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105938.55788828203</v>
      </c>
      <c r="D16" s="715">
        <f t="shared" ref="D16:R16" ca="1" si="0">SUM(D9:D15)</f>
        <v>321.42857142857144</v>
      </c>
      <c r="E16" s="715">
        <f t="shared" ca="1" si="0"/>
        <v>178390.98137736088</v>
      </c>
      <c r="F16" s="715">
        <f t="shared" si="0"/>
        <v>1405.306166158874</v>
      </c>
      <c r="G16" s="715">
        <f t="shared" ca="1" si="0"/>
        <v>11108.798473608897</v>
      </c>
      <c r="H16" s="715">
        <f t="shared" si="0"/>
        <v>0</v>
      </c>
      <c r="I16" s="715">
        <f t="shared" si="0"/>
        <v>0</v>
      </c>
      <c r="J16" s="715">
        <f t="shared" si="0"/>
        <v>0</v>
      </c>
      <c r="K16" s="715">
        <f t="shared" si="0"/>
        <v>18.475096517883891</v>
      </c>
      <c r="L16" s="715">
        <f t="shared" si="0"/>
        <v>0</v>
      </c>
      <c r="M16" s="715">
        <f t="shared" ca="1" si="0"/>
        <v>0</v>
      </c>
      <c r="N16" s="715">
        <f t="shared" si="0"/>
        <v>0</v>
      </c>
      <c r="O16" s="715">
        <f t="shared" ca="1" si="0"/>
        <v>19349.972838811707</v>
      </c>
      <c r="P16" s="715">
        <f t="shared" si="0"/>
        <v>528.4116915535119</v>
      </c>
      <c r="Q16" s="715">
        <f t="shared" si="0"/>
        <v>610.7083233818712</v>
      </c>
      <c r="R16" s="715">
        <f t="shared" ca="1" si="0"/>
        <v>317672.6404271042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1368.3908007908128</v>
      </c>
      <c r="D19" s="679">
        <f>transport!C54</f>
        <v>0</v>
      </c>
      <c r="E19" s="679">
        <f>transport!D54</f>
        <v>0</v>
      </c>
      <c r="F19" s="679">
        <f>transport!E54</f>
        <v>0</v>
      </c>
      <c r="G19" s="679">
        <f>transport!F54</f>
        <v>0</v>
      </c>
      <c r="H19" s="679">
        <f>transport!G54</f>
        <v>1180.9233814169531</v>
      </c>
      <c r="I19" s="679">
        <f>transport!H54</f>
        <v>0</v>
      </c>
      <c r="J19" s="679">
        <f>transport!I54</f>
        <v>0</v>
      </c>
      <c r="K19" s="679">
        <f>transport!J54</f>
        <v>0</v>
      </c>
      <c r="L19" s="679">
        <f>transport!K54</f>
        <v>0</v>
      </c>
      <c r="M19" s="679">
        <f>transport!L54</f>
        <v>0</v>
      </c>
      <c r="N19" s="679">
        <f>transport!M54</f>
        <v>66.796543244009499</v>
      </c>
      <c r="O19" s="679">
        <f>transport!N54</f>
        <v>0</v>
      </c>
      <c r="P19" s="679">
        <f>transport!O54</f>
        <v>0</v>
      </c>
      <c r="Q19" s="680">
        <f>transport!P54</f>
        <v>0</v>
      </c>
      <c r="R19" s="682">
        <f>SUM(C19:Q19)</f>
        <v>2616.1107254517756</v>
      </c>
      <c r="S19" s="67"/>
    </row>
    <row r="20" spans="1:19" s="442" customFormat="1">
      <c r="A20" s="800" t="s">
        <v>295</v>
      </c>
      <c r="B20" s="805"/>
      <c r="C20" s="679">
        <f>transport!B14</f>
        <v>96.237947197093519</v>
      </c>
      <c r="D20" s="679">
        <f>transport!C14</f>
        <v>0</v>
      </c>
      <c r="E20" s="679">
        <f>transport!D14</f>
        <v>158.72052800264009</v>
      </c>
      <c r="F20" s="679">
        <f>transport!E14</f>
        <v>142.78122999835597</v>
      </c>
      <c r="G20" s="679">
        <f>transport!F14</f>
        <v>0</v>
      </c>
      <c r="H20" s="679">
        <f>transport!G14</f>
        <v>81970.660718306419</v>
      </c>
      <c r="I20" s="679">
        <f>transport!H14</f>
        <v>14229.733604927502</v>
      </c>
      <c r="J20" s="679">
        <f>transport!I14</f>
        <v>0</v>
      </c>
      <c r="K20" s="679">
        <f>transport!J14</f>
        <v>0</v>
      </c>
      <c r="L20" s="679">
        <f>transport!K14</f>
        <v>0</v>
      </c>
      <c r="M20" s="679">
        <f>transport!L14</f>
        <v>0</v>
      </c>
      <c r="N20" s="679">
        <f>transport!M14</f>
        <v>5667.0840827739248</v>
      </c>
      <c r="O20" s="679">
        <f>transport!N14</f>
        <v>0</v>
      </c>
      <c r="P20" s="679">
        <f>transport!O14</f>
        <v>0</v>
      </c>
      <c r="Q20" s="680">
        <f>transport!P14</f>
        <v>0</v>
      </c>
      <c r="R20" s="682">
        <f>SUM(C20:Q20)</f>
        <v>102265.21811120595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1464.6287479879063</v>
      </c>
      <c r="D22" s="803">
        <f t="shared" ref="D22:R22" si="1">SUM(D18:D21)</f>
        <v>0</v>
      </c>
      <c r="E22" s="803">
        <f t="shared" si="1"/>
        <v>158.72052800264009</v>
      </c>
      <c r="F22" s="803">
        <f t="shared" si="1"/>
        <v>142.78122999835597</v>
      </c>
      <c r="G22" s="803">
        <f t="shared" si="1"/>
        <v>0</v>
      </c>
      <c r="H22" s="803">
        <f t="shared" si="1"/>
        <v>83151.584099723375</v>
      </c>
      <c r="I22" s="803">
        <f t="shared" si="1"/>
        <v>14229.733604927502</v>
      </c>
      <c r="J22" s="803">
        <f t="shared" si="1"/>
        <v>0</v>
      </c>
      <c r="K22" s="803">
        <f t="shared" si="1"/>
        <v>0</v>
      </c>
      <c r="L22" s="803">
        <f t="shared" si="1"/>
        <v>0</v>
      </c>
      <c r="M22" s="803">
        <f t="shared" si="1"/>
        <v>0</v>
      </c>
      <c r="N22" s="803">
        <f t="shared" si="1"/>
        <v>5733.8806260179344</v>
      </c>
      <c r="O22" s="803">
        <f t="shared" si="1"/>
        <v>0</v>
      </c>
      <c r="P22" s="803">
        <f t="shared" si="1"/>
        <v>0</v>
      </c>
      <c r="Q22" s="803">
        <f t="shared" si="1"/>
        <v>0</v>
      </c>
      <c r="R22" s="803">
        <f t="shared" si="1"/>
        <v>104881.32883665772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1254.5282480000001</v>
      </c>
      <c r="D24" s="679">
        <f>+landbouw!C8</f>
        <v>35.357142857142861</v>
      </c>
      <c r="E24" s="679">
        <f>+landbouw!D8</f>
        <v>135.70694943771429</v>
      </c>
      <c r="F24" s="679">
        <f>+landbouw!E8</f>
        <v>39.15341292770016</v>
      </c>
      <c r="G24" s="679">
        <f>+landbouw!F8</f>
        <v>4433.6418013223811</v>
      </c>
      <c r="H24" s="679">
        <f>+landbouw!G8</f>
        <v>0</v>
      </c>
      <c r="I24" s="679">
        <f>+landbouw!H8</f>
        <v>0</v>
      </c>
      <c r="J24" s="679">
        <f>+landbouw!I8</f>
        <v>0</v>
      </c>
      <c r="K24" s="679">
        <f>+landbouw!J8</f>
        <v>345.63123240115294</v>
      </c>
      <c r="L24" s="679">
        <f>+landbouw!K8</f>
        <v>0</v>
      </c>
      <c r="M24" s="679">
        <f>+landbouw!L8</f>
        <v>0</v>
      </c>
      <c r="N24" s="679">
        <f>+landbouw!M8</f>
        <v>0</v>
      </c>
      <c r="O24" s="679">
        <f>+landbouw!N8</f>
        <v>0</v>
      </c>
      <c r="P24" s="679">
        <f>+landbouw!O8</f>
        <v>0</v>
      </c>
      <c r="Q24" s="680">
        <f>+landbouw!P8</f>
        <v>0</v>
      </c>
      <c r="R24" s="682">
        <f>SUM(C24:Q24)</f>
        <v>6244.0187869460915</v>
      </c>
      <c r="S24" s="67"/>
    </row>
    <row r="25" spans="1:19" s="442" customFormat="1" ht="15" thickBot="1">
      <c r="A25" s="822" t="s">
        <v>708</v>
      </c>
      <c r="B25" s="941"/>
      <c r="C25" s="942">
        <f>IF(Onbekend_ele_kWh="---",0,Onbekend_ele_kWh)/1000+IF(REST_rest_ele_kWh="---",0,REST_rest_ele_kWh)/1000</f>
        <v>10908.298150000001</v>
      </c>
      <c r="D25" s="942"/>
      <c r="E25" s="942">
        <f>IF(onbekend_gas_kWh="---",0,onbekend_gas_kWh)/1000+IF(REST_rest_gas_kWh="---",0,REST_rest_gas_kWh)/1000</f>
        <v>20368.604829999997</v>
      </c>
      <c r="F25" s="942"/>
      <c r="G25" s="942"/>
      <c r="H25" s="942"/>
      <c r="I25" s="942"/>
      <c r="J25" s="942"/>
      <c r="K25" s="942"/>
      <c r="L25" s="942"/>
      <c r="M25" s="942"/>
      <c r="N25" s="942"/>
      <c r="O25" s="942"/>
      <c r="P25" s="942"/>
      <c r="Q25" s="943"/>
      <c r="R25" s="682">
        <f>SUM(C25:Q25)</f>
        <v>31276.902979999999</v>
      </c>
      <c r="S25" s="67"/>
    </row>
    <row r="26" spans="1:19" s="442" customFormat="1" ht="15.75" thickBot="1">
      <c r="A26" s="687" t="s">
        <v>709</v>
      </c>
      <c r="B26" s="808"/>
      <c r="C26" s="803">
        <f>SUM(C24:C25)</f>
        <v>12162.826398000001</v>
      </c>
      <c r="D26" s="803">
        <f t="shared" ref="D26:R26" si="2">SUM(D24:D25)</f>
        <v>35.357142857142861</v>
      </c>
      <c r="E26" s="803">
        <f t="shared" si="2"/>
        <v>20504.31177943771</v>
      </c>
      <c r="F26" s="803">
        <f t="shared" si="2"/>
        <v>39.15341292770016</v>
      </c>
      <c r="G26" s="803">
        <f t="shared" si="2"/>
        <v>4433.6418013223811</v>
      </c>
      <c r="H26" s="803">
        <f t="shared" si="2"/>
        <v>0</v>
      </c>
      <c r="I26" s="803">
        <f t="shared" si="2"/>
        <v>0</v>
      </c>
      <c r="J26" s="803">
        <f t="shared" si="2"/>
        <v>0</v>
      </c>
      <c r="K26" s="803">
        <f t="shared" si="2"/>
        <v>345.63123240115294</v>
      </c>
      <c r="L26" s="803">
        <f t="shared" si="2"/>
        <v>0</v>
      </c>
      <c r="M26" s="803">
        <f t="shared" si="2"/>
        <v>0</v>
      </c>
      <c r="N26" s="803">
        <f t="shared" si="2"/>
        <v>0</v>
      </c>
      <c r="O26" s="803">
        <f t="shared" si="2"/>
        <v>0</v>
      </c>
      <c r="P26" s="803">
        <f t="shared" si="2"/>
        <v>0</v>
      </c>
      <c r="Q26" s="803">
        <f t="shared" si="2"/>
        <v>0</v>
      </c>
      <c r="R26" s="803">
        <f t="shared" si="2"/>
        <v>37520.921766946092</v>
      </c>
      <c r="S26" s="67"/>
    </row>
    <row r="27" spans="1:19" s="442" customFormat="1" ht="17.25" thickTop="1" thickBot="1">
      <c r="A27" s="688" t="s">
        <v>109</v>
      </c>
      <c r="B27" s="795"/>
      <c r="C27" s="689">
        <f ca="1">C22+C16+C26</f>
        <v>119566.01303426994</v>
      </c>
      <c r="D27" s="689">
        <f t="shared" ref="D27:R27" ca="1" si="3">D22+D16+D26</f>
        <v>356.78571428571433</v>
      </c>
      <c r="E27" s="689">
        <f t="shared" ca="1" si="3"/>
        <v>199054.01368480123</v>
      </c>
      <c r="F27" s="689">
        <f t="shared" si="3"/>
        <v>1587.2408090849301</v>
      </c>
      <c r="G27" s="689">
        <f t="shared" ca="1" si="3"/>
        <v>15542.440274931278</v>
      </c>
      <c r="H27" s="689">
        <f t="shared" si="3"/>
        <v>83151.584099723375</v>
      </c>
      <c r="I27" s="689">
        <f t="shared" si="3"/>
        <v>14229.733604927502</v>
      </c>
      <c r="J27" s="689">
        <f t="shared" si="3"/>
        <v>0</v>
      </c>
      <c r="K27" s="689">
        <f t="shared" si="3"/>
        <v>364.10632891903686</v>
      </c>
      <c r="L27" s="689">
        <f t="shared" si="3"/>
        <v>0</v>
      </c>
      <c r="M27" s="689">
        <f t="shared" ca="1" si="3"/>
        <v>0</v>
      </c>
      <c r="N27" s="689">
        <f t="shared" si="3"/>
        <v>5733.8806260179344</v>
      </c>
      <c r="O27" s="689">
        <f t="shared" ca="1" si="3"/>
        <v>19349.972838811707</v>
      </c>
      <c r="P27" s="689">
        <f t="shared" si="3"/>
        <v>528.4116915535119</v>
      </c>
      <c r="Q27" s="689">
        <f t="shared" si="3"/>
        <v>610.7083233818712</v>
      </c>
      <c r="R27" s="689">
        <f t="shared" ca="1" si="3"/>
        <v>460074.89103070798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11280.929126637333</v>
      </c>
      <c r="D40" s="679">
        <f ca="1">tertiair!C20</f>
        <v>76.386554621848745</v>
      </c>
      <c r="E40" s="679">
        <f ca="1">tertiair!D20</f>
        <v>12473.785746604879</v>
      </c>
      <c r="F40" s="679">
        <f>tertiair!E20</f>
        <v>133.90799207647169</v>
      </c>
      <c r="G40" s="679">
        <f ca="1">tertiair!F20</f>
        <v>1593.8177953509407</v>
      </c>
      <c r="H40" s="679">
        <f>tertiair!G20</f>
        <v>0</v>
      </c>
      <c r="I40" s="679">
        <f>tertiair!H20</f>
        <v>0</v>
      </c>
      <c r="J40" s="679">
        <f>tertiair!I20</f>
        <v>0</v>
      </c>
      <c r="K40" s="679">
        <f>tertiair!J20</f>
        <v>4.9823587217181109E-2</v>
      </c>
      <c r="L40" s="679">
        <f>tertiair!K20</f>
        <v>0</v>
      </c>
      <c r="M40" s="679">
        <f ca="1">tertiair!L20</f>
        <v>0</v>
      </c>
      <c r="N40" s="679">
        <f>tertiair!M20</f>
        <v>0</v>
      </c>
      <c r="O40" s="679">
        <f ca="1">tertiair!N20</f>
        <v>0</v>
      </c>
      <c r="P40" s="679">
        <f>tertiair!O20</f>
        <v>0</v>
      </c>
      <c r="Q40" s="762">
        <f>tertiair!P20</f>
        <v>0</v>
      </c>
      <c r="R40" s="841">
        <f t="shared" ca="1" si="4"/>
        <v>25558.877038878691</v>
      </c>
    </row>
    <row r="41" spans="1:18">
      <c r="A41" s="813" t="s">
        <v>213</v>
      </c>
      <c r="B41" s="820"/>
      <c r="C41" s="679">
        <f ca="1">huishoudens!B12</f>
        <v>10591.786713833624</v>
      </c>
      <c r="D41" s="679">
        <f ca="1">huishoudens!C12</f>
        <v>0</v>
      </c>
      <c r="E41" s="679">
        <f>huishoudens!D12</f>
        <v>22710.463229660803</v>
      </c>
      <c r="F41" s="679">
        <f>huishoudens!E12</f>
        <v>45.592079590390753</v>
      </c>
      <c r="G41" s="679">
        <f>huishoudens!F12</f>
        <v>864.52140354784308</v>
      </c>
      <c r="H41" s="679">
        <f>huishoudens!G12</f>
        <v>0</v>
      </c>
      <c r="I41" s="679">
        <f>huishoudens!H12</f>
        <v>0</v>
      </c>
      <c r="J41" s="679">
        <f>huishoudens!I12</f>
        <v>0</v>
      </c>
      <c r="K41" s="679">
        <f>huishoudens!J12</f>
        <v>4.5790959242488443</v>
      </c>
      <c r="L41" s="679">
        <f>huishoudens!K12</f>
        <v>0</v>
      </c>
      <c r="M41" s="679">
        <f>huishoudens!L12</f>
        <v>0</v>
      </c>
      <c r="N41" s="679">
        <f>huishoudens!M12</f>
        <v>0</v>
      </c>
      <c r="O41" s="679">
        <f>huishoudens!N12</f>
        <v>0</v>
      </c>
      <c r="P41" s="679">
        <f>huishoudens!O12</f>
        <v>0</v>
      </c>
      <c r="Q41" s="762">
        <f>huishoudens!P12</f>
        <v>0</v>
      </c>
      <c r="R41" s="841">
        <f t="shared" ca="1" si="4"/>
        <v>34216.942522556907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748.22887752064332</v>
      </c>
      <c r="D43" s="679">
        <f ca="1">industrie!C22</f>
        <v>0</v>
      </c>
      <c r="E43" s="679">
        <f>industrie!D22</f>
        <v>850.72926196121614</v>
      </c>
      <c r="F43" s="679">
        <f>industrie!E22</f>
        <v>139.50442805120193</v>
      </c>
      <c r="G43" s="679">
        <f>industrie!F22</f>
        <v>507.70999355479177</v>
      </c>
      <c r="H43" s="679">
        <f>industrie!G22</f>
        <v>0</v>
      </c>
      <c r="I43" s="679">
        <f>industrie!H22</f>
        <v>0</v>
      </c>
      <c r="J43" s="679">
        <f>industrie!I22</f>
        <v>0</v>
      </c>
      <c r="K43" s="679">
        <f>industrie!J22</f>
        <v>1.9112646558648714</v>
      </c>
      <c r="L43" s="679">
        <f>industrie!K22</f>
        <v>0</v>
      </c>
      <c r="M43" s="679">
        <f>industrie!L22</f>
        <v>0</v>
      </c>
      <c r="N43" s="679">
        <f>industrie!M22</f>
        <v>0</v>
      </c>
      <c r="O43" s="679">
        <f>industrie!N22</f>
        <v>0</v>
      </c>
      <c r="P43" s="679">
        <f>industrie!O22</f>
        <v>0</v>
      </c>
      <c r="Q43" s="762">
        <f>industrie!P22</f>
        <v>0</v>
      </c>
      <c r="R43" s="840">
        <f t="shared" ca="1" si="4"/>
        <v>2248.0838257437181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22620.944717991599</v>
      </c>
      <c r="D46" s="715">
        <f t="shared" ref="D46:Q46" ca="1" si="5">SUM(D39:D45)</f>
        <v>76.386554621848745</v>
      </c>
      <c r="E46" s="715">
        <f t="shared" ca="1" si="5"/>
        <v>36034.978238226897</v>
      </c>
      <c r="F46" s="715">
        <f t="shared" si="5"/>
        <v>319.00449971806438</v>
      </c>
      <c r="G46" s="715">
        <f t="shared" ca="1" si="5"/>
        <v>2966.0491924535754</v>
      </c>
      <c r="H46" s="715">
        <f t="shared" si="5"/>
        <v>0</v>
      </c>
      <c r="I46" s="715">
        <f t="shared" si="5"/>
        <v>0</v>
      </c>
      <c r="J46" s="715">
        <f t="shared" si="5"/>
        <v>0</v>
      </c>
      <c r="K46" s="715">
        <f t="shared" si="5"/>
        <v>6.5401841673308976</v>
      </c>
      <c r="L46" s="715">
        <f t="shared" si="5"/>
        <v>0</v>
      </c>
      <c r="M46" s="715">
        <f t="shared" ca="1" si="5"/>
        <v>0</v>
      </c>
      <c r="N46" s="715">
        <f t="shared" si="5"/>
        <v>0</v>
      </c>
      <c r="O46" s="715">
        <f t="shared" ca="1" si="5"/>
        <v>0</v>
      </c>
      <c r="P46" s="715">
        <f t="shared" si="5"/>
        <v>0</v>
      </c>
      <c r="Q46" s="715">
        <f t="shared" si="5"/>
        <v>0</v>
      </c>
      <c r="R46" s="715">
        <f ca="1">SUM(R39:R45)</f>
        <v>62023.903387179314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292.19099517986854</v>
      </c>
      <c r="D49" s="679">
        <f ca="1">transport!C58</f>
        <v>0</v>
      </c>
      <c r="E49" s="679">
        <f>transport!D58</f>
        <v>0</v>
      </c>
      <c r="F49" s="679">
        <f>transport!E58</f>
        <v>0</v>
      </c>
      <c r="G49" s="679">
        <f>transport!F58</f>
        <v>0</v>
      </c>
      <c r="H49" s="679">
        <f>transport!G58</f>
        <v>315.30654283832649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607.49753801819497</v>
      </c>
    </row>
    <row r="50" spans="1:18">
      <c r="A50" s="816" t="s">
        <v>295</v>
      </c>
      <c r="B50" s="826"/>
      <c r="C50" s="685">
        <f ca="1">transport!B18</f>
        <v>20.549583897623052</v>
      </c>
      <c r="D50" s="685">
        <f>transport!C18</f>
        <v>0</v>
      </c>
      <c r="E50" s="685">
        <f>transport!D18</f>
        <v>32.061546656533302</v>
      </c>
      <c r="F50" s="685">
        <f>transport!E18</f>
        <v>32.411339209626803</v>
      </c>
      <c r="G50" s="685">
        <f>transport!F18</f>
        <v>0</v>
      </c>
      <c r="H50" s="685">
        <f>transport!G18</f>
        <v>21886.166411787814</v>
      </c>
      <c r="I50" s="685">
        <f>transport!H18</f>
        <v>3543.2036676269481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25514.392549178545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312.74057907749159</v>
      </c>
      <c r="D52" s="715">
        <f t="shared" ref="D52:Q52" ca="1" si="6">SUM(D48:D51)</f>
        <v>0</v>
      </c>
      <c r="E52" s="715">
        <f t="shared" si="6"/>
        <v>32.061546656533302</v>
      </c>
      <c r="F52" s="715">
        <f t="shared" si="6"/>
        <v>32.411339209626803</v>
      </c>
      <c r="G52" s="715">
        <f t="shared" si="6"/>
        <v>0</v>
      </c>
      <c r="H52" s="715">
        <f t="shared" si="6"/>
        <v>22201.472954626141</v>
      </c>
      <c r="I52" s="715">
        <f t="shared" si="6"/>
        <v>3543.2036676269481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26121.890087196742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267.87804847309377</v>
      </c>
      <c r="D54" s="685">
        <f ca="1">+landbouw!C12</f>
        <v>8.4025210084033617</v>
      </c>
      <c r="E54" s="685">
        <f>+landbouw!D12</f>
        <v>27.412803786418287</v>
      </c>
      <c r="F54" s="685">
        <f>+landbouw!E12</f>
        <v>8.8878247345879373</v>
      </c>
      <c r="G54" s="685">
        <f>+landbouw!F12</f>
        <v>1183.7823609530758</v>
      </c>
      <c r="H54" s="685">
        <f>+landbouw!G12</f>
        <v>0</v>
      </c>
      <c r="I54" s="685">
        <f>+landbouw!H12</f>
        <v>0</v>
      </c>
      <c r="J54" s="685">
        <f>+landbouw!I12</f>
        <v>0</v>
      </c>
      <c r="K54" s="685">
        <f>+landbouw!J12</f>
        <v>122.35345627000814</v>
      </c>
      <c r="L54" s="685">
        <f>+landbouw!K12</f>
        <v>0</v>
      </c>
      <c r="M54" s="685">
        <f>+landbouw!L12</f>
        <v>0</v>
      </c>
      <c r="N54" s="685">
        <f>+landbouw!M12</f>
        <v>0</v>
      </c>
      <c r="O54" s="685">
        <f>+landbouw!N12</f>
        <v>0</v>
      </c>
      <c r="P54" s="685">
        <f>+landbouw!O12</f>
        <v>0</v>
      </c>
      <c r="Q54" s="686">
        <f>+landbouw!P12</f>
        <v>0</v>
      </c>
      <c r="R54" s="714">
        <f ca="1">SUM(C54:Q54)</f>
        <v>1618.7170152255874</v>
      </c>
    </row>
    <row r="55" spans="1:18" ht="15" thickBot="1">
      <c r="A55" s="816" t="s">
        <v>708</v>
      </c>
      <c r="B55" s="826"/>
      <c r="C55" s="685">
        <f ca="1">C25*'EF ele_warmte'!B12</f>
        <v>2329.2370062157893</v>
      </c>
      <c r="D55" s="685"/>
      <c r="E55" s="685">
        <f>E25*EF_CO2_aardgas</f>
        <v>4114.4581756599991</v>
      </c>
      <c r="F55" s="685"/>
      <c r="G55" s="685"/>
      <c r="H55" s="685"/>
      <c r="I55" s="685"/>
      <c r="J55" s="685"/>
      <c r="K55" s="685"/>
      <c r="L55" s="685"/>
      <c r="M55" s="685"/>
      <c r="N55" s="685"/>
      <c r="O55" s="685"/>
      <c r="P55" s="685"/>
      <c r="Q55" s="686"/>
      <c r="R55" s="714">
        <f ca="1">SUM(C55:Q55)</f>
        <v>6443.695181875788</v>
      </c>
    </row>
    <row r="56" spans="1:18" ht="15.75" thickBot="1">
      <c r="A56" s="814" t="s">
        <v>709</v>
      </c>
      <c r="B56" s="827"/>
      <c r="C56" s="715">
        <f ca="1">SUM(C54:C55)</f>
        <v>2597.115054688883</v>
      </c>
      <c r="D56" s="715">
        <f t="shared" ref="D56:Q56" ca="1" si="7">SUM(D54:D55)</f>
        <v>8.4025210084033617</v>
      </c>
      <c r="E56" s="715">
        <f t="shared" si="7"/>
        <v>4141.8709794464176</v>
      </c>
      <c r="F56" s="715">
        <f t="shared" si="7"/>
        <v>8.8878247345879373</v>
      </c>
      <c r="G56" s="715">
        <f t="shared" si="7"/>
        <v>1183.7823609530758</v>
      </c>
      <c r="H56" s="715">
        <f t="shared" si="7"/>
        <v>0</v>
      </c>
      <c r="I56" s="715">
        <f t="shared" si="7"/>
        <v>0</v>
      </c>
      <c r="J56" s="715">
        <f t="shared" si="7"/>
        <v>0</v>
      </c>
      <c r="K56" s="715">
        <f t="shared" si="7"/>
        <v>122.35345627000814</v>
      </c>
      <c r="L56" s="715">
        <f t="shared" si="7"/>
        <v>0</v>
      </c>
      <c r="M56" s="715">
        <f t="shared" si="7"/>
        <v>0</v>
      </c>
      <c r="N56" s="715">
        <f t="shared" si="7"/>
        <v>0</v>
      </c>
      <c r="O56" s="715">
        <f t="shared" si="7"/>
        <v>0</v>
      </c>
      <c r="P56" s="715">
        <f t="shared" si="7"/>
        <v>0</v>
      </c>
      <c r="Q56" s="716">
        <f t="shared" si="7"/>
        <v>0</v>
      </c>
      <c r="R56" s="717">
        <f ca="1">SUM(R54:R55)</f>
        <v>8062.4121971013756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25530.800351757971</v>
      </c>
      <c r="D61" s="723">
        <f t="shared" ref="D61:Q61" ca="1" si="8">D46+D52+D56</f>
        <v>84.789075630252114</v>
      </c>
      <c r="E61" s="723">
        <f t="shared" ca="1" si="8"/>
        <v>40208.910764329848</v>
      </c>
      <c r="F61" s="723">
        <f t="shared" si="8"/>
        <v>360.30366366227912</v>
      </c>
      <c r="G61" s="723">
        <f t="shared" ca="1" si="8"/>
        <v>4149.8315534066514</v>
      </c>
      <c r="H61" s="723">
        <f t="shared" si="8"/>
        <v>22201.472954626141</v>
      </c>
      <c r="I61" s="723">
        <f t="shared" si="8"/>
        <v>3543.2036676269481</v>
      </c>
      <c r="J61" s="723">
        <f t="shared" si="8"/>
        <v>0</v>
      </c>
      <c r="K61" s="723">
        <f t="shared" si="8"/>
        <v>128.89364043733903</v>
      </c>
      <c r="L61" s="723">
        <f t="shared" si="8"/>
        <v>0</v>
      </c>
      <c r="M61" s="723">
        <f t="shared" ca="1" si="8"/>
        <v>0</v>
      </c>
      <c r="N61" s="723">
        <f t="shared" si="8"/>
        <v>0</v>
      </c>
      <c r="O61" s="723">
        <f t="shared" ca="1" si="8"/>
        <v>0</v>
      </c>
      <c r="P61" s="723">
        <f t="shared" si="8"/>
        <v>0</v>
      </c>
      <c r="Q61" s="723">
        <f t="shared" si="8"/>
        <v>0</v>
      </c>
      <c r="R61" s="723">
        <f ca="1">R46+R52+R56</f>
        <v>96208.205671477437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0.21352890929331522</v>
      </c>
      <c r="D63" s="769">
        <f t="shared" ca="1" si="9"/>
        <v>0.23764705882352941</v>
      </c>
      <c r="E63" s="967">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4060.8422251441202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249.75</v>
      </c>
      <c r="D76" s="950">
        <f>'lokale energieproductie'!C8</f>
        <v>293.82352941176475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59.352352941176484</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4060.8422251441202</v>
      </c>
      <c r="C78" s="741">
        <f>SUM(C72:C77)</f>
        <v>249.75</v>
      </c>
      <c r="D78" s="742">
        <f t="shared" ref="D78:H78" si="10">SUM(D76:D77)</f>
        <v>293.82352941176475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59.352352941176484</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356.78571428571433</v>
      </c>
      <c r="D87" s="765">
        <f>'lokale energieproductie'!C17</f>
        <v>419.74789915966392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84.789075630252114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356.78571428571433</v>
      </c>
      <c r="D90" s="741">
        <f t="shared" ref="D90:H90" si="12">SUM(D87:D89)</f>
        <v>419.74789915966392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84.789075630252114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49603.52557828201</v>
      </c>
      <c r="C4" s="446">
        <f>huishoudens!C8</f>
        <v>0</v>
      </c>
      <c r="D4" s="446">
        <f>huishoudens!D8</f>
        <v>112428.03579040001</v>
      </c>
      <c r="E4" s="446">
        <f>huishoudens!E8</f>
        <v>200.84616559643504</v>
      </c>
      <c r="F4" s="446">
        <f>huishoudens!F8</f>
        <v>3237.9078784563408</v>
      </c>
      <c r="G4" s="446">
        <f>huishoudens!G8</f>
        <v>0</v>
      </c>
      <c r="H4" s="446">
        <f>huishoudens!H8</f>
        <v>0</v>
      </c>
      <c r="I4" s="446">
        <f>huishoudens!I8</f>
        <v>0</v>
      </c>
      <c r="J4" s="446">
        <f>huishoudens!J8</f>
        <v>12.935299221041934</v>
      </c>
      <c r="K4" s="446">
        <f>huishoudens!K8</f>
        <v>0</v>
      </c>
      <c r="L4" s="446">
        <f>huishoudens!L8</f>
        <v>0</v>
      </c>
      <c r="M4" s="446">
        <f>huishoudens!M8</f>
        <v>0</v>
      </c>
      <c r="N4" s="446">
        <f>huishoudens!N8</f>
        <v>13613.142821443493</v>
      </c>
      <c r="O4" s="446">
        <f>huishoudens!O8</f>
        <v>503.92538772430612</v>
      </c>
      <c r="P4" s="447">
        <f>huishoudens!P8</f>
        <v>505.63004676888113</v>
      </c>
      <c r="Q4" s="448">
        <f>SUM(B4:P4)</f>
        <v>180105.94896789253</v>
      </c>
    </row>
    <row r="5" spans="1:17">
      <c r="A5" s="445" t="s">
        <v>149</v>
      </c>
      <c r="B5" s="446">
        <f ca="1">tertiair!B16</f>
        <v>49979.576883000002</v>
      </c>
      <c r="C5" s="446">
        <f ca="1">tertiair!C16</f>
        <v>321.42857142857144</v>
      </c>
      <c r="D5" s="446">
        <f ca="1">tertiair!D16</f>
        <v>61751.41458715286</v>
      </c>
      <c r="E5" s="446">
        <f>tertiair!E16</f>
        <v>589.90304879502946</v>
      </c>
      <c r="F5" s="446">
        <f ca="1">tertiair!F16</f>
        <v>5969.3550387675677</v>
      </c>
      <c r="G5" s="446">
        <f>tertiair!G16</f>
        <v>0</v>
      </c>
      <c r="H5" s="446">
        <f>tertiair!H16</f>
        <v>0</v>
      </c>
      <c r="I5" s="446">
        <f>tertiair!I16</f>
        <v>0</v>
      </c>
      <c r="J5" s="446">
        <f>tertiair!J16</f>
        <v>0.1407445966587037</v>
      </c>
      <c r="K5" s="446">
        <f>tertiair!K16</f>
        <v>0</v>
      </c>
      <c r="L5" s="446">
        <f ca="1">tertiair!L16</f>
        <v>0</v>
      </c>
      <c r="M5" s="446">
        <f>tertiair!M16</f>
        <v>0</v>
      </c>
      <c r="N5" s="446">
        <f ca="1">tertiair!N16</f>
        <v>5512.5397533454397</v>
      </c>
      <c r="O5" s="446">
        <f>tertiair!O16</f>
        <v>24.486303829205774</v>
      </c>
      <c r="P5" s="447">
        <f>tertiair!P16</f>
        <v>105.07827661299004</v>
      </c>
      <c r="Q5" s="445">
        <f t="shared" ref="Q5:Q14" ca="1" si="0">SUM(B5:P5)</f>
        <v>124253.92320752834</v>
      </c>
    </row>
    <row r="6" spans="1:17">
      <c r="A6" s="445" t="s">
        <v>187</v>
      </c>
      <c r="B6" s="446">
        <f>'openbare verlichting'!B8</f>
        <v>2851.3449999999998</v>
      </c>
      <c r="C6" s="446"/>
      <c r="D6" s="446"/>
      <c r="E6" s="446"/>
      <c r="F6" s="446"/>
      <c r="G6" s="446"/>
      <c r="H6" s="446"/>
      <c r="I6" s="446"/>
      <c r="J6" s="446"/>
      <c r="K6" s="446"/>
      <c r="L6" s="446"/>
      <c r="M6" s="446"/>
      <c r="N6" s="446"/>
      <c r="O6" s="446"/>
      <c r="P6" s="447"/>
      <c r="Q6" s="445">
        <f t="shared" si="0"/>
        <v>2851.3449999999998</v>
      </c>
    </row>
    <row r="7" spans="1:17">
      <c r="A7" s="445" t="s">
        <v>105</v>
      </c>
      <c r="B7" s="446">
        <f>landbouw!B8</f>
        <v>1254.5282480000001</v>
      </c>
      <c r="C7" s="446">
        <f>landbouw!C8</f>
        <v>35.357142857142861</v>
      </c>
      <c r="D7" s="446">
        <f>landbouw!D8</f>
        <v>135.70694943771429</v>
      </c>
      <c r="E7" s="446">
        <f>landbouw!E8</f>
        <v>39.15341292770016</v>
      </c>
      <c r="F7" s="446">
        <f>landbouw!F8</f>
        <v>4433.6418013223811</v>
      </c>
      <c r="G7" s="446">
        <f>landbouw!G8</f>
        <v>0</v>
      </c>
      <c r="H7" s="446">
        <f>landbouw!H8</f>
        <v>0</v>
      </c>
      <c r="I7" s="446">
        <f>landbouw!I8</f>
        <v>0</v>
      </c>
      <c r="J7" s="446">
        <f>landbouw!J8</f>
        <v>345.63123240115294</v>
      </c>
      <c r="K7" s="446">
        <f>landbouw!K8</f>
        <v>0</v>
      </c>
      <c r="L7" s="446">
        <f>landbouw!L8</f>
        <v>0</v>
      </c>
      <c r="M7" s="446">
        <f>landbouw!M8</f>
        <v>0</v>
      </c>
      <c r="N7" s="446">
        <f>landbouw!N8</f>
        <v>0</v>
      </c>
      <c r="O7" s="446">
        <f>landbouw!O8</f>
        <v>0</v>
      </c>
      <c r="P7" s="447">
        <f>landbouw!P8</f>
        <v>0</v>
      </c>
      <c r="Q7" s="445">
        <f t="shared" si="0"/>
        <v>6244.0187869460915</v>
      </c>
    </row>
    <row r="8" spans="1:17">
      <c r="A8" s="445" t="s">
        <v>612</v>
      </c>
      <c r="B8" s="446">
        <f>industrie!B18</f>
        <v>3504.1104269999996</v>
      </c>
      <c r="C8" s="446">
        <f>industrie!C18</f>
        <v>0</v>
      </c>
      <c r="D8" s="446">
        <f>industrie!D18</f>
        <v>4211.5309998080002</v>
      </c>
      <c r="E8" s="446">
        <f>industrie!E18</f>
        <v>614.55695176740937</v>
      </c>
      <c r="F8" s="446">
        <f>industrie!F18</f>
        <v>1901.5355563849878</v>
      </c>
      <c r="G8" s="446">
        <f>industrie!G18</f>
        <v>0</v>
      </c>
      <c r="H8" s="446">
        <f>industrie!H18</f>
        <v>0</v>
      </c>
      <c r="I8" s="446">
        <f>industrie!I18</f>
        <v>0</v>
      </c>
      <c r="J8" s="446">
        <f>industrie!J18</f>
        <v>5.3990527001832529</v>
      </c>
      <c r="K8" s="446">
        <f>industrie!K18</f>
        <v>0</v>
      </c>
      <c r="L8" s="446">
        <f>industrie!L18</f>
        <v>0</v>
      </c>
      <c r="M8" s="446">
        <f>industrie!M18</f>
        <v>0</v>
      </c>
      <c r="N8" s="446">
        <f>industrie!N18</f>
        <v>224.29026402277748</v>
      </c>
      <c r="O8" s="446">
        <f>industrie!O18</f>
        <v>0</v>
      </c>
      <c r="P8" s="447">
        <f>industrie!P18</f>
        <v>0</v>
      </c>
      <c r="Q8" s="445">
        <f t="shared" si="0"/>
        <v>10461.423251683356</v>
      </c>
    </row>
    <row r="9" spans="1:17" s="451" customFormat="1">
      <c r="A9" s="449" t="s">
        <v>538</v>
      </c>
      <c r="B9" s="450">
        <f>transport!B14</f>
        <v>96.237947197093519</v>
      </c>
      <c r="C9" s="450">
        <f>transport!C14</f>
        <v>0</v>
      </c>
      <c r="D9" s="450">
        <f>transport!D14</f>
        <v>158.72052800264009</v>
      </c>
      <c r="E9" s="450">
        <f>transport!E14</f>
        <v>142.78122999835597</v>
      </c>
      <c r="F9" s="450">
        <f>transport!F14</f>
        <v>0</v>
      </c>
      <c r="G9" s="450">
        <f>transport!G14</f>
        <v>81970.660718306419</v>
      </c>
      <c r="H9" s="450">
        <f>transport!H14</f>
        <v>14229.733604927502</v>
      </c>
      <c r="I9" s="450">
        <f>transport!I14</f>
        <v>0</v>
      </c>
      <c r="J9" s="450">
        <f>transport!J14</f>
        <v>0</v>
      </c>
      <c r="K9" s="450">
        <f>transport!K14</f>
        <v>0</v>
      </c>
      <c r="L9" s="450">
        <f>transport!L14</f>
        <v>0</v>
      </c>
      <c r="M9" s="450">
        <f>transport!M14</f>
        <v>5667.0840827739248</v>
      </c>
      <c r="N9" s="450">
        <f>transport!N14</f>
        <v>0</v>
      </c>
      <c r="O9" s="450">
        <f>transport!O14</f>
        <v>0</v>
      </c>
      <c r="P9" s="450">
        <f>transport!P14</f>
        <v>0</v>
      </c>
      <c r="Q9" s="449">
        <f>SUM(B9:P9)</f>
        <v>102265.21811120595</v>
      </c>
    </row>
    <row r="10" spans="1:17">
      <c r="A10" s="445" t="s">
        <v>528</v>
      </c>
      <c r="B10" s="446">
        <f>transport!B54</f>
        <v>1368.3908007908128</v>
      </c>
      <c r="C10" s="446">
        <f>transport!C54</f>
        <v>0</v>
      </c>
      <c r="D10" s="446">
        <f>transport!D54</f>
        <v>0</v>
      </c>
      <c r="E10" s="446">
        <f>transport!E54</f>
        <v>0</v>
      </c>
      <c r="F10" s="446">
        <f>transport!F54</f>
        <v>0</v>
      </c>
      <c r="G10" s="446">
        <f>transport!G54</f>
        <v>1180.9233814169531</v>
      </c>
      <c r="H10" s="446">
        <f>transport!H54</f>
        <v>0</v>
      </c>
      <c r="I10" s="446">
        <f>transport!I54</f>
        <v>0</v>
      </c>
      <c r="J10" s="446">
        <f>transport!J54</f>
        <v>0</v>
      </c>
      <c r="K10" s="446">
        <f>transport!K54</f>
        <v>0</v>
      </c>
      <c r="L10" s="446">
        <f>transport!L54</f>
        <v>0</v>
      </c>
      <c r="M10" s="446">
        <f>transport!M54</f>
        <v>66.796543244009499</v>
      </c>
      <c r="N10" s="446">
        <f>transport!N54</f>
        <v>0</v>
      </c>
      <c r="O10" s="446">
        <f>transport!O54</f>
        <v>0</v>
      </c>
      <c r="P10" s="447">
        <f>transport!P54</f>
        <v>0</v>
      </c>
      <c r="Q10" s="445">
        <f t="shared" si="0"/>
        <v>2616.1107254517756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10908.298150000001</v>
      </c>
      <c r="C14" s="453"/>
      <c r="D14" s="453">
        <f>'SEAP template'!E25</f>
        <v>20368.604829999997</v>
      </c>
      <c r="E14" s="453"/>
      <c r="F14" s="453"/>
      <c r="G14" s="453"/>
      <c r="H14" s="453"/>
      <c r="I14" s="453"/>
      <c r="J14" s="453"/>
      <c r="K14" s="453"/>
      <c r="L14" s="453"/>
      <c r="M14" s="453"/>
      <c r="N14" s="453"/>
      <c r="O14" s="453"/>
      <c r="P14" s="454"/>
      <c r="Q14" s="445">
        <f t="shared" si="0"/>
        <v>31276.902979999999</v>
      </c>
    </row>
    <row r="15" spans="1:17" s="457" customFormat="1">
      <c r="A15" s="455" t="s">
        <v>532</v>
      </c>
      <c r="B15" s="456">
        <f ca="1">SUM(B4:B14)</f>
        <v>119566.01303426993</v>
      </c>
      <c r="C15" s="456">
        <f t="shared" ref="C15:Q15" ca="1" si="1">SUM(C4:C14)</f>
        <v>356.78571428571433</v>
      </c>
      <c r="D15" s="456">
        <f t="shared" ca="1" si="1"/>
        <v>199054.01368480123</v>
      </c>
      <c r="E15" s="456">
        <f t="shared" si="1"/>
        <v>1587.2408090849301</v>
      </c>
      <c r="F15" s="456">
        <f t="shared" ca="1" si="1"/>
        <v>15542.440274931278</v>
      </c>
      <c r="G15" s="456">
        <f t="shared" si="1"/>
        <v>83151.584099723375</v>
      </c>
      <c r="H15" s="456">
        <f t="shared" si="1"/>
        <v>14229.733604927502</v>
      </c>
      <c r="I15" s="456">
        <f t="shared" si="1"/>
        <v>0</v>
      </c>
      <c r="J15" s="456">
        <f t="shared" si="1"/>
        <v>364.1063289190368</v>
      </c>
      <c r="K15" s="456">
        <f t="shared" si="1"/>
        <v>0</v>
      </c>
      <c r="L15" s="456">
        <f t="shared" ca="1" si="1"/>
        <v>0</v>
      </c>
      <c r="M15" s="456">
        <f t="shared" si="1"/>
        <v>5733.8806260179344</v>
      </c>
      <c r="N15" s="456">
        <f t="shared" ca="1" si="1"/>
        <v>19349.972838811707</v>
      </c>
      <c r="O15" s="456">
        <f t="shared" si="1"/>
        <v>528.4116915535119</v>
      </c>
      <c r="P15" s="456">
        <f t="shared" si="1"/>
        <v>610.7083233818712</v>
      </c>
      <c r="Q15" s="456">
        <f t="shared" ca="1" si="1"/>
        <v>460074.89103070804</v>
      </c>
    </row>
    <row r="17" spans="1:17">
      <c r="A17" s="458" t="s">
        <v>533</v>
      </c>
      <c r="B17" s="774">
        <f ca="1">huishoudens!B10</f>
        <v>0.21352890929331531</v>
      </c>
      <c r="C17" s="774">
        <f ca="1">huishoudens!C10</f>
        <v>0.23764705882352941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10591.786713833624</v>
      </c>
      <c r="C22" s="446">
        <f t="shared" ref="C22:C32" ca="1" si="3">C4*$C$17</f>
        <v>0</v>
      </c>
      <c r="D22" s="446">
        <f t="shared" ref="D22:D32" si="4">D4*$D$17</f>
        <v>22710.463229660803</v>
      </c>
      <c r="E22" s="446">
        <f t="shared" ref="E22:E32" si="5">E4*$E$17</f>
        <v>45.592079590390753</v>
      </c>
      <c r="F22" s="446">
        <f t="shared" ref="F22:F32" si="6">F4*$F$17</f>
        <v>864.52140354784308</v>
      </c>
      <c r="G22" s="446">
        <f t="shared" ref="G22:G32" si="7">G4*$G$17</f>
        <v>0</v>
      </c>
      <c r="H22" s="446">
        <f t="shared" ref="H22:H32" si="8">H4*$H$17</f>
        <v>0</v>
      </c>
      <c r="I22" s="446">
        <f t="shared" ref="I22:I32" si="9">I4*$I$17</f>
        <v>0</v>
      </c>
      <c r="J22" s="446">
        <f t="shared" ref="J22:J32" si="10">J4*$J$17</f>
        <v>4.5790959242488443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34216.942522556907</v>
      </c>
    </row>
    <row r="23" spans="1:17">
      <c r="A23" s="445" t="s">
        <v>149</v>
      </c>
      <c r="B23" s="446">
        <f t="shared" ca="1" si="2"/>
        <v>10672.084538768386</v>
      </c>
      <c r="C23" s="446">
        <f t="shared" ca="1" si="3"/>
        <v>76.386554621848745</v>
      </c>
      <c r="D23" s="446">
        <f t="shared" ca="1" si="4"/>
        <v>12473.785746604879</v>
      </c>
      <c r="E23" s="446">
        <f t="shared" si="5"/>
        <v>133.90799207647169</v>
      </c>
      <c r="F23" s="446">
        <f t="shared" ca="1" si="6"/>
        <v>1593.8177953509407</v>
      </c>
      <c r="G23" s="446">
        <f t="shared" si="7"/>
        <v>0</v>
      </c>
      <c r="H23" s="446">
        <f t="shared" si="8"/>
        <v>0</v>
      </c>
      <c r="I23" s="446">
        <f t="shared" si="9"/>
        <v>0</v>
      </c>
      <c r="J23" s="446">
        <f t="shared" si="10"/>
        <v>4.9823587217181109E-2</v>
      </c>
      <c r="K23" s="446">
        <f t="shared" si="11"/>
        <v>0</v>
      </c>
      <c r="L23" s="446">
        <f t="shared" ca="1" si="12"/>
        <v>0</v>
      </c>
      <c r="M23" s="446">
        <f t="shared" si="13"/>
        <v>0</v>
      </c>
      <c r="N23" s="446">
        <f t="shared" ca="1" si="14"/>
        <v>0</v>
      </c>
      <c r="O23" s="446">
        <f t="shared" si="15"/>
        <v>0</v>
      </c>
      <c r="P23" s="447">
        <f t="shared" si="16"/>
        <v>0</v>
      </c>
      <c r="Q23" s="445">
        <f t="shared" ref="Q23:Q31" ca="1" si="17">SUM(B23:P23)</f>
        <v>24950.032451009742</v>
      </c>
    </row>
    <row r="24" spans="1:17">
      <c r="A24" s="445" t="s">
        <v>187</v>
      </c>
      <c r="B24" s="446">
        <f t="shared" ca="1" si="2"/>
        <v>608.84458786894811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608.84458786894811</v>
      </c>
    </row>
    <row r="25" spans="1:17">
      <c r="A25" s="445" t="s">
        <v>105</v>
      </c>
      <c r="B25" s="446">
        <f t="shared" ca="1" si="2"/>
        <v>267.87804847309377</v>
      </c>
      <c r="C25" s="446">
        <f t="shared" ca="1" si="3"/>
        <v>8.4025210084033617</v>
      </c>
      <c r="D25" s="446">
        <f t="shared" si="4"/>
        <v>27.412803786418287</v>
      </c>
      <c r="E25" s="446">
        <f t="shared" si="5"/>
        <v>8.8878247345879373</v>
      </c>
      <c r="F25" s="446">
        <f t="shared" si="6"/>
        <v>1183.7823609530758</v>
      </c>
      <c r="G25" s="446">
        <f t="shared" si="7"/>
        <v>0</v>
      </c>
      <c r="H25" s="446">
        <f t="shared" si="8"/>
        <v>0</v>
      </c>
      <c r="I25" s="446">
        <f t="shared" si="9"/>
        <v>0</v>
      </c>
      <c r="J25" s="446">
        <f t="shared" si="10"/>
        <v>122.35345627000814</v>
      </c>
      <c r="K25" s="446">
        <f t="shared" si="11"/>
        <v>0</v>
      </c>
      <c r="L25" s="446">
        <f t="shared" si="12"/>
        <v>0</v>
      </c>
      <c r="M25" s="446">
        <f t="shared" si="13"/>
        <v>0</v>
      </c>
      <c r="N25" s="446">
        <f t="shared" si="14"/>
        <v>0</v>
      </c>
      <c r="O25" s="446">
        <f t="shared" si="15"/>
        <v>0</v>
      </c>
      <c r="P25" s="447">
        <f t="shared" si="16"/>
        <v>0</v>
      </c>
      <c r="Q25" s="445">
        <f t="shared" ca="1" si="17"/>
        <v>1618.7170152255874</v>
      </c>
    </row>
    <row r="26" spans="1:17">
      <c r="A26" s="445" t="s">
        <v>612</v>
      </c>
      <c r="B26" s="446">
        <f t="shared" ca="1" si="2"/>
        <v>748.22887752064332</v>
      </c>
      <c r="C26" s="446">
        <f t="shared" ca="1" si="3"/>
        <v>0</v>
      </c>
      <c r="D26" s="446">
        <f t="shared" si="4"/>
        <v>850.72926196121614</v>
      </c>
      <c r="E26" s="446">
        <f t="shared" si="5"/>
        <v>139.50442805120193</v>
      </c>
      <c r="F26" s="446">
        <f t="shared" si="6"/>
        <v>507.70999355479177</v>
      </c>
      <c r="G26" s="446">
        <f t="shared" si="7"/>
        <v>0</v>
      </c>
      <c r="H26" s="446">
        <f t="shared" si="8"/>
        <v>0</v>
      </c>
      <c r="I26" s="446">
        <f t="shared" si="9"/>
        <v>0</v>
      </c>
      <c r="J26" s="446">
        <f t="shared" si="10"/>
        <v>1.9112646558648714</v>
      </c>
      <c r="K26" s="446">
        <f t="shared" si="11"/>
        <v>0</v>
      </c>
      <c r="L26" s="446">
        <f t="shared" si="12"/>
        <v>0</v>
      </c>
      <c r="M26" s="446">
        <f t="shared" si="13"/>
        <v>0</v>
      </c>
      <c r="N26" s="446">
        <f t="shared" si="14"/>
        <v>0</v>
      </c>
      <c r="O26" s="446">
        <f t="shared" si="15"/>
        <v>0</v>
      </c>
      <c r="P26" s="447">
        <f t="shared" si="16"/>
        <v>0</v>
      </c>
      <c r="Q26" s="445">
        <f t="shared" ca="1" si="17"/>
        <v>2248.0838257437181</v>
      </c>
    </row>
    <row r="27" spans="1:17" s="451" customFormat="1">
      <c r="A27" s="449" t="s">
        <v>538</v>
      </c>
      <c r="B27" s="768">
        <f t="shared" ca="1" si="2"/>
        <v>20.549583897623052</v>
      </c>
      <c r="C27" s="450">
        <f t="shared" ca="1" si="3"/>
        <v>0</v>
      </c>
      <c r="D27" s="450">
        <f t="shared" si="4"/>
        <v>32.061546656533302</v>
      </c>
      <c r="E27" s="450">
        <f t="shared" si="5"/>
        <v>32.411339209626803</v>
      </c>
      <c r="F27" s="450">
        <f t="shared" si="6"/>
        <v>0</v>
      </c>
      <c r="G27" s="450">
        <f t="shared" si="7"/>
        <v>21886.166411787814</v>
      </c>
      <c r="H27" s="450">
        <f t="shared" si="8"/>
        <v>3543.2036676269481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25514.392549178545</v>
      </c>
    </row>
    <row r="28" spans="1:17" ht="16.5" customHeight="1">
      <c r="A28" s="445" t="s">
        <v>528</v>
      </c>
      <c r="B28" s="446">
        <f t="shared" ca="1" si="2"/>
        <v>292.19099517986854</v>
      </c>
      <c r="C28" s="446">
        <f t="shared" ca="1" si="3"/>
        <v>0</v>
      </c>
      <c r="D28" s="446">
        <f t="shared" si="4"/>
        <v>0</v>
      </c>
      <c r="E28" s="446">
        <f t="shared" si="5"/>
        <v>0</v>
      </c>
      <c r="F28" s="446">
        <f t="shared" si="6"/>
        <v>0</v>
      </c>
      <c r="G28" s="446">
        <f t="shared" si="7"/>
        <v>315.30654283832649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607.49753801819497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2329.2370062157893</v>
      </c>
      <c r="C32" s="446">
        <f t="shared" ca="1" si="3"/>
        <v>0</v>
      </c>
      <c r="D32" s="446">
        <f t="shared" si="4"/>
        <v>4114.4581756599991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6443.695181875788</v>
      </c>
    </row>
    <row r="33" spans="1:17" s="457" customFormat="1">
      <c r="A33" s="455" t="s">
        <v>532</v>
      </c>
      <c r="B33" s="456">
        <f ca="1">SUM(B22:B32)</f>
        <v>25530.800351757978</v>
      </c>
      <c r="C33" s="456">
        <f t="shared" ref="C33:Q33" ca="1" si="19">SUM(C22:C32)</f>
        <v>84.789075630252114</v>
      </c>
      <c r="D33" s="456">
        <f t="shared" ca="1" si="19"/>
        <v>40208.910764329856</v>
      </c>
      <c r="E33" s="456">
        <f t="shared" si="19"/>
        <v>360.30366366227906</v>
      </c>
      <c r="F33" s="456">
        <f t="shared" ca="1" si="19"/>
        <v>4149.8315534066514</v>
      </c>
      <c r="G33" s="456">
        <f t="shared" si="19"/>
        <v>22201.472954626141</v>
      </c>
      <c r="H33" s="456">
        <f t="shared" si="19"/>
        <v>3543.2036676269481</v>
      </c>
      <c r="I33" s="456">
        <f t="shared" si="19"/>
        <v>0</v>
      </c>
      <c r="J33" s="456">
        <f t="shared" si="19"/>
        <v>128.89364043733903</v>
      </c>
      <c r="K33" s="456">
        <f t="shared" si="19"/>
        <v>0</v>
      </c>
      <c r="L33" s="456">
        <f t="shared" ca="1" si="19"/>
        <v>0</v>
      </c>
      <c r="M33" s="456">
        <f t="shared" si="19"/>
        <v>0</v>
      </c>
      <c r="N33" s="456">
        <f t="shared" ca="1" si="19"/>
        <v>0</v>
      </c>
      <c r="O33" s="456">
        <f t="shared" si="19"/>
        <v>0</v>
      </c>
      <c r="P33" s="456">
        <f t="shared" si="19"/>
        <v>0</v>
      </c>
      <c r="Q33" s="456">
        <f t="shared" ca="1" si="19"/>
        <v>96208.205671477423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4060.8422251441202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249.75</v>
      </c>
      <c r="D8" s="1019">
        <f>'SEAP template'!D76</f>
        <v>293.82352941176475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59.352352941176484</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4060.8422251441202</v>
      </c>
      <c r="C10" s="1021">
        <f>SUM(C4:C9)</f>
        <v>249.75</v>
      </c>
      <c r="D10" s="1021">
        <f t="shared" ref="D10:H10" si="0">SUM(D8:D9)</f>
        <v>293.82352941176475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59.352352941176484</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0.21352890929331531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356.78571428571433</v>
      </c>
      <c r="D17" s="1020">
        <f>'SEAP template'!D87</f>
        <v>419.74789915966392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84.789075630252114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356.78571428571433</v>
      </c>
      <c r="D20" s="1021">
        <f t="shared" ref="D20:H20" si="2">SUM(D17:D19)</f>
        <v>419.74789915966392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84.789075630252114</v>
      </c>
    </row>
    <row r="21" spans="1:16">
      <c r="B21" s="879"/>
    </row>
    <row r="22" spans="1:16">
      <c r="A22" s="458" t="s">
        <v>780</v>
      </c>
      <c r="B22" s="774" t="s">
        <v>778</v>
      </c>
      <c r="C22" s="774">
        <f ca="1">'EF ele_warmte'!B22</f>
        <v>0.23764705882352941</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0.21352890929331531</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0.21352890929331531</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0.21352890929331531</v>
      </c>
      <c r="C29" s="495">
        <f ca="1">'EF ele_warmte'!B22</f>
        <v>0.23764705882352941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11355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2144.0700000000002</v>
      </c>
      <c r="C14" s="326"/>
      <c r="D14" s="326"/>
      <c r="E14" s="326"/>
      <c r="F14" s="326"/>
    </row>
    <row r="15" spans="1:6">
      <c r="A15" s="1296" t="s">
        <v>177</v>
      </c>
      <c r="B15" s="1297">
        <v>6</v>
      </c>
      <c r="C15" s="326"/>
      <c r="D15" s="326"/>
      <c r="E15" s="326"/>
      <c r="F15" s="326"/>
    </row>
    <row r="16" spans="1:6">
      <c r="A16" s="1296" t="s">
        <v>6</v>
      </c>
      <c r="B16" s="1297">
        <v>239</v>
      </c>
      <c r="C16" s="326"/>
      <c r="D16" s="326"/>
      <c r="E16" s="326"/>
      <c r="F16" s="326"/>
    </row>
    <row r="17" spans="1:6">
      <c r="A17" s="1296" t="s">
        <v>7</v>
      </c>
      <c r="B17" s="1297">
        <v>119</v>
      </c>
      <c r="C17" s="326"/>
      <c r="D17" s="326"/>
      <c r="E17" s="326"/>
      <c r="F17" s="326"/>
    </row>
    <row r="18" spans="1:6">
      <c r="A18" s="1296" t="s">
        <v>8</v>
      </c>
      <c r="B18" s="1297">
        <v>198</v>
      </c>
      <c r="C18" s="326"/>
      <c r="D18" s="326"/>
      <c r="E18" s="326"/>
      <c r="F18" s="326"/>
    </row>
    <row r="19" spans="1:6">
      <c r="A19" s="1296" t="s">
        <v>9</v>
      </c>
      <c r="B19" s="1297">
        <v>215</v>
      </c>
      <c r="C19" s="326"/>
      <c r="D19" s="326"/>
      <c r="E19" s="326"/>
      <c r="F19" s="326"/>
    </row>
    <row r="20" spans="1:6">
      <c r="A20" s="1296" t="s">
        <v>10</v>
      </c>
      <c r="B20" s="1297">
        <v>399</v>
      </c>
      <c r="C20" s="326"/>
      <c r="D20" s="326"/>
      <c r="E20" s="326"/>
      <c r="F20" s="326"/>
    </row>
    <row r="21" spans="1:6">
      <c r="A21" s="1296" t="s">
        <v>11</v>
      </c>
      <c r="B21" s="1297">
        <v>6492</v>
      </c>
      <c r="C21" s="326"/>
      <c r="D21" s="326"/>
      <c r="E21" s="326"/>
      <c r="F21" s="326"/>
    </row>
    <row r="22" spans="1:6">
      <c r="A22" s="1296" t="s">
        <v>12</v>
      </c>
      <c r="B22" s="1297">
        <v>7610</v>
      </c>
      <c r="C22" s="326"/>
      <c r="D22" s="326"/>
      <c r="E22" s="326"/>
      <c r="F22" s="326"/>
    </row>
    <row r="23" spans="1:6">
      <c r="A23" s="1296" t="s">
        <v>13</v>
      </c>
      <c r="B23" s="1297">
        <v>173</v>
      </c>
      <c r="C23" s="326"/>
      <c r="D23" s="326"/>
      <c r="E23" s="326"/>
      <c r="F23" s="326"/>
    </row>
    <row r="24" spans="1:6">
      <c r="A24" s="1296" t="s">
        <v>14</v>
      </c>
      <c r="B24" s="1297">
        <v>91</v>
      </c>
      <c r="C24" s="326"/>
      <c r="D24" s="326"/>
      <c r="E24" s="326"/>
      <c r="F24" s="326"/>
    </row>
    <row r="25" spans="1:6">
      <c r="A25" s="1296" t="s">
        <v>15</v>
      </c>
      <c r="B25" s="1297">
        <v>1618</v>
      </c>
      <c r="C25" s="326"/>
      <c r="D25" s="326"/>
      <c r="E25" s="326"/>
      <c r="F25" s="326"/>
    </row>
    <row r="26" spans="1:6">
      <c r="A26" s="1296" t="s">
        <v>16</v>
      </c>
      <c r="B26" s="1297">
        <v>118</v>
      </c>
      <c r="C26" s="326"/>
      <c r="D26" s="326"/>
      <c r="E26" s="326"/>
      <c r="F26" s="326"/>
    </row>
    <row r="27" spans="1:6">
      <c r="A27" s="1296" t="s">
        <v>17</v>
      </c>
      <c r="B27" s="1297">
        <v>2</v>
      </c>
      <c r="C27" s="326"/>
      <c r="D27" s="326"/>
      <c r="E27" s="326"/>
      <c r="F27" s="326"/>
    </row>
    <row r="28" spans="1:6">
      <c r="A28" s="1296" t="s">
        <v>18</v>
      </c>
      <c r="B28" s="1298">
        <v>257866</v>
      </c>
      <c r="C28" s="326"/>
      <c r="D28" s="326"/>
      <c r="E28" s="326"/>
      <c r="F28" s="326"/>
    </row>
    <row r="29" spans="1:6">
      <c r="A29" s="1296" t="s">
        <v>689</v>
      </c>
      <c r="B29" s="1298">
        <v>193</v>
      </c>
      <c r="C29" s="326"/>
      <c r="D29" s="326"/>
      <c r="E29" s="326"/>
      <c r="F29" s="326"/>
    </row>
    <row r="30" spans="1:6">
      <c r="A30" s="1291" t="s">
        <v>690</v>
      </c>
      <c r="B30" s="1299">
        <v>51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v>
      </c>
      <c r="D36" s="1297">
        <v>1119490.0290000001</v>
      </c>
      <c r="E36" s="1297">
        <v>3</v>
      </c>
      <c r="F36" s="1297">
        <v>8130.9319999999998</v>
      </c>
    </row>
    <row r="37" spans="1:6">
      <c r="A37" s="1296" t="s">
        <v>24</v>
      </c>
      <c r="B37" s="1296" t="s">
        <v>27</v>
      </c>
      <c r="C37" s="1297">
        <v>0</v>
      </c>
      <c r="D37" s="1297">
        <v>0</v>
      </c>
      <c r="E37" s="1297">
        <v>0</v>
      </c>
      <c r="F37" s="1297">
        <v>0</v>
      </c>
    </row>
    <row r="38" spans="1:6">
      <c r="A38" s="1296" t="s">
        <v>24</v>
      </c>
      <c r="B38" s="1296" t="s">
        <v>28</v>
      </c>
      <c r="C38" s="1297">
        <v>1</v>
      </c>
      <c r="D38" s="1297">
        <v>9351.8870000000006</v>
      </c>
      <c r="E38" s="1297">
        <v>1</v>
      </c>
      <c r="F38" s="1297">
        <v>5953.4719999999998</v>
      </c>
    </row>
    <row r="39" spans="1:6">
      <c r="A39" s="1296" t="s">
        <v>29</v>
      </c>
      <c r="B39" s="1296" t="s">
        <v>30</v>
      </c>
      <c r="C39" s="1297">
        <v>11657</v>
      </c>
      <c r="D39" s="1297">
        <v>124643055.2</v>
      </c>
      <c r="E39" s="1297">
        <v>20325</v>
      </c>
      <c r="F39" s="1297">
        <v>46156023.729999997</v>
      </c>
    </row>
    <row r="40" spans="1:6">
      <c r="A40" s="1296" t="s">
        <v>29</v>
      </c>
      <c r="B40" s="1296" t="s">
        <v>28</v>
      </c>
      <c r="C40" s="1297">
        <v>0</v>
      </c>
      <c r="D40" s="1297">
        <v>0</v>
      </c>
      <c r="E40" s="1297">
        <v>0</v>
      </c>
      <c r="F40" s="1297">
        <v>0</v>
      </c>
    </row>
    <row r="41" spans="1:6">
      <c r="A41" s="1296" t="s">
        <v>31</v>
      </c>
      <c r="B41" s="1296" t="s">
        <v>32</v>
      </c>
      <c r="C41" s="1297">
        <v>220</v>
      </c>
      <c r="D41" s="1297">
        <v>2911729.4610000001</v>
      </c>
      <c r="E41" s="1297">
        <v>486</v>
      </c>
      <c r="F41" s="1297">
        <v>2176796.6179999998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8599.9570000000003</v>
      </c>
      <c r="E44" s="1297">
        <v>7</v>
      </c>
      <c r="F44" s="1297">
        <v>115845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6</v>
      </c>
      <c r="D47" s="1297">
        <v>94301.437999999995</v>
      </c>
      <c r="E47" s="1297">
        <v>6</v>
      </c>
      <c r="F47" s="1297">
        <v>34420.839</v>
      </c>
    </row>
    <row r="48" spans="1:6">
      <c r="A48" s="1296" t="s">
        <v>31</v>
      </c>
      <c r="B48" s="1296" t="s">
        <v>28</v>
      </c>
      <c r="C48" s="1297">
        <v>27</v>
      </c>
      <c r="D48" s="1297">
        <v>320742.11</v>
      </c>
      <c r="E48" s="1297">
        <v>38</v>
      </c>
      <c r="F48" s="1297">
        <v>183593.163</v>
      </c>
    </row>
    <row r="49" spans="1:6">
      <c r="A49" s="1296" t="s">
        <v>31</v>
      </c>
      <c r="B49" s="1296" t="s">
        <v>39</v>
      </c>
      <c r="C49" s="1297">
        <v>0</v>
      </c>
      <c r="D49" s="1297">
        <v>0</v>
      </c>
      <c r="E49" s="1297">
        <v>6</v>
      </c>
      <c r="F49" s="1297">
        <v>8915.8979999999992</v>
      </c>
    </row>
    <row r="50" spans="1:6">
      <c r="A50" s="1296" t="s">
        <v>31</v>
      </c>
      <c r="B50" s="1296" t="s">
        <v>40</v>
      </c>
      <c r="C50" s="1297">
        <v>21</v>
      </c>
      <c r="D50" s="1297">
        <v>1333730.138</v>
      </c>
      <c r="E50" s="1297">
        <v>29</v>
      </c>
      <c r="F50" s="1297">
        <v>984538.90899999999</v>
      </c>
    </row>
    <row r="51" spans="1:6">
      <c r="A51" s="1296" t="s">
        <v>41</v>
      </c>
      <c r="B51" s="1296" t="s">
        <v>42</v>
      </c>
      <c r="C51" s="1297">
        <v>12</v>
      </c>
      <c r="D51" s="1297">
        <v>121479.268</v>
      </c>
      <c r="E51" s="1297">
        <v>134</v>
      </c>
      <c r="F51" s="1297">
        <v>1097250.716</v>
      </c>
    </row>
    <row r="52" spans="1:6">
      <c r="A52" s="1296" t="s">
        <v>41</v>
      </c>
      <c r="B52" s="1296" t="s">
        <v>28</v>
      </c>
      <c r="C52" s="1297">
        <v>7</v>
      </c>
      <c r="D52" s="1297">
        <v>107369.10799999999</v>
      </c>
      <c r="E52" s="1297">
        <v>9</v>
      </c>
      <c r="F52" s="1297">
        <v>157277.53200000001</v>
      </c>
    </row>
    <row r="53" spans="1:6">
      <c r="A53" s="1296" t="s">
        <v>43</v>
      </c>
      <c r="B53" s="1296" t="s">
        <v>44</v>
      </c>
      <c r="C53" s="1297">
        <v>2588</v>
      </c>
      <c r="D53" s="1297">
        <v>20368604.829999998</v>
      </c>
      <c r="E53" s="1297">
        <v>6041</v>
      </c>
      <c r="F53" s="1297">
        <v>10908298.15</v>
      </c>
    </row>
    <row r="54" spans="1:6">
      <c r="A54" s="1296" t="s">
        <v>45</v>
      </c>
      <c r="B54" s="1296" t="s">
        <v>46</v>
      </c>
      <c r="C54" s="1297">
        <v>0</v>
      </c>
      <c r="D54" s="1297">
        <v>0</v>
      </c>
      <c r="E54" s="1297">
        <v>1</v>
      </c>
      <c r="F54" s="1297">
        <v>2851345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82</v>
      </c>
      <c r="D57" s="1297">
        <v>4775972.8140000002</v>
      </c>
      <c r="E57" s="1297">
        <v>167</v>
      </c>
      <c r="F57" s="1297">
        <v>7916929.8710000003</v>
      </c>
    </row>
    <row r="58" spans="1:6">
      <c r="A58" s="1296" t="s">
        <v>48</v>
      </c>
      <c r="B58" s="1296" t="s">
        <v>50</v>
      </c>
      <c r="C58" s="1297">
        <v>92</v>
      </c>
      <c r="D58" s="1297">
        <v>2615104.58</v>
      </c>
      <c r="E58" s="1297">
        <v>167</v>
      </c>
      <c r="F58" s="1297">
        <v>1294024.054</v>
      </c>
    </row>
    <row r="59" spans="1:6">
      <c r="A59" s="1296" t="s">
        <v>48</v>
      </c>
      <c r="B59" s="1296" t="s">
        <v>51</v>
      </c>
      <c r="C59" s="1297">
        <v>242</v>
      </c>
      <c r="D59" s="1297">
        <v>4746777.7410000004</v>
      </c>
      <c r="E59" s="1297">
        <v>514</v>
      </c>
      <c r="F59" s="1297">
        <v>10119502.48</v>
      </c>
    </row>
    <row r="60" spans="1:6">
      <c r="A60" s="1296" t="s">
        <v>48</v>
      </c>
      <c r="B60" s="1296" t="s">
        <v>52</v>
      </c>
      <c r="C60" s="1297">
        <v>619</v>
      </c>
      <c r="D60" s="1297">
        <v>25493051.350000001</v>
      </c>
      <c r="E60" s="1297">
        <v>614</v>
      </c>
      <c r="F60" s="1297">
        <v>13236276.060000001</v>
      </c>
    </row>
    <row r="61" spans="1:6">
      <c r="A61" s="1296" t="s">
        <v>48</v>
      </c>
      <c r="B61" s="1296" t="s">
        <v>53</v>
      </c>
      <c r="C61" s="1297">
        <v>840</v>
      </c>
      <c r="D61" s="1297">
        <v>25536698.75</v>
      </c>
      <c r="E61" s="1297">
        <v>3016</v>
      </c>
      <c r="F61" s="1297">
        <v>13465825.25</v>
      </c>
    </row>
    <row r="62" spans="1:6">
      <c r="A62" s="1296" t="s">
        <v>48</v>
      </c>
      <c r="B62" s="1296" t="s">
        <v>54</v>
      </c>
      <c r="C62" s="1297">
        <v>14</v>
      </c>
      <c r="D62" s="1297">
        <v>872297.81299999997</v>
      </c>
      <c r="E62" s="1297">
        <v>15</v>
      </c>
      <c r="F62" s="1297">
        <v>410494.03600000002</v>
      </c>
    </row>
    <row r="63" spans="1:6">
      <c r="A63" s="1296" t="s">
        <v>48</v>
      </c>
      <c r="B63" s="1296" t="s">
        <v>28</v>
      </c>
      <c r="C63" s="1297">
        <v>109</v>
      </c>
      <c r="D63" s="1297">
        <v>5133347.2070000004</v>
      </c>
      <c r="E63" s="1297">
        <v>106</v>
      </c>
      <c r="F63" s="1297">
        <v>3311525.1320000002</v>
      </c>
    </row>
    <row r="64" spans="1:6">
      <c r="A64" s="1296" t="s">
        <v>55</v>
      </c>
      <c r="B64" s="1296" t="s">
        <v>56</v>
      </c>
      <c r="C64" s="1297">
        <v>0</v>
      </c>
      <c r="D64" s="1297">
        <v>0</v>
      </c>
      <c r="E64" s="1297">
        <v>0</v>
      </c>
      <c r="F64" s="1297">
        <v>0</v>
      </c>
    </row>
    <row r="65" spans="1:6">
      <c r="A65" s="1296" t="s">
        <v>55</v>
      </c>
      <c r="B65" s="1296" t="s">
        <v>28</v>
      </c>
      <c r="C65" s="1297">
        <v>3</v>
      </c>
      <c r="D65" s="1297">
        <v>87468.678</v>
      </c>
      <c r="E65" s="1297">
        <v>3</v>
      </c>
      <c r="F65" s="1297">
        <v>23616.343000000001</v>
      </c>
    </row>
    <row r="66" spans="1:6">
      <c r="A66" s="1296" t="s">
        <v>55</v>
      </c>
      <c r="B66" s="1296" t="s">
        <v>57</v>
      </c>
      <c r="C66" s="1297">
        <v>0</v>
      </c>
      <c r="D66" s="1297">
        <v>0</v>
      </c>
      <c r="E66" s="1297">
        <v>25</v>
      </c>
      <c r="F66" s="1297">
        <v>574660.23300000001</v>
      </c>
    </row>
    <row r="67" spans="1:6">
      <c r="A67" s="1296" t="s">
        <v>55</v>
      </c>
      <c r="B67" s="1296" t="s">
        <v>58</v>
      </c>
      <c r="C67" s="1297">
        <v>0</v>
      </c>
      <c r="D67" s="1297">
        <v>0</v>
      </c>
      <c r="E67" s="1297">
        <v>0</v>
      </c>
      <c r="F67" s="1297">
        <v>0</v>
      </c>
    </row>
    <row r="68" spans="1:6">
      <c r="A68" s="1291" t="s">
        <v>55</v>
      </c>
      <c r="B68" s="1291" t="s">
        <v>59</v>
      </c>
      <c r="C68" s="1299">
        <v>6</v>
      </c>
      <c r="D68" s="1299">
        <v>54683.357000000004</v>
      </c>
      <c r="E68" s="1299">
        <v>20</v>
      </c>
      <c r="F68" s="1299">
        <v>1624392.203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79788306</v>
      </c>
      <c r="E73" s="444"/>
      <c r="F73" s="326"/>
    </row>
    <row r="74" spans="1:6">
      <c r="A74" s="1296" t="s">
        <v>63</v>
      </c>
      <c r="B74" s="1296" t="s">
        <v>633</v>
      </c>
      <c r="C74" s="1309" t="s">
        <v>635</v>
      </c>
      <c r="D74" s="1297">
        <v>9536066.5</v>
      </c>
      <c r="E74" s="444"/>
      <c r="F74" s="326"/>
    </row>
    <row r="75" spans="1:6">
      <c r="A75" s="1296" t="s">
        <v>64</v>
      </c>
      <c r="B75" s="1296" t="s">
        <v>632</v>
      </c>
      <c r="C75" s="1309" t="s">
        <v>636</v>
      </c>
      <c r="D75" s="1297">
        <v>5776888</v>
      </c>
      <c r="E75" s="444"/>
      <c r="F75" s="326"/>
    </row>
    <row r="76" spans="1:6">
      <c r="A76" s="1296" t="s">
        <v>64</v>
      </c>
      <c r="B76" s="1296" t="s">
        <v>633</v>
      </c>
      <c r="C76" s="1309" t="s">
        <v>637</v>
      </c>
      <c r="D76" s="1297">
        <v>93879.5</v>
      </c>
      <c r="E76" s="444"/>
      <c r="F76" s="326"/>
    </row>
    <row r="77" spans="1:6">
      <c r="A77" s="1296" t="s">
        <v>65</v>
      </c>
      <c r="B77" s="1296" t="s">
        <v>632</v>
      </c>
      <c r="C77" s="1309" t="s">
        <v>638</v>
      </c>
      <c r="D77" s="1297">
        <v>14659546</v>
      </c>
      <c r="E77" s="444"/>
      <c r="F77" s="326"/>
    </row>
    <row r="78" spans="1:6">
      <c r="A78" s="1291" t="s">
        <v>65</v>
      </c>
      <c r="B78" s="1291" t="s">
        <v>633</v>
      </c>
      <c r="C78" s="1291" t="s">
        <v>639</v>
      </c>
      <c r="D78" s="1299">
        <v>5149933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346367</v>
      </c>
      <c r="C83" s="444"/>
      <c r="D83" s="326"/>
      <c r="E83" s="326"/>
      <c r="F83" s="326"/>
    </row>
    <row r="84" spans="1:6">
      <c r="A84" s="1291" t="s">
        <v>323</v>
      </c>
      <c r="B84" s="1299">
        <v>383572</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3447.5018482820155</v>
      </c>
      <c r="C91" s="326"/>
      <c r="D91" s="326"/>
      <c r="E91" s="326"/>
      <c r="F91" s="326"/>
    </row>
    <row r="92" spans="1:6">
      <c r="A92" s="1291" t="s">
        <v>68</v>
      </c>
      <c r="B92" s="1292">
        <v>613.34037686210456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5266</v>
      </c>
      <c r="C97" s="326"/>
      <c r="D97" s="326"/>
      <c r="E97" s="326"/>
      <c r="F97" s="326"/>
    </row>
    <row r="98" spans="1:6">
      <c r="A98" s="1296" t="s">
        <v>71</v>
      </c>
      <c r="B98" s="1297">
        <v>0</v>
      </c>
      <c r="C98" s="326"/>
      <c r="D98" s="326"/>
      <c r="E98" s="326"/>
      <c r="F98" s="326"/>
    </row>
    <row r="99" spans="1:6">
      <c r="A99" s="1296" t="s">
        <v>72</v>
      </c>
      <c r="B99" s="1297">
        <v>87</v>
      </c>
      <c r="C99" s="326"/>
      <c r="D99" s="326"/>
      <c r="E99" s="326"/>
      <c r="F99" s="326"/>
    </row>
    <row r="100" spans="1:6">
      <c r="A100" s="1296" t="s">
        <v>73</v>
      </c>
      <c r="B100" s="1297">
        <v>1499</v>
      </c>
      <c r="C100" s="326"/>
      <c r="D100" s="326"/>
      <c r="E100" s="326"/>
      <c r="F100" s="326"/>
    </row>
    <row r="101" spans="1:6">
      <c r="A101" s="1296" t="s">
        <v>74</v>
      </c>
      <c r="B101" s="1297">
        <v>72</v>
      </c>
      <c r="C101" s="326"/>
      <c r="D101" s="326"/>
      <c r="E101" s="326"/>
      <c r="F101" s="326"/>
    </row>
    <row r="102" spans="1:6">
      <c r="A102" s="1296" t="s">
        <v>75</v>
      </c>
      <c r="B102" s="1297">
        <v>190</v>
      </c>
      <c r="C102" s="326"/>
      <c r="D102" s="326"/>
      <c r="E102" s="326"/>
      <c r="F102" s="326"/>
    </row>
    <row r="103" spans="1:6">
      <c r="A103" s="1296" t="s">
        <v>76</v>
      </c>
      <c r="B103" s="1297">
        <v>69</v>
      </c>
      <c r="C103" s="326"/>
      <c r="D103" s="326"/>
      <c r="E103" s="326"/>
      <c r="F103" s="326"/>
    </row>
    <row r="104" spans="1:6">
      <c r="A104" s="1296" t="s">
        <v>77</v>
      </c>
      <c r="B104" s="1297">
        <v>1638</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47</v>
      </c>
      <c r="D123" s="326"/>
      <c r="E123" s="326"/>
      <c r="F123" s="326"/>
    </row>
    <row r="124" spans="1:6">
      <c r="A124" s="1296" t="s">
        <v>88</v>
      </c>
      <c r="B124" s="1297">
        <v>3</v>
      </c>
      <c r="C124" s="1297">
        <v>4</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203</v>
      </c>
      <c r="C129" s="326"/>
      <c r="D129" s="326"/>
      <c r="E129" s="326"/>
      <c r="F129" s="326"/>
    </row>
    <row r="130" spans="1:6">
      <c r="A130" s="1296" t="s">
        <v>283</v>
      </c>
      <c r="B130" s="1297">
        <v>5</v>
      </c>
      <c r="C130" s="326"/>
      <c r="D130" s="326"/>
      <c r="E130" s="326"/>
      <c r="F130" s="326"/>
    </row>
    <row r="131" spans="1:6">
      <c r="A131" s="1296" t="s">
        <v>284</v>
      </c>
      <c r="B131" s="1297">
        <v>2</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119566.01303426994</v>
      </c>
      <c r="C3" s="43" t="s">
        <v>163</v>
      </c>
      <c r="D3" s="43"/>
      <c r="E3" s="154"/>
      <c r="F3" s="43"/>
      <c r="G3" s="43"/>
      <c r="H3" s="43"/>
      <c r="I3" s="43"/>
      <c r="J3" s="43"/>
      <c r="K3" s="96"/>
    </row>
    <row r="4" spans="1:11">
      <c r="A4" s="352" t="s">
        <v>164</v>
      </c>
      <c r="B4" s="49">
        <f>IF(ISERROR('SEAP template'!B78+'SEAP template'!C78),0,'SEAP template'!B78+'SEAP template'!C78)</f>
        <v>4310.5922251441207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59.352352941176484</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0.21352890929331531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84.789075630252114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356.78571428571433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2851.3449999999998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2851.3449999999998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0.21352890929331531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608.84458786894811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46156.023729999994</v>
      </c>
      <c r="C5" s="17">
        <f>IF(ISERROR('Eigen informatie GS &amp; warmtenet'!B59),0,'Eigen informatie GS &amp; warmtenet'!B59)</f>
        <v>0</v>
      </c>
      <c r="D5" s="30">
        <f>(SUM(HH_hh_gas_kWh,HH_rest_gas_kWh)/1000)*0.902</f>
        <v>112428.03579040001</v>
      </c>
      <c r="E5" s="17">
        <f>B32*B41</f>
        <v>200.84616559643504</v>
      </c>
      <c r="F5" s="17">
        <f>B36*B45</f>
        <v>3237.9078784563408</v>
      </c>
      <c r="G5" s="18"/>
      <c r="H5" s="17"/>
      <c r="I5" s="17"/>
      <c r="J5" s="17">
        <f>B35*B44+C35*C44</f>
        <v>12.935299221041934</v>
      </c>
      <c r="K5" s="17"/>
      <c r="L5" s="17"/>
      <c r="M5" s="17"/>
      <c r="N5" s="17">
        <f>B34*B43+C34*C43</f>
        <v>13613.142821443493</v>
      </c>
      <c r="O5" s="17">
        <f>B52*B53*B54</f>
        <v>503.92538772430612</v>
      </c>
      <c r="P5" s="17">
        <f>B60*B61*B62/1000-B60*B61*B62/1000/B63</f>
        <v>505.63004676888113</v>
      </c>
    </row>
    <row r="6" spans="1:16">
      <c r="A6" s="16" t="s">
        <v>598</v>
      </c>
      <c r="B6" s="776">
        <f>kWh_PV_kleiner_dan_10kW</f>
        <v>3447.5018482820155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49603.52557828201</v>
      </c>
      <c r="C8" s="21">
        <f>C5</f>
        <v>0</v>
      </c>
      <c r="D8" s="21">
        <f>D5</f>
        <v>112428.03579040001</v>
      </c>
      <c r="E8" s="21">
        <f>E5</f>
        <v>200.84616559643504</v>
      </c>
      <c r="F8" s="21">
        <f>F5</f>
        <v>3237.9078784563408</v>
      </c>
      <c r="G8" s="21"/>
      <c r="H8" s="21"/>
      <c r="I8" s="21"/>
      <c r="J8" s="21">
        <f>J5</f>
        <v>12.935299221041934</v>
      </c>
      <c r="K8" s="21"/>
      <c r="L8" s="21">
        <f>L5</f>
        <v>0</v>
      </c>
      <c r="M8" s="21">
        <f>M5</f>
        <v>0</v>
      </c>
      <c r="N8" s="21">
        <f>N5</f>
        <v>13613.142821443493</v>
      </c>
      <c r="O8" s="21">
        <f>O5</f>
        <v>503.92538772430612</v>
      </c>
      <c r="P8" s="21">
        <f>P5</f>
        <v>505.63004676888113</v>
      </c>
    </row>
    <row r="9" spans="1:16">
      <c r="B9" s="19"/>
      <c r="C9" s="19"/>
      <c r="D9" s="256"/>
      <c r="E9" s="19"/>
      <c r="F9" s="19"/>
      <c r="G9" s="19"/>
      <c r="H9" s="19"/>
      <c r="I9" s="19"/>
      <c r="J9" s="19"/>
      <c r="K9" s="19"/>
      <c r="L9" s="19"/>
      <c r="M9" s="19"/>
      <c r="N9" s="19"/>
      <c r="O9" s="19"/>
      <c r="P9" s="19"/>
    </row>
    <row r="10" spans="1:16">
      <c r="A10" s="24" t="s">
        <v>207</v>
      </c>
      <c r="B10" s="25">
        <f ca="1">'EF ele_warmte'!B12</f>
        <v>0.21352890929331531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10591.786713833624</v>
      </c>
      <c r="C12" s="23">
        <f ca="1">C10*C8</f>
        <v>0</v>
      </c>
      <c r="D12" s="23">
        <f>D8*D10</f>
        <v>22710.463229660803</v>
      </c>
      <c r="E12" s="23">
        <f>E10*E8</f>
        <v>45.592079590390753</v>
      </c>
      <c r="F12" s="23">
        <f>F10*F8</f>
        <v>864.52140354784308</v>
      </c>
      <c r="G12" s="23"/>
      <c r="H12" s="23"/>
      <c r="I12" s="23"/>
      <c r="J12" s="23">
        <f>J10*J8</f>
        <v>4.5790959242488443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11355</v>
      </c>
      <c r="C26" s="36"/>
      <c r="D26" s="226"/>
    </row>
    <row r="27" spans="1:7" s="15" customFormat="1">
      <c r="A27" s="228" t="s">
        <v>800</v>
      </c>
      <c r="B27" s="37">
        <f>SUM(HH_hh_gas_aantal,HH_rest_gas_aantal)</f>
        <v>11657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11074.15</v>
      </c>
      <c r="C31" s="166" t="s">
        <v>104</v>
      </c>
      <c r="D31" s="231"/>
      <c r="G31" s="15"/>
    </row>
    <row r="32" spans="1:7">
      <c r="A32" s="169" t="s">
        <v>72</v>
      </c>
      <c r="B32" s="166">
        <f>IF((B21*($B$26-($B$27-0.05*$B$27)-$B$60))&lt;0,0,B21*($B$26-($B$27-0.05*$B$27)-$B$60))</f>
        <v>3.6965400158827002</v>
      </c>
      <c r="C32" s="166" t="s">
        <v>104</v>
      </c>
      <c r="D32" s="231"/>
      <c r="G32" s="15"/>
    </row>
    <row r="33" spans="1:7">
      <c r="A33" s="169" t="s">
        <v>73</v>
      </c>
      <c r="B33" s="166">
        <f>IF((B22*($B$26-($B$27-0.05*$B$27)-$B$60))&lt;0,0,B22*($B$26-($B$27-0.05*$B$27)-$B$60))</f>
        <v>60.024488780078265</v>
      </c>
      <c r="C33" s="166" t="s">
        <v>104</v>
      </c>
      <c r="D33" s="231"/>
      <c r="G33" s="15"/>
    </row>
    <row r="34" spans="1:7">
      <c r="A34" s="169" t="s">
        <v>74</v>
      </c>
      <c r="B34" s="166">
        <f>IF((B24*($B$26-($B$27-0.05*$B$27)-$B$60))&lt;0,0,B24*($B$26-($B$27-0.05*$B$27)-$B$60))</f>
        <v>11.507497774706978</v>
      </c>
      <c r="C34" s="166">
        <f>B26*C24</f>
        <v>2326.7069465033092</v>
      </c>
      <c r="D34" s="231"/>
      <c r="G34" s="15"/>
    </row>
    <row r="35" spans="1:7">
      <c r="A35" s="169" t="s">
        <v>76</v>
      </c>
      <c r="B35" s="166">
        <f>IF((B19*($B$26-($B$27-0.05*$B$27)-$B$60))&lt;0,0,B19*($B$26-($B$27-0.05*$B$27)-$B$60))</f>
        <v>1.6068771321115936</v>
      </c>
      <c r="C35" s="166">
        <f>B35/2</f>
        <v>0.80343856605579678</v>
      </c>
      <c r="D35" s="232"/>
      <c r="G35" s="15"/>
    </row>
    <row r="36" spans="1:7">
      <c r="A36" s="169" t="s">
        <v>77</v>
      </c>
      <c r="B36" s="166">
        <f>IF((B18*($B$26-($B$27-0.05*$B$27)-$B$60))&lt;0,0,B18*($B$26-($B$27-0.05*$B$27)-$B$60))</f>
        <v>156.01459629722078</v>
      </c>
      <c r="C36" s="166" t="s">
        <v>104</v>
      </c>
      <c r="D36" s="232"/>
      <c r="G36" s="15"/>
    </row>
    <row r="37" spans="1:7">
      <c r="A37" s="169" t="s">
        <v>78</v>
      </c>
      <c r="B37" s="166">
        <f>B60</f>
        <v>48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254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49754.576883000002</v>
      </c>
      <c r="C5" s="17">
        <f>IF(ISERROR('Eigen informatie GS &amp; warmtenet'!B60),0,'Eigen informatie GS &amp; warmtenet'!B60)</f>
        <v>0</v>
      </c>
      <c r="D5" s="30">
        <f>SUM(D6:D12)</f>
        <v>62394.271730010005</v>
      </c>
      <c r="E5" s="17">
        <f>SUM(E6:E12)</f>
        <v>589.90304879502946</v>
      </c>
      <c r="F5" s="17">
        <f>SUM(F6:F12)</f>
        <v>5969.3550387675677</v>
      </c>
      <c r="G5" s="18"/>
      <c r="H5" s="17"/>
      <c r="I5" s="17"/>
      <c r="J5" s="17">
        <f>SUM(J6:J12)</f>
        <v>0.1407445966587037</v>
      </c>
      <c r="K5" s="17"/>
      <c r="L5" s="17"/>
      <c r="M5" s="17"/>
      <c r="N5" s="17">
        <f>SUM(N6:N12)</f>
        <v>5512.5397533454397</v>
      </c>
      <c r="O5" s="17">
        <f>B38*B39*B40</f>
        <v>24.486303829205774</v>
      </c>
      <c r="P5" s="17">
        <f>B46*B47*B48/1000-B46*B47*B48/1000/B49</f>
        <v>105.07827661299004</v>
      </c>
      <c r="R5" s="32"/>
    </row>
    <row r="6" spans="1:18">
      <c r="A6" s="32" t="s">
        <v>53</v>
      </c>
      <c r="B6" s="37">
        <f>B26</f>
        <v>13465.82525</v>
      </c>
      <c r="C6" s="33"/>
      <c r="D6" s="37">
        <f>IF(ISERROR(TER_kantoor_gas_kWh/1000),0,TER_kantoor_gas_kWh/1000)*0.902</f>
        <v>23034.1022725</v>
      </c>
      <c r="E6" s="33">
        <f>$C$26*'E Balans VL '!I12/100/3.6*1000000</f>
        <v>108.35517830303314</v>
      </c>
      <c r="F6" s="33">
        <f>$C$26*('E Balans VL '!L12+'E Balans VL '!N12)/100/3.6*1000000</f>
        <v>1646.3387927589217</v>
      </c>
      <c r="G6" s="34"/>
      <c r="H6" s="33"/>
      <c r="I6" s="33"/>
      <c r="J6" s="33">
        <f>$C$26*('E Balans VL '!D12+'E Balans VL '!E12)/100/3.6*1000000</f>
        <v>0</v>
      </c>
      <c r="K6" s="33"/>
      <c r="L6" s="33"/>
      <c r="M6" s="33"/>
      <c r="N6" s="33">
        <f>$C$26*'E Balans VL '!Y12/100/3.6*1000000</f>
        <v>7.2372179517539115</v>
      </c>
      <c r="O6" s="33"/>
      <c r="P6" s="33"/>
      <c r="R6" s="32"/>
    </row>
    <row r="7" spans="1:18">
      <c r="A7" s="32" t="s">
        <v>52</v>
      </c>
      <c r="B7" s="37">
        <f t="shared" ref="B7:B12" si="0">B27</f>
        <v>13236.27606</v>
      </c>
      <c r="C7" s="33"/>
      <c r="D7" s="37">
        <f>IF(ISERROR(TER_horeca_gas_kWh/1000),0,TER_horeca_gas_kWh/1000)*0.902</f>
        <v>22994.732317700003</v>
      </c>
      <c r="E7" s="33">
        <f>$C$27*'E Balans VL '!I9/100/3.6*1000000</f>
        <v>142.12510227277193</v>
      </c>
      <c r="F7" s="33">
        <f>$C$27*('E Balans VL '!L9+'E Balans VL '!N9)/100/3.6*1000000</f>
        <v>1592.0030476272566</v>
      </c>
      <c r="G7" s="34"/>
      <c r="H7" s="33"/>
      <c r="I7" s="33"/>
      <c r="J7" s="33">
        <f>$C$27*('E Balans VL '!D9+'E Balans VL '!E9)/100/3.6*1000000</f>
        <v>0</v>
      </c>
      <c r="K7" s="33"/>
      <c r="L7" s="33"/>
      <c r="M7" s="33"/>
      <c r="N7" s="33">
        <f>$C$27*'E Balans VL '!Y9/100/3.6*1000000</f>
        <v>1.9843860495641947</v>
      </c>
      <c r="O7" s="33"/>
      <c r="P7" s="33"/>
      <c r="R7" s="32"/>
    </row>
    <row r="8" spans="1:18">
      <c r="A8" s="6" t="s">
        <v>51</v>
      </c>
      <c r="B8" s="37">
        <f t="shared" si="0"/>
        <v>10119.502480000001</v>
      </c>
      <c r="C8" s="33"/>
      <c r="D8" s="37">
        <f>IF(ISERROR(TER_handel_gas_kWh/1000),0,TER_handel_gas_kWh/1000)*0.902</f>
        <v>4281.5935223820006</v>
      </c>
      <c r="E8" s="33">
        <f>$C$28*'E Balans VL '!I13/100/3.6*1000000</f>
        <v>271.57646600689355</v>
      </c>
      <c r="F8" s="33">
        <f>$C$28*('E Balans VL '!L13+'E Balans VL '!N13)/100/3.6*1000000</f>
        <v>965.71242770046933</v>
      </c>
      <c r="G8" s="34"/>
      <c r="H8" s="33"/>
      <c r="I8" s="33"/>
      <c r="J8" s="33">
        <f>$C$28*('E Balans VL '!D13+'E Balans VL '!E13)/100/3.6*1000000</f>
        <v>0</v>
      </c>
      <c r="K8" s="33"/>
      <c r="L8" s="33"/>
      <c r="M8" s="33"/>
      <c r="N8" s="33">
        <f>$C$28*'E Balans VL '!Y13/100/3.6*1000000</f>
        <v>4.0114858457160709</v>
      </c>
      <c r="O8" s="33"/>
      <c r="P8" s="33"/>
      <c r="R8" s="32"/>
    </row>
    <row r="9" spans="1:18">
      <c r="A9" s="32" t="s">
        <v>50</v>
      </c>
      <c r="B9" s="37">
        <f t="shared" si="0"/>
        <v>1294.024054</v>
      </c>
      <c r="C9" s="33"/>
      <c r="D9" s="37">
        <f>IF(ISERROR(TER_gezond_gas_kWh/1000),0,TER_gezond_gas_kWh/1000)*0.902</f>
        <v>2358.8243311600004</v>
      </c>
      <c r="E9" s="33">
        <f>$C$29*'E Balans VL '!I10/100/3.6*1000000</f>
        <v>2.4254224297247093</v>
      </c>
      <c r="F9" s="33">
        <f>$C$29*('E Balans VL '!L10+'E Balans VL '!N10)/100/3.6*1000000</f>
        <v>106.38058429851968</v>
      </c>
      <c r="G9" s="34"/>
      <c r="H9" s="33"/>
      <c r="I9" s="33"/>
      <c r="J9" s="33">
        <f>$C$29*('E Balans VL '!D10+'E Balans VL '!E10)/100/3.6*1000000</f>
        <v>0</v>
      </c>
      <c r="K9" s="33"/>
      <c r="L9" s="33"/>
      <c r="M9" s="33"/>
      <c r="N9" s="33">
        <f>$C$29*'E Balans VL '!Y10/100/3.6*1000000</f>
        <v>10.06847262079126</v>
      </c>
      <c r="O9" s="33"/>
      <c r="P9" s="33"/>
      <c r="R9" s="32"/>
    </row>
    <row r="10" spans="1:18">
      <c r="A10" s="32" t="s">
        <v>49</v>
      </c>
      <c r="B10" s="37">
        <f t="shared" si="0"/>
        <v>7916.9298710000003</v>
      </c>
      <c r="C10" s="33"/>
      <c r="D10" s="37">
        <f>IF(ISERROR(TER_ander_gas_kWh/1000),0,TER_ander_gas_kWh/1000)*0.902</f>
        <v>4307.9274782280008</v>
      </c>
      <c r="E10" s="33">
        <f>$C$30*'E Balans VL '!I14/100/3.6*1000000</f>
        <v>12.204027617157367</v>
      </c>
      <c r="F10" s="33">
        <f>$C$30*('E Balans VL '!L14+'E Balans VL '!N14)/100/3.6*1000000</f>
        <v>1229.105548061402</v>
      </c>
      <c r="G10" s="34"/>
      <c r="H10" s="33"/>
      <c r="I10" s="33"/>
      <c r="J10" s="33">
        <f>$C$30*('E Balans VL '!D14+'E Balans VL '!E14)/100/3.6*1000000</f>
        <v>0.1343982339508055</v>
      </c>
      <c r="K10" s="33"/>
      <c r="L10" s="33"/>
      <c r="M10" s="33"/>
      <c r="N10" s="33">
        <f>$C$30*'E Balans VL '!Y14/100/3.6*1000000</f>
        <v>5237.587066955869</v>
      </c>
      <c r="O10" s="33"/>
      <c r="P10" s="33"/>
      <c r="R10" s="32"/>
    </row>
    <row r="11" spans="1:18">
      <c r="A11" s="32" t="s">
        <v>54</v>
      </c>
      <c r="B11" s="37">
        <f t="shared" si="0"/>
        <v>410.49403599999999</v>
      </c>
      <c r="C11" s="33"/>
      <c r="D11" s="37">
        <f>IF(ISERROR(TER_onderwijs_gas_kWh/1000),0,TER_onderwijs_gas_kWh/1000)*0.902</f>
        <v>786.81262732599998</v>
      </c>
      <c r="E11" s="33">
        <f>$C$31*'E Balans VL '!I11/100/3.6*1000000</f>
        <v>10.470401615431435</v>
      </c>
      <c r="F11" s="33">
        <f>$C$31*('E Balans VL '!L11+'E Balans VL '!N11)/100/3.6*1000000</f>
        <v>49.365771546002328</v>
      </c>
      <c r="G11" s="34"/>
      <c r="H11" s="33"/>
      <c r="I11" s="33"/>
      <c r="J11" s="33">
        <f>$C$31*('E Balans VL '!D11+'E Balans VL '!E11)/100/3.6*1000000</f>
        <v>0</v>
      </c>
      <c r="K11" s="33"/>
      <c r="L11" s="33"/>
      <c r="M11" s="33"/>
      <c r="N11" s="33">
        <f>$C$31*'E Balans VL '!Y11/100/3.6*1000000</f>
        <v>0.91292871992321578</v>
      </c>
      <c r="O11" s="33"/>
      <c r="P11" s="33"/>
      <c r="R11" s="32"/>
    </row>
    <row r="12" spans="1:18">
      <c r="A12" s="32" t="s">
        <v>248</v>
      </c>
      <c r="B12" s="37">
        <f t="shared" si="0"/>
        <v>3311.5251320000002</v>
      </c>
      <c r="C12" s="33"/>
      <c r="D12" s="37">
        <f>IF(ISERROR(TER_rest_gas_kWh/1000),0,TER_rest_gas_kWh/1000)*0.902</f>
        <v>4630.2791807140011</v>
      </c>
      <c r="E12" s="33">
        <f>$C$32*'E Balans VL '!I8/100/3.6*1000000</f>
        <v>42.746450550017258</v>
      </c>
      <c r="F12" s="33">
        <f>$C$32*('E Balans VL '!L8+'E Balans VL '!N8)/100/3.6*1000000</f>
        <v>380.44886677499642</v>
      </c>
      <c r="G12" s="34"/>
      <c r="H12" s="33"/>
      <c r="I12" s="33"/>
      <c r="J12" s="33">
        <f>$C$32*('E Balans VL '!D8+'E Balans VL '!E8)/100/3.6*1000000</f>
        <v>6.3463627078982118E-3</v>
      </c>
      <c r="K12" s="33"/>
      <c r="L12" s="33"/>
      <c r="M12" s="33"/>
      <c r="N12" s="33">
        <f>$C$32*'E Balans VL '!Y8/100/3.6*1000000</f>
        <v>250.73819520182244</v>
      </c>
      <c r="O12" s="33"/>
      <c r="P12" s="33"/>
      <c r="R12" s="32"/>
    </row>
    <row r="13" spans="1:18">
      <c r="A13" s="16" t="s">
        <v>465</v>
      </c>
      <c r="B13" s="245">
        <f ca="1">'lokale energieproductie'!N39+'lokale energieproductie'!N32</f>
        <v>225</v>
      </c>
      <c r="C13" s="245">
        <f ca="1">'lokale energieproductie'!O39+'lokale energieproductie'!O32</f>
        <v>321.42857142857144</v>
      </c>
      <c r="D13" s="304">
        <f ca="1">('lokale energieproductie'!P32+'lokale energieproductie'!P39)*(-1)</f>
        <v>-642.85714285714289</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49979.576883000002</v>
      </c>
      <c r="C16" s="21">
        <f t="shared" ca="1" si="1"/>
        <v>321.42857142857144</v>
      </c>
      <c r="D16" s="21">
        <f t="shared" ca="1" si="1"/>
        <v>61751.41458715286</v>
      </c>
      <c r="E16" s="21">
        <f t="shared" si="1"/>
        <v>589.90304879502946</v>
      </c>
      <c r="F16" s="21">
        <f t="shared" ca="1" si="1"/>
        <v>5969.3550387675677</v>
      </c>
      <c r="G16" s="21">
        <f t="shared" si="1"/>
        <v>0</v>
      </c>
      <c r="H16" s="21">
        <f t="shared" si="1"/>
        <v>0</v>
      </c>
      <c r="I16" s="21">
        <f t="shared" si="1"/>
        <v>0</v>
      </c>
      <c r="J16" s="21">
        <f t="shared" si="1"/>
        <v>0.1407445966587037</v>
      </c>
      <c r="K16" s="21">
        <f t="shared" si="1"/>
        <v>0</v>
      </c>
      <c r="L16" s="21">
        <f t="shared" ca="1" si="1"/>
        <v>0</v>
      </c>
      <c r="M16" s="21">
        <f t="shared" si="1"/>
        <v>0</v>
      </c>
      <c r="N16" s="21">
        <f t="shared" ca="1" si="1"/>
        <v>5512.5397533454397</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0.21352890929331531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10672.084538768386</v>
      </c>
      <c r="C20" s="23">
        <f t="shared" ref="C20:P20" ca="1" si="2">C16*C18</f>
        <v>76.386554621848745</v>
      </c>
      <c r="D20" s="23">
        <f t="shared" ca="1" si="2"/>
        <v>12473.785746604879</v>
      </c>
      <c r="E20" s="23">
        <f t="shared" si="2"/>
        <v>133.90799207647169</v>
      </c>
      <c r="F20" s="23">
        <f t="shared" ca="1" si="2"/>
        <v>1593.8177953509407</v>
      </c>
      <c r="G20" s="23">
        <f t="shared" si="2"/>
        <v>0</v>
      </c>
      <c r="H20" s="23">
        <f t="shared" si="2"/>
        <v>0</v>
      </c>
      <c r="I20" s="23">
        <f t="shared" si="2"/>
        <v>0</v>
      </c>
      <c r="J20" s="23">
        <f t="shared" si="2"/>
        <v>4.9823587217181109E-2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13465.82525</v>
      </c>
      <c r="C26" s="39">
        <f>IF(ISERROR(B26*3.6/1000000/'E Balans VL '!Z12*100),0,B26*3.6/1000000/'E Balans VL '!Z12*100)</f>
        <v>0.28566516286337584</v>
      </c>
      <c r="D26" s="235" t="s">
        <v>692</v>
      </c>
      <c r="F26" s="6"/>
    </row>
    <row r="27" spans="1:18">
      <c r="A27" s="229" t="s">
        <v>52</v>
      </c>
      <c r="B27" s="33">
        <f>IF(ISERROR(TER_horeca_ele_kWh/1000),0,TER_horeca_ele_kWh/1000)</f>
        <v>13236.27606</v>
      </c>
      <c r="C27" s="39">
        <f>IF(ISERROR(B27*3.6/1000000/'E Balans VL '!Z9*100),0,B27*3.6/1000000/'E Balans VL '!Z9*100)</f>
        <v>0.99680884095627553</v>
      </c>
      <c r="D27" s="235" t="s">
        <v>692</v>
      </c>
      <c r="F27" s="6"/>
    </row>
    <row r="28" spans="1:18">
      <c r="A28" s="169" t="s">
        <v>51</v>
      </c>
      <c r="B28" s="33">
        <f>IF(ISERROR(TER_handel_ele_kWh/1000),0,TER_handel_ele_kWh/1000)</f>
        <v>10119.502480000001</v>
      </c>
      <c r="C28" s="39">
        <f>IF(ISERROR(B28*3.6/1000000/'E Balans VL '!Z13*100),0,B28*3.6/1000000/'E Balans VL '!Z13*100)</f>
        <v>0.29373330079954846</v>
      </c>
      <c r="D28" s="235" t="s">
        <v>692</v>
      </c>
      <c r="F28" s="6"/>
    </row>
    <row r="29" spans="1:18">
      <c r="A29" s="229" t="s">
        <v>50</v>
      </c>
      <c r="B29" s="33">
        <f>IF(ISERROR(TER_gezond_ele_kWh/1000),0,TER_gezond_ele_kWh/1000)</f>
        <v>1294.024054</v>
      </c>
      <c r="C29" s="39">
        <f>IF(ISERROR(B29*3.6/1000000/'E Balans VL '!Z10*100),0,B29*3.6/1000000/'E Balans VL '!Z10*100)</f>
        <v>0.13050386903243702</v>
      </c>
      <c r="D29" s="235" t="s">
        <v>692</v>
      </c>
      <c r="F29" s="6"/>
    </row>
    <row r="30" spans="1:18">
      <c r="A30" s="229" t="s">
        <v>49</v>
      </c>
      <c r="B30" s="33">
        <f>IF(ISERROR(TER_ander_ele_kWh/1000),0,TER_ander_ele_kWh/1000)</f>
        <v>7916.9298710000003</v>
      </c>
      <c r="C30" s="39">
        <f>IF(ISERROR(B30*3.6/1000000/'E Balans VL '!Z14*100),0,B30*3.6/1000000/'E Balans VL '!Z14*100)</f>
        <v>0.57448126886807294</v>
      </c>
      <c r="D30" s="235" t="s">
        <v>692</v>
      </c>
      <c r="F30" s="6"/>
    </row>
    <row r="31" spans="1:18">
      <c r="A31" s="229" t="s">
        <v>54</v>
      </c>
      <c r="B31" s="33">
        <f>IF(ISERROR(TER_onderwijs_ele_kWh/1000),0,TER_onderwijs_ele_kWh/1000)</f>
        <v>410.49403599999999</v>
      </c>
      <c r="C31" s="39">
        <f>IF(ISERROR(B31*3.6/1000000/'E Balans VL '!Z11*100),0,B31*3.6/1000000/'E Balans VL '!Z11*100)</f>
        <v>0.11700751635550795</v>
      </c>
      <c r="D31" s="235" t="s">
        <v>692</v>
      </c>
    </row>
    <row r="32" spans="1:18">
      <c r="A32" s="229" t="s">
        <v>248</v>
      </c>
      <c r="B32" s="33">
        <f>IF(ISERROR(TER_rest_ele_kWh/1000),0,TER_rest_ele_kWh/1000)</f>
        <v>3311.5251320000002</v>
      </c>
      <c r="C32" s="39">
        <f>IF(ISERROR(B32*3.6/1000000/'E Balans VL '!Z8*100),0,B32*3.6/1000000/'E Balans VL '!Z8*100)</f>
        <v>2.7127339355254475E-2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3504.1104269999996</v>
      </c>
      <c r="C5" s="17">
        <f>IF(ISERROR('Eigen informatie GS &amp; warmtenet'!B61),0,'Eigen informatie GS &amp; warmtenet'!B61)</f>
        <v>0</v>
      </c>
      <c r="D5" s="30">
        <f>SUM(D6:D15)</f>
        <v>4211.5309998080002</v>
      </c>
      <c r="E5" s="17">
        <f>SUM(E6:E15)</f>
        <v>614.55695176740937</v>
      </c>
      <c r="F5" s="17">
        <f>SUM(F6:F15)</f>
        <v>1901.5355563849878</v>
      </c>
      <c r="G5" s="18"/>
      <c r="H5" s="17"/>
      <c r="I5" s="17"/>
      <c r="J5" s="17">
        <f>SUM(J6:J15)</f>
        <v>5.3990527001832529</v>
      </c>
      <c r="K5" s="17"/>
      <c r="L5" s="17"/>
      <c r="M5" s="17"/>
      <c r="N5" s="17">
        <f>SUM(N6:N15)</f>
        <v>224.29026402277748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v>
      </c>
      <c r="C8" s="33"/>
      <c r="D8" s="37">
        <f>IF( ISERROR(IND_metaal_Gas_kWH/1000),0,IND_metaal_Gas_kWH/1000)*0.902</f>
        <v>7.7571612139999999</v>
      </c>
      <c r="E8" s="33">
        <f>C30*'E Balans VL '!I18/100/3.6*1000000</f>
        <v>0.83574036738002522</v>
      </c>
      <c r="F8" s="33">
        <f>C30*'E Balans VL '!L18/100/3.6*1000000+C30*'E Balans VL '!N18/100/3.6*1000000</f>
        <v>10.956800967829505</v>
      </c>
      <c r="G8" s="34"/>
      <c r="H8" s="33"/>
      <c r="I8" s="33"/>
      <c r="J8" s="40">
        <f>C30*'E Balans VL '!D18/100/3.6*1000000+C30*'E Balans VL '!E18/100/3.6*1000000</f>
        <v>0.11651757419824586</v>
      </c>
      <c r="K8" s="33"/>
      <c r="L8" s="33"/>
      <c r="M8" s="33"/>
      <c r="N8" s="33">
        <f>C30*'E Balans VL '!Y18/100/3.6*1000000</f>
        <v>1.4645872956107757</v>
      </c>
      <c r="O8" s="33"/>
      <c r="P8" s="33"/>
      <c r="R8" s="32"/>
    </row>
    <row r="9" spans="1:18">
      <c r="A9" s="6" t="s">
        <v>32</v>
      </c>
      <c r="B9" s="37">
        <f t="shared" si="0"/>
        <v>2176.7966179999999</v>
      </c>
      <c r="C9" s="33"/>
      <c r="D9" s="37">
        <f>IF( ISERROR(IND_andere_gas_kWh/1000),0,IND_andere_gas_kWh/1000)*0.902</f>
        <v>2626.379973822</v>
      </c>
      <c r="E9" s="33">
        <f>C31*'E Balans VL '!I19/100/3.6*1000000</f>
        <v>603.21945026522485</v>
      </c>
      <c r="F9" s="33">
        <f>C31*'E Balans VL '!L19/100/3.6*1000000+C31*'E Balans VL '!N19/100/3.6*1000000</f>
        <v>1804.1337410921458</v>
      </c>
      <c r="G9" s="34"/>
      <c r="H9" s="33"/>
      <c r="I9" s="33"/>
      <c r="J9" s="40">
        <f>C31*'E Balans VL '!D19/100/3.6*1000000+C31*'E Balans VL '!E19/100/3.6*1000000</f>
        <v>0</v>
      </c>
      <c r="K9" s="33"/>
      <c r="L9" s="33"/>
      <c r="M9" s="33"/>
      <c r="N9" s="33">
        <f>C31*'E Balans VL '!Y19/100/3.6*1000000</f>
        <v>158.00880936177421</v>
      </c>
      <c r="O9" s="33"/>
      <c r="P9" s="33"/>
      <c r="R9" s="32"/>
    </row>
    <row r="10" spans="1:18">
      <c r="A10" s="6" t="s">
        <v>40</v>
      </c>
      <c r="B10" s="37">
        <f t="shared" si="0"/>
        <v>984.53890899999999</v>
      </c>
      <c r="C10" s="33"/>
      <c r="D10" s="37">
        <f>IF( ISERROR(IND_voed_gas_kWh/1000),0,IND_voed_gas_kWh/1000)*0.902</f>
        <v>1203.0245844760002</v>
      </c>
      <c r="E10" s="33">
        <f>C32*'E Balans VL '!I20/100/3.6*1000000</f>
        <v>1.7429673536391377</v>
      </c>
      <c r="F10" s="33">
        <f>C32*'E Balans VL '!L20/100/3.6*1000000+C32*'E Balans VL '!N20/100/3.6*1000000</f>
        <v>53.173826976077947</v>
      </c>
      <c r="G10" s="34"/>
      <c r="H10" s="33"/>
      <c r="I10" s="33"/>
      <c r="J10" s="40">
        <f>C32*'E Balans VL '!D20/100/3.6*1000000+C32*'E Balans VL '!E20/100/3.6*1000000</f>
        <v>0</v>
      </c>
      <c r="K10" s="33"/>
      <c r="L10" s="33"/>
      <c r="M10" s="33"/>
      <c r="N10" s="33">
        <f>C32*'E Balans VL '!Y20/100/3.6*1000000</f>
        <v>57.209229630241651</v>
      </c>
      <c r="O10" s="33"/>
      <c r="P10" s="33"/>
      <c r="R10" s="32"/>
    </row>
    <row r="11" spans="1:18">
      <c r="A11" s="6" t="s">
        <v>39</v>
      </c>
      <c r="B11" s="37">
        <f t="shared" si="0"/>
        <v>8.9158979999999985</v>
      </c>
      <c r="C11" s="33"/>
      <c r="D11" s="37">
        <f>IF( ISERROR(IND_textiel_gas_kWh/1000),0,IND_textiel_gas_kWh/1000)*0.902</f>
        <v>0</v>
      </c>
      <c r="E11" s="33">
        <f>C33*'E Balans VL '!I21/100/3.6*1000000</f>
        <v>3.1429465875366297E-2</v>
      </c>
      <c r="F11" s="33">
        <f>C33*'E Balans VL '!L21/100/3.6*1000000+C33*'E Balans VL '!N21/100/3.6*1000000</f>
        <v>0.26169493878918726</v>
      </c>
      <c r="G11" s="34"/>
      <c r="H11" s="33"/>
      <c r="I11" s="33"/>
      <c r="J11" s="40">
        <f>C33*'E Balans VL '!D21/100/3.6*1000000+C33*'E Balans VL '!E21/100/3.6*1000000</f>
        <v>0</v>
      </c>
      <c r="K11" s="33"/>
      <c r="L11" s="33"/>
      <c r="M11" s="33"/>
      <c r="N11" s="33">
        <f>C33*'E Balans VL '!Y21/100/3.6*1000000</f>
        <v>0.39283318960239932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34.420839000000001</v>
      </c>
      <c r="C13" s="33"/>
      <c r="D13" s="37">
        <f>IF( ISERROR(IND_papier_gas_kWh/1000),0,IND_papier_gas_kWh/1000)*0.902</f>
        <v>85.059897075999999</v>
      </c>
      <c r="E13" s="33">
        <f>C35*'E Balans VL '!I23/100/3.6*1000000</f>
        <v>5.0644873602756775E-2</v>
      </c>
      <c r="F13" s="33">
        <f>C35*'E Balans VL '!L23/100/3.6*1000000+C35*'E Balans VL '!N23/100/3.6*1000000</f>
        <v>0.36855447410854331</v>
      </c>
      <c r="G13" s="34"/>
      <c r="H13" s="33"/>
      <c r="I13" s="33"/>
      <c r="J13" s="40">
        <f>C35*'E Balans VL '!D23/100/3.6*1000000+C35*'E Balans VL '!E23/100/3.6*1000000</f>
        <v>3.7658328085644346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183.593163</v>
      </c>
      <c r="C15" s="33"/>
      <c r="D15" s="37">
        <f>IF( ISERROR(IND_rest_gas_kWh/1000),0,IND_rest_gas_kWh/1000)*0.902</f>
        <v>289.30938321999997</v>
      </c>
      <c r="E15" s="33">
        <f>C37*'E Balans VL '!I15/100/3.6*1000000</f>
        <v>8.6767194416871636</v>
      </c>
      <c r="F15" s="33">
        <f>C37*'E Balans VL '!L15/100/3.6*1000000+C37*'E Balans VL '!N15/100/3.6*1000000</f>
        <v>32.640937936037034</v>
      </c>
      <c r="G15" s="34"/>
      <c r="H15" s="33"/>
      <c r="I15" s="33"/>
      <c r="J15" s="40">
        <f>C37*'E Balans VL '!D15/100/3.6*1000000+C37*'E Balans VL '!E15/100/3.6*1000000</f>
        <v>1.5167023174205729</v>
      </c>
      <c r="K15" s="33"/>
      <c r="L15" s="33"/>
      <c r="M15" s="33"/>
      <c r="N15" s="33">
        <f>C37*'E Balans VL '!Y15/100/3.6*1000000</f>
        <v>7.2148045455484171</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3504.1104269999996</v>
      </c>
      <c r="C18" s="21">
        <f>C5+C16</f>
        <v>0</v>
      </c>
      <c r="D18" s="21">
        <f>MAX((D5+D16),0)</f>
        <v>4211.5309998080002</v>
      </c>
      <c r="E18" s="21">
        <f>MAX((E5+E16),0)</f>
        <v>614.55695176740937</v>
      </c>
      <c r="F18" s="21">
        <f>MAX((F5+F16),0)</f>
        <v>1901.5355563849878</v>
      </c>
      <c r="G18" s="21"/>
      <c r="H18" s="21"/>
      <c r="I18" s="21"/>
      <c r="J18" s="21">
        <f>MAX((J5+J16),0)</f>
        <v>5.3990527001832529</v>
      </c>
      <c r="K18" s="21"/>
      <c r="L18" s="21">
        <f>MAX((L5+L16),0)</f>
        <v>0</v>
      </c>
      <c r="M18" s="21"/>
      <c r="N18" s="21">
        <f>MAX((N5+N16),0)</f>
        <v>224.29026402277748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0.21352890929331531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748.22887752064332</v>
      </c>
      <c r="C22" s="23">
        <f ca="1">C18*C20</f>
        <v>0</v>
      </c>
      <c r="D22" s="23">
        <f>D18*D20</f>
        <v>850.72926196121614</v>
      </c>
      <c r="E22" s="23">
        <f>E18*E20</f>
        <v>139.50442805120193</v>
      </c>
      <c r="F22" s="23">
        <f>F18*F20</f>
        <v>507.70999355479177</v>
      </c>
      <c r="G22" s="23"/>
      <c r="H22" s="23"/>
      <c r="I22" s="23"/>
      <c r="J22" s="23">
        <f>J18*J20</f>
        <v>1.9112646558648714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115.845</v>
      </c>
      <c r="C30" s="39">
        <f>IF(ISERROR(B30*3.6/1000000/'E Balans VL '!Z18*100),0,B30*3.6/1000000/'E Balans VL '!Z18*100)</f>
        <v>6.6875510915244234E-3</v>
      </c>
      <c r="D30" s="235" t="s">
        <v>692</v>
      </c>
    </row>
    <row r="31" spans="1:18">
      <c r="A31" s="6" t="s">
        <v>32</v>
      </c>
      <c r="B31" s="37">
        <f>IF( ISERROR(IND_ander_ele_kWh/1000),0,IND_ander_ele_kWh/1000)</f>
        <v>2176.7966179999999</v>
      </c>
      <c r="C31" s="39">
        <f>IF(ISERROR(B31*3.6/1000000/'E Balans VL '!Z19*100),0,B31*3.6/1000000/'E Balans VL '!Z19*100)</f>
        <v>0.10948581407237072</v>
      </c>
      <c r="D31" s="235" t="s">
        <v>692</v>
      </c>
    </row>
    <row r="32" spans="1:18">
      <c r="A32" s="169" t="s">
        <v>40</v>
      </c>
      <c r="B32" s="37">
        <f>IF( ISERROR(IND_voed_ele_kWh/1000),0,IND_voed_ele_kWh/1000)</f>
        <v>984.53890899999999</v>
      </c>
      <c r="C32" s="39">
        <f>IF(ISERROR(B32*3.6/1000000/'E Balans VL '!Z20*100),0,B32*3.6/1000000/'E Balans VL '!Z20*100)</f>
        <v>3.2790992105991332E-2</v>
      </c>
      <c r="D32" s="235" t="s">
        <v>692</v>
      </c>
    </row>
    <row r="33" spans="1:5">
      <c r="A33" s="169" t="s">
        <v>39</v>
      </c>
      <c r="B33" s="37">
        <f>IF( ISERROR(IND_textiel_ele_kWh/1000),0,IND_textiel_ele_kWh/1000)</f>
        <v>8.9158979999999985</v>
      </c>
      <c r="C33" s="39">
        <f>IF(ISERROR(B33*3.6/1000000/'E Balans VL '!Z21*100),0,B33*3.6/1000000/'E Balans VL '!Z21*100)</f>
        <v>1.3901019746812783E-3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34.420839000000001</v>
      </c>
      <c r="C35" s="39">
        <f>IF(ISERROR(B35*3.6/1000000/'E Balans VL '!Z22*100),0,B35*3.6/1000000/'E Balans VL '!Z22*100)</f>
        <v>6.4206490840901199E-3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183.593163</v>
      </c>
      <c r="C37" s="39">
        <f>IF(ISERROR(B37*3.6/1000000/'E Balans VL '!Z15*100),0,B37*3.6/1000000/'E Balans VL '!Z15*100)</f>
        <v>1.4325287309903817E-3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1254.5282480000001</v>
      </c>
      <c r="C5" s="17">
        <f>'Eigen informatie GS &amp; warmtenet'!B62</f>
        <v>0</v>
      </c>
      <c r="D5" s="30">
        <f>IF(ISERROR(SUM(LB_lb_gas_kWh,LB_rest_gas_kWh)/1000),0,SUM(LB_lb_gas_kWh,LB_rest_gas_kWh)/1000)*0.902</f>
        <v>206.42123515200001</v>
      </c>
      <c r="E5" s="17">
        <f>B17*'E Balans VL '!I25/3.6*1000000/100</f>
        <v>39.15341292770016</v>
      </c>
      <c r="F5" s="17">
        <f>B17*('E Balans VL '!L25/3.6*1000000+'E Balans VL '!N25/3.6*1000000)/100</f>
        <v>4433.6418013223811</v>
      </c>
      <c r="G5" s="18"/>
      <c r="H5" s="17"/>
      <c r="I5" s="17"/>
      <c r="J5" s="17">
        <f>('E Balans VL '!D25+'E Balans VL '!E25)/3.6*1000000*landbouw!B17/100</f>
        <v>345.63123240115294</v>
      </c>
      <c r="K5" s="17"/>
      <c r="L5" s="17">
        <f>L6*(-1)</f>
        <v>0</v>
      </c>
      <c r="M5" s="17"/>
      <c r="N5" s="17">
        <f>N6*(-1)</f>
        <v>0</v>
      </c>
      <c r="O5" s="17"/>
      <c r="P5" s="17"/>
      <c r="R5" s="32"/>
    </row>
    <row r="6" spans="1:18">
      <c r="A6" s="16" t="s">
        <v>465</v>
      </c>
      <c r="B6" s="17" t="s">
        <v>204</v>
      </c>
      <c r="C6" s="17">
        <f>'lokale energieproductie'!O40+'lokale energieproductie'!O33</f>
        <v>35.357142857142861</v>
      </c>
      <c r="D6" s="304">
        <f>('lokale energieproductie'!P33+'lokale energieproductie'!P40)*(-1)</f>
        <v>-70.714285714285722</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1254.5282480000001</v>
      </c>
      <c r="C8" s="21">
        <f>C5+C6</f>
        <v>35.357142857142861</v>
      </c>
      <c r="D8" s="21">
        <f>MAX((D5+D6),0)</f>
        <v>135.70694943771429</v>
      </c>
      <c r="E8" s="21">
        <f>MAX((E5+E6),0)</f>
        <v>39.15341292770016</v>
      </c>
      <c r="F8" s="21">
        <f>MAX((F5+F6),0)</f>
        <v>4433.6418013223811</v>
      </c>
      <c r="G8" s="21"/>
      <c r="H8" s="21"/>
      <c r="I8" s="21"/>
      <c r="J8" s="21">
        <f>MAX((J5+J6),0)</f>
        <v>345.63123240115294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0.21352890929331531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267.87804847309377</v>
      </c>
      <c r="C12" s="23">
        <f ca="1">C8*C10</f>
        <v>8.4025210084033617</v>
      </c>
      <c r="D12" s="23">
        <f>D8*D10</f>
        <v>27.412803786418287</v>
      </c>
      <c r="E12" s="23">
        <f>E8*E10</f>
        <v>8.8878247345879373</v>
      </c>
      <c r="F12" s="23">
        <f>F8*F10</f>
        <v>1183.7823609530758</v>
      </c>
      <c r="G12" s="23"/>
      <c r="H12" s="23"/>
      <c r="I12" s="23"/>
      <c r="J12" s="23">
        <f>J8*J10</f>
        <v>122.35345627000814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0.18649461737554759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101.47295109283553</v>
      </c>
      <c r="C26" s="245">
        <f>B26*'GWP N2O_CH4'!B5</f>
        <v>2130.931972949546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85.690645776810058</v>
      </c>
      <c r="C27" s="245">
        <f>B27*'GWP N2O_CH4'!B5</f>
        <v>1799.5035613130112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1.8269860382012173</v>
      </c>
      <c r="C28" s="245">
        <f>B28*'GWP N2O_CH4'!B4</f>
        <v>566.36567184237731</v>
      </c>
      <c r="D28" s="50"/>
    </row>
    <row r="29" spans="1:4">
      <c r="A29" s="41" t="s">
        <v>265</v>
      </c>
      <c r="B29" s="245">
        <f>B34*'ha_N2O bodem landbouw'!B4</f>
        <v>14.47645753341209</v>
      </c>
      <c r="C29" s="245">
        <f>B29*'GWP N2O_CH4'!B4</f>
        <v>4487.7018353577478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3.1744264943198864E-3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3.4645660990953664E-4</v>
      </c>
      <c r="C5" s="431" t="s">
        <v>204</v>
      </c>
      <c r="D5" s="416">
        <f>SUM(D6:D11)</f>
        <v>5.7139390080950436E-4</v>
      </c>
      <c r="E5" s="416">
        <f>SUM(E6:E11)</f>
        <v>5.1401242799408147E-4</v>
      </c>
      <c r="F5" s="429" t="s">
        <v>204</v>
      </c>
      <c r="G5" s="416">
        <f>SUM(G6:G11)</f>
        <v>0.29509437858590309</v>
      </c>
      <c r="H5" s="416">
        <f>SUM(H6:H11)</f>
        <v>5.1227040977739009E-2</v>
      </c>
      <c r="I5" s="431" t="s">
        <v>204</v>
      </c>
      <c r="J5" s="431" t="s">
        <v>204</v>
      </c>
      <c r="K5" s="431" t="s">
        <v>204</v>
      </c>
      <c r="L5" s="431" t="s">
        <v>204</v>
      </c>
      <c r="M5" s="416">
        <f>SUM(M6:M11)</f>
        <v>2.0401502697986129E-2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2.5886016516194762E-4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4.3698112920541158E-4</v>
      </c>
      <c r="E6" s="882">
        <f>vkm_GW_PW*SUMIFS(TableVerdeelsleutelVkm[LPG],TableVerdeelsleutelVkm[Voertuigtype],"Lichte voertuigen")*SUMIFS(TableECFTransport[EnergieConsumptieFactor (PJ per km)],TableECFTransport[Index],CONCATENATE($A6,"_LPG_LPG"))</f>
        <v>3.8291451612479859E-4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0.11961505798056904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3.8978790766603273E-2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9.4756404616191774E-3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2.3708253651266029E-6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9.0487774333961962E-2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1.2578090712142013E-6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5.2159306653468736E-3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2.4950399804820682E-5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5.3780280668521658E-5</v>
      </c>
      <c r="E8" s="419">
        <f>vkm_NGW_PW*SUMIFS(TableVerdeelsleutelVkm[LPG],TableVerdeelsleutelVkm[Voertuigtype],"Lichte voertuigen")*SUMIFS(TableECFTransport[EnergieConsumptieFactor (PJ per km)],TableECFTransport[Index],CONCATENATE($A8,"_LPG_LPG"))</f>
        <v>4.5143807238353247E-5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1.3029048571716554E-2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4.7276673644624113E-3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1.0640405041399486E-3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2.3340011299774694E-8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1.1452217769570951E-3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1.4946264571412418E-8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6.601324434509874E-5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5.8971520228967165E-5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8.0632490935571096E-5</v>
      </c>
      <c r="E10" s="419">
        <f>vkm_SW_PW*SUMIFS(TableVerdeelsleutelVkm[LPG],TableVerdeelsleutelVkm[Voertuigtype],"Lichte voertuigen")*SUMIFS(TableECFTransport[EnergieConsumptieFactor (PJ per km)],TableECFTransport[Index],CONCATENATE($A10,"_LPG_LPG"))</f>
        <v>8.5954104630929691E-5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2.446852663906449E-2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7.518610929894841E-3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1.9082219730287555E-3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1.2803593373748538E-6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4.6348749283633965E-2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6.9916144269224944E-7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2.6716558495062724E-3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96.237947197093519</v>
      </c>
      <c r="C14" s="21"/>
      <c r="D14" s="21">
        <f t="shared" ref="D14:M14" si="0">((D5)*10^9/3600)+D12</f>
        <v>158.72052800264009</v>
      </c>
      <c r="E14" s="21">
        <f t="shared" si="0"/>
        <v>142.78122999835597</v>
      </c>
      <c r="F14" s="21"/>
      <c r="G14" s="21">
        <f t="shared" si="0"/>
        <v>81970.660718306419</v>
      </c>
      <c r="H14" s="21">
        <f t="shared" si="0"/>
        <v>14229.733604927502</v>
      </c>
      <c r="I14" s="21"/>
      <c r="J14" s="21"/>
      <c r="K14" s="21"/>
      <c r="L14" s="21"/>
      <c r="M14" s="21">
        <f t="shared" si="0"/>
        <v>5667.0840827739248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0.21352890929331531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20.549583897623052</v>
      </c>
      <c r="C18" s="23"/>
      <c r="D18" s="23">
        <f t="shared" ref="D18:M18" si="1">D14*D16</f>
        <v>32.061546656533302</v>
      </c>
      <c r="E18" s="23">
        <f t="shared" si="1"/>
        <v>32.411339209626803</v>
      </c>
      <c r="F18" s="23"/>
      <c r="G18" s="23">
        <f t="shared" si="1"/>
        <v>21886.166411787814</v>
      </c>
      <c r="H18" s="23">
        <f t="shared" si="1"/>
        <v>3543.2036676269481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4.9262068828469265E-3</v>
      </c>
      <c r="C50" s="315">
        <f t="shared" ref="C50:P50" si="2">SUM(C51:C52)</f>
        <v>0</v>
      </c>
      <c r="D50" s="315">
        <f t="shared" si="2"/>
        <v>0</v>
      </c>
      <c r="E50" s="315">
        <f t="shared" si="2"/>
        <v>0</v>
      </c>
      <c r="F50" s="315">
        <f t="shared" si="2"/>
        <v>0</v>
      </c>
      <c r="G50" s="315">
        <f t="shared" si="2"/>
        <v>4.2513241731010308E-3</v>
      </c>
      <c r="H50" s="315">
        <f t="shared" si="2"/>
        <v>0</v>
      </c>
      <c r="I50" s="315">
        <f t="shared" si="2"/>
        <v>0</v>
      </c>
      <c r="J50" s="315">
        <f t="shared" si="2"/>
        <v>0</v>
      </c>
      <c r="K50" s="315">
        <f t="shared" si="2"/>
        <v>0</v>
      </c>
      <c r="L50" s="315">
        <f t="shared" si="2"/>
        <v>0</v>
      </c>
      <c r="M50" s="315">
        <f t="shared" si="2"/>
        <v>2.4046755567843416E-4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5.8678202846926657E-5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4.2513241731010308E-3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2.4046755567843416E-4</v>
      </c>
      <c r="N51" s="317"/>
      <c r="O51" s="317"/>
      <c r="P51" s="320"/>
    </row>
    <row r="52" spans="1:18">
      <c r="A52" s="4" t="s">
        <v>317</v>
      </c>
      <c r="B52" s="883">
        <f>vkm_tram*SUMIFS(TableECFTransport[EnergieConsumptieFactor (PJ per km)],TableECFTransport[Index],"Tram_gemiddeld_Electric_Electric")</f>
        <v>4.8675286800000002E-3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1368.3908007908128</v>
      </c>
      <c r="C54" s="21">
        <f t="shared" ref="C54:P54" si="3">(C50)*10^9/3600</f>
        <v>0</v>
      </c>
      <c r="D54" s="21">
        <f t="shared" si="3"/>
        <v>0</v>
      </c>
      <c r="E54" s="21">
        <f t="shared" si="3"/>
        <v>0</v>
      </c>
      <c r="F54" s="21">
        <f t="shared" si="3"/>
        <v>0</v>
      </c>
      <c r="G54" s="21">
        <f t="shared" si="3"/>
        <v>1180.9233814169531</v>
      </c>
      <c r="H54" s="21">
        <f t="shared" si="3"/>
        <v>0</v>
      </c>
      <c r="I54" s="21">
        <f t="shared" si="3"/>
        <v>0</v>
      </c>
      <c r="J54" s="21">
        <f t="shared" si="3"/>
        <v>0</v>
      </c>
      <c r="K54" s="21">
        <f t="shared" si="3"/>
        <v>0</v>
      </c>
      <c r="L54" s="21">
        <f t="shared" si="3"/>
        <v>0</v>
      </c>
      <c r="M54" s="21">
        <f t="shared" si="3"/>
        <v>66.796543244009499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0.21352890929331531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292.19099517986854</v>
      </c>
      <c r="C58" s="23">
        <f t="shared" ref="C58:P58" ca="1" si="4">C54*C56</f>
        <v>0</v>
      </c>
      <c r="D58" s="23">
        <f t="shared" si="4"/>
        <v>0</v>
      </c>
      <c r="E58" s="23">
        <f t="shared" si="4"/>
        <v>0</v>
      </c>
      <c r="F58" s="23">
        <f t="shared" si="4"/>
        <v>0</v>
      </c>
      <c r="G58" s="23">
        <f t="shared" si="4"/>
        <v>315.30654283832649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4060.8422251441202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249.75</v>
      </c>
      <c r="C8" s="541">
        <f>B49</f>
        <v>293.82352941176475</v>
      </c>
      <c r="D8" s="542"/>
      <c r="E8" s="542">
        <f>E49</f>
        <v>0</v>
      </c>
      <c r="F8" s="543"/>
      <c r="G8" s="544"/>
      <c r="H8" s="542">
        <f>I49</f>
        <v>0</v>
      </c>
      <c r="I8" s="542">
        <f>G49+F49</f>
        <v>0</v>
      </c>
      <c r="J8" s="542">
        <f>H49+D49+C49</f>
        <v>0</v>
      </c>
      <c r="K8" s="542"/>
      <c r="L8" s="542"/>
      <c r="M8" s="542"/>
      <c r="N8" s="545"/>
      <c r="O8" s="546">
        <f>C8*$C$12+D8*$D$12+E8*$E$12+F8*$F$12+G8*$G$12+H8*$H$12+I8*$I$12+J8*$J$12</f>
        <v>59.352352941176484</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4310.5922251441207</v>
      </c>
      <c r="C10" s="556">
        <f t="shared" ref="C10:L10" si="0">SUM(C8:C9)</f>
        <v>293.82352941176475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59.352352941176484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356.78571428571433</v>
      </c>
      <c r="C17" s="572">
        <f>B50</f>
        <v>419.74789915966392</v>
      </c>
      <c r="D17" s="573"/>
      <c r="E17" s="573">
        <f>E50</f>
        <v>0</v>
      </c>
      <c r="F17" s="574"/>
      <c r="G17" s="575"/>
      <c r="H17" s="572">
        <f>I50</f>
        <v>0</v>
      </c>
      <c r="I17" s="573">
        <f>G50+F50</f>
        <v>0</v>
      </c>
      <c r="J17" s="573">
        <f>H50+D50+C50</f>
        <v>0</v>
      </c>
      <c r="K17" s="573"/>
      <c r="L17" s="573"/>
      <c r="M17" s="573"/>
      <c r="N17" s="964"/>
      <c r="O17" s="576">
        <f>C17*$C$22+E17*$E$22+H17*$H$22+I17*$I$22+J17*$J$22+D17*$D$22+F17*$F$22+G17*$G$22+K17*$K$22+L17*$L$22</f>
        <v>84.789075630252114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356.78571428571433</v>
      </c>
      <c r="C20" s="555">
        <f>SUM(C17:C19)</f>
        <v>419.74789915966392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84.789075630252114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38014</v>
      </c>
      <c r="C28" s="783">
        <v>8670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10</v>
      </c>
      <c r="Y28" s="632" t="s">
        <v>105</v>
      </c>
      <c r="Z28" s="634" t="s">
        <v>105</v>
      </c>
    </row>
    <row r="29" spans="1:26" s="586" customFormat="1" ht="25.5" hidden="1">
      <c r="A29" s="585"/>
      <c r="B29" s="783">
        <v>38014</v>
      </c>
      <c r="C29" s="783">
        <v>8670</v>
      </c>
      <c r="D29" s="633"/>
      <c r="E29" s="632"/>
      <c r="F29" s="632"/>
      <c r="G29" s="632" t="s">
        <v>900</v>
      </c>
      <c r="H29" s="632" t="s">
        <v>901</v>
      </c>
      <c r="I29" s="632"/>
      <c r="J29" s="782"/>
      <c r="K29" s="782"/>
      <c r="L29" s="632" t="s">
        <v>902</v>
      </c>
      <c r="M29" s="632">
        <v>50</v>
      </c>
      <c r="N29" s="632">
        <v>225</v>
      </c>
      <c r="O29" s="632">
        <v>321.42857142857144</v>
      </c>
      <c r="P29" s="632">
        <v>642.85714285714289</v>
      </c>
      <c r="Q29" s="632">
        <v>0</v>
      </c>
      <c r="R29" s="632">
        <v>0</v>
      </c>
      <c r="S29" s="632">
        <v>0</v>
      </c>
      <c r="T29" s="632">
        <v>0</v>
      </c>
      <c r="U29" s="632">
        <v>0</v>
      </c>
      <c r="V29" s="632">
        <v>0</v>
      </c>
      <c r="W29" s="632">
        <v>0</v>
      </c>
      <c r="X29" s="632">
        <v>1200</v>
      </c>
      <c r="Y29" s="632" t="s">
        <v>903</v>
      </c>
      <c r="Z29" s="634" t="s">
        <v>149</v>
      </c>
    </row>
    <row r="30" spans="1:26" s="566" customFormat="1" hidden="1">
      <c r="A30" s="588" t="s">
        <v>268</v>
      </c>
      <c r="B30" s="589"/>
      <c r="C30" s="589"/>
      <c r="D30" s="589"/>
      <c r="E30" s="589"/>
      <c r="F30" s="589"/>
      <c r="G30" s="589"/>
      <c r="H30" s="589"/>
      <c r="I30" s="589"/>
      <c r="J30" s="589"/>
      <c r="K30" s="589"/>
      <c r="L30" s="590"/>
      <c r="M30" s="590">
        <f>SUM(M28:M29)</f>
        <v>55.5</v>
      </c>
      <c r="N30" s="590">
        <f>SUM(N28:N29)</f>
        <v>249.75</v>
      </c>
      <c r="O30" s="590">
        <f>SUM(O28:O29)</f>
        <v>356.78571428571433</v>
      </c>
      <c r="P30" s="590">
        <f>SUM(P28:P29)</f>
        <v>713.57142857142867</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50</v>
      </c>
      <c r="N32" s="590">
        <f ca="1">SUMIF($Z$28:AD29,"tertiair",N28:N29)</f>
        <v>225</v>
      </c>
      <c r="O32" s="590">
        <f ca="1">SUMIF($Z$28:AE29,"tertiair",O28:O29)</f>
        <v>321.42857142857144</v>
      </c>
      <c r="P32" s="590">
        <f ca="1">SUMIF($Z$28:AF29,"tertiair",P28:P29)</f>
        <v>642.85714285714289</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5.5</v>
      </c>
      <c r="N33" s="595">
        <f>SUMIF($Z$28:$Z$29,"landbouw",N28:N29)</f>
        <v>24.75</v>
      </c>
      <c r="O33" s="595">
        <f>SUMIF($Z$28:$Z$29,"landbouw",O28:O29)</f>
        <v>35.357142857142861</v>
      </c>
      <c r="P33" s="595">
        <f>SUMIF($Z$28:$Z$29,"landbouw",P28:P29)</f>
        <v>70.714285714285722</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293.82352941176475</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419.74789915966392</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2021-11-11T12:40:41Z</dcterms:modified>
</cp:coreProperties>
</file>