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CE82D6BA-3CA3-4ECA-8218-5632D8DEFBA0}"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A8" i="23"/>
  <c r="D8" i="22" s="1"/>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I9" i="18" s="1"/>
  <c r="I77" i="14" s="1"/>
  <c r="I9" i="59" s="1"/>
  <c r="T37" i="18"/>
  <c r="S37" i="18"/>
  <c r="E9" i="18" s="1"/>
  <c r="F77" i="14" s="1"/>
  <c r="F9" i="59" s="1"/>
  <c r="R37" i="18"/>
  <c r="Q37" i="18"/>
  <c r="P37" i="18"/>
  <c r="O37" i="18"/>
  <c r="N37" i="18"/>
  <c r="B9" i="18" s="1"/>
  <c r="M37" i="18"/>
  <c r="W33" i="18"/>
  <c r="V33" i="18"/>
  <c r="U33" i="18"/>
  <c r="T33" i="18"/>
  <c r="L6" i="17" s="1"/>
  <c r="L5" i="17" s="1"/>
  <c r="S33" i="18"/>
  <c r="F6" i="17" s="1"/>
  <c r="R33" i="18"/>
  <c r="Q33" i="18"/>
  <c r="P33" i="18"/>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0" i="13"/>
  <c r="C12" i="13" s="1"/>
  <c r="C18" i="15"/>
  <c r="C20" i="15" s="1"/>
  <c r="D40" i="14" s="1"/>
  <c r="C56" i="22"/>
  <c r="C58" i="22" s="1"/>
  <c r="D49" i="14" s="1"/>
  <c r="D52" i="14" s="1"/>
  <c r="C22" i="59"/>
  <c r="C29" i="20"/>
  <c r="C20" i="16"/>
  <c r="C22" i="16" s="1"/>
  <c r="D43" i="14" s="1"/>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<sst xmlns="http://schemas.openxmlformats.org/spreadsheetml/2006/main" count="2482" uniqueCount="905">
  <si>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</si>
  <si>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</si>
  <si>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</si>
  <si>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</si>
  <si>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</si>
  <si>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</si>
  <si>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</si>
  <si>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</si>
  <si>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</si>
  <si>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</si>
  <si>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</si>
  <si>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</si>
  <si>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</si>
  <si>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</si>
  <si>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</si>
  <si>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</si>
  <si>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</si>
  <si>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</si>
  <si>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</si>
  <si>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</si>
  <si>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</si>
  <si>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</si>
  <si>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</si>
  <si>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</si>
  <si>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</si>
  <si>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</si>
  <si>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</si>
  <si>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</si>
  <si>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</si>
  <si>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</si>
  <si>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</si>
  <si>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</si>
  <si>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</si>
  <si>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</si>
  <si>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</si>
  <si>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</si>
  <si>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</si>
  <si>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</si>
  <si>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</si>
  <si>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</si>
  <si>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</si>
  <si>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</si>
  <si>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</si>
  <si>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</si>
  <si>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</si>
  <si>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</si>
  <si>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</si>
  <si>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</si>
  <si>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</si>
  <si>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</si>
  <si>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</si>
  <si>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</si>
  <si>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</si>
  <si>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</si>
  <si>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</si>
  <si>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</si>
  <si>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</si>
  <si>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</si>
  <si>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</si>
  <si>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</si>
  <si>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</si>
  <si>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</si>
  <si>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</si>
  <si>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</si>
  <si>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</si>
  <si>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</si>
  <si>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</si>
  <si>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</si>
  <si>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</si>
  <si>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</si>
  <si>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</si>
  <si>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</si>
  <si>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</si>
  <si>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</si>
  <si>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</si>
  <si>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</si>
  <si>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</si>
  <si>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</si>
  <si>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</si>
  <si>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</si>
  <si>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</si>
  <si>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</si>
  <si>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</si>
  <si>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</si>
  <si>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</si>
  <si>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</si>
  <si>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</si>
  <si>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</si>
  <si>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</si>
  <si>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</si>
  <si>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</si>
  <si>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</si>
  <si>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</si>
  <si>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</si>
  <si>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</si>
  <si>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</si>
  <si>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</si>
  <si>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</si>
  <si>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</si>
  <si>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</si>
  <si>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</si>
  <si>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</si>
  <si>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</si>
  <si>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</si>
  <si>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</si>
  <si>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</si>
  <si>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</si>
  <si>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</si>
  <si>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</si>
  <si>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</si>
  <si>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</si>
  <si>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</si>
  <si>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</si>
  <si>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</si>
  <si>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</si>
  <si>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</si>
  <si>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</si>
  <si>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</si>
  <si>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</si>
  <si>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</si>
  <si>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</si>
  <si>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</si>
  <si>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</si>
  <si>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</si>
  <si>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</si>
  <si>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</si>
  <si>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</si>
  <si>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</si>
  <si>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</si>
  <si>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</si>
  <si>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</si>
  <si>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</si>
  <si>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</si>
  <si>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</si>
  <si>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</si>
  <si>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</si>
  <si>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</si>
  <si>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</si>
  <si>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</si>
  <si>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</si>
  <si>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</si>
  <si>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</si>
  <si>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</si>
  <si>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</si>
  <si>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</si>
  <si>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</si>
  <si>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</si>
  <si>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</si>
  <si>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</si>
  <si>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</si>
  <si>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</si>
  <si>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</si>
  <si>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</si>
  <si>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</si>
  <si>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</si>
  <si>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</si>
  <si>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</si>
  <si>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</si>
  <si>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</si>
  <si>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</si>
  <si>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</si>
  <si>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</si>
  <si>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</si>
  <si>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</si>
  <si>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</si>
  <si>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</si>
  <si>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</si>
  <si>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</si>
  <si>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</si>
  <si>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</si>
  <si>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</si>
  <si>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</si>
  <si>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</si>
  <si>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</si>
  <si>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</si>
  <si>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</si>
  <si>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</si>
  <si>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</si>
  <si>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</si>
  <si>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</si>
  <si>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</si>
  <si>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</si>
  <si>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</si>
  <si>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</si>
  <si>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</si>
  <si>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</si>
  <si>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</si>
  <si>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</si>
  <si>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</si>
  <si>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</si>
  <si>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</si>
  <si>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</si>
  <si>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</si>
  <si>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</si>
  <si>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</si>
  <si>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</si>
  <si>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</si>
  <si>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</si>
  <si>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</si>
  <si>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</si>
  <si>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</si>
  <si>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</si>
  <si>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</si>
  <si>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</si>
  <si>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</si>
  <si>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</si>
  <si>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</si>
  <si>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</si>
  <si>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</si>
  <si>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</si>
  <si>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</si>
  <si>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</si>
  <si>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</si>
  <si>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</si>
  <si>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</si>
  <si>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</si>
  <si>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</si>
  <si>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</si>
  <si>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</si>
  <si>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</si>
  <si>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</si>
  <si>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</si>
  <si>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</si>
  <si>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</si>
  <si>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</si>
  <si>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</si>
  <si>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</si>
  <si>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</si>
  <si>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</si>
  <si>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</si>
  <si>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</si>
  <si>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</si>
  <si>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</si>
  <si>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</si>
  <si>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</si>
  <si>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</si>
  <si>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</si>
  <si>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</si>
  <si>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</si>
  <si>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</si>
  <si>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</si>
  <si>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</si>
  <si>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</si>
  <si>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</si>
  <si>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</si>
  <si>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</si>
  <si>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</si>
  <si>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</si>
  <si>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</si>
  <si>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</si>
  <si>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</si>
  <si>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</si>
  <si>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</si>
  <si>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</si>
  <si>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</si>
  <si>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</si>
  <si>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</si>
  <si>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</si>
  <si>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</si>
  <si>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</si>
  <si>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</si>
  <si>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</si>
  <si>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</si>
  <si>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</si>
  <si>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</si>
  <si>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</si>
  <si>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</si>
  <si>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</si>
  <si>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</si>
  <si>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</si>
  <si>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</si>
  <si>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</si>
  <si>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</si>
  <si>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</si>
  <si>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</si>
  <si>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</si>
  <si>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</si>
  <si>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</si>
  <si>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</si>
  <si>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</si>
  <si>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</si>
  <si>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</si>
  <si>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</si>
  <si>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</si>
  <si>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</si>
  <si>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</si>
  <si>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</si>
  <si>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</si>
  <si>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</si>
  <si>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</si>
  <si>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</si>
  <si>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</si>
  <si>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</si>
  <si>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</si>
  <si>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</si>
  <si>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</si>
  <si>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</si>
  <si>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</si>
  <si>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</si>
  <si>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</si>
  <si>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</si>
  <si>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</si>
  <si>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</si>
  <si>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</si>
  <si>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</si>
  <si>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</si>
  <si>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</si>
  <si>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</si>
  <si>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</si>
  <si>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</si>
  <si>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</si>
  <si>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</si>
  <si>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</si>
  <si>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</si>
  <si>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</si>
  <si>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</si>
  <si>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</si>
  <si>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</si>
  <si>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</si>
  <si>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</si>
  <si>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</si>
  <si>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</si>
  <si>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</si>
  <si>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</si>
  <si>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</si>
  <si>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</si>
  <si>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</si>
  <si>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</si>
  <si>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</si>
  <si>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</si>
  <si>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</si>
  <si>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</si>
  <si>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</si>
  <si>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</si>
  <si>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</si>
  <si>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</si>
  <si>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</si>
  <si>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</si>
  <si>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</si>
  <si>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</si>
  <si>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</si>
  <si>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</si>
  <si>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</si>
  <si>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</si>
  <si>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</si>
  <si>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</si>
  <si>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</si>
  <si>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</si>
  <si>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</si>
  <si>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</si>
  <si>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</si>
  <si>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</si>
  <si>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</si>
  <si>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</si>
  <si>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</si>
  <si>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</si>
  <si>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</si>
  <si>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</si>
  <si>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</si>
  <si>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</si>
  <si>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</si>
  <si>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</si>
  <si>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</si>
  <si>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</si>
  <si>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</si>
  <si>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</si>
  <si>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</si>
  <si>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</si>
  <si>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</si>
  <si>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</si>
  <si>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</si>
  <si>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</si>
  <si>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</si>
  <si>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</si>
  <si>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</si>
  <si>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</si>
  <si>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</si>
  <si>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</si>
  <si>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</si>
  <si>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</si>
  <si>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</si>
  <si>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</si>
  <si>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</si>
  <si>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</si>
  <si>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</si>
  <si>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</si>
  <si>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</si>
  <si>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</si>
  <si>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</si>
  <si>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</si>
  <si>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</si>
  <si>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</si>
  <si>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</si>
  <si>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</si>
  <si>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</si>
  <si>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</si>
  <si>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</si>
  <si>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</si>
  <si>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</si>
  <si>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</si>
  <si>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</si>
  <si>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</si>
  <si>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</si>
  <si>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</si>
  <si>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</si>
  <si>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</si>
  <si>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</si>
  <si>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</si>
  <si>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</si>
  <si>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</si>
  <si>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</si>
  <si>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</si>
  <si>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</si>
  <si>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</si>
  <si>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</si>
  <si>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</si>
  <si>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</si>
  <si>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</si>
  <si>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</si>
  <si>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</si>
  <si>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</si>
  <si>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</si>
  <si>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</si>
  <si>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</si>
  <si>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</si>
  <si>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</si>
  <si>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</si>
  <si>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</si>
  <si>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</si>
  <si>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</si>
  <si>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</si>
  <si>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</si>
  <si>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</si>
  <si>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</si>
  <si>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</si>
  <si>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</si>
  <si>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</si>
  <si>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</si>
  <si>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</si>
  <si>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</si>
  <si>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</si>
  <si>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</si>
  <si>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</si>
  <si>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</si>
  <si>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</si>
  <si>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</si>
  <si>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</si>
  <si>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</si>
  <si>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</si>
  <si>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</si>
  <si>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</si>
  <si>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</si>
  <si>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</si>
  <si>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</si>
  <si>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</si>
  <si>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</si>
  <si>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</si>
  <si>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</si>
  <si>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</si>
  <si>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</si>
  <si>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</si>
  <si>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</si>
  <si>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</si>
  <si>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</si>
  <si>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</si>
  <si>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</si>
  <si>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</si>
  <si>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</si>
  <si>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</si>
  <si>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</si>
  <si>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</si>
  <si>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</si>
  <si>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</si>
  <si>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</si>
  <si>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</si>
  <si>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</si>
  <si>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</si>
  <si>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</si>
  <si>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</si>
  <si>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</si>
  <si>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</si>
  <si>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</si>
  <si>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</si>
  <si>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</si>
  <si>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</si>
  <si>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</si>
  <si>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</si>
  <si>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</si>
  <si>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</si>
  <si>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</si>
  <si>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</si>
  <si>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</si>
  <si>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</si>
  <si>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</si>
  <si>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</si>
  <si>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</si>
  <si>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</si>
  <si>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</si>
  <si>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</si>
  <si>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</si>
  <si>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</si>
  <si>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</si>
  <si>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</si>
  <si>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</si>
  <si>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</si>
  <si>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</si>
  <si>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</si>
  <si>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</si>
  <si>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</si>
  <si>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</si>
  <si>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</si>
  <si>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</si>
  <si>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</si>
  <si>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</si>
  <si>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</si>
  <si>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</si>
  <si>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</si>
  <si>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</si>
  <si>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</si>
  <si>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</si>
  <si>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</si>
  <si>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</si>
  <si>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</si>
  <si>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</si>
  <si>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</si>
  <si>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</si>
  <si>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</si>
  <si>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</si>
  <si>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</si>
  <si>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</si>
  <si>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</si>
  <si>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</si>
  <si>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</si>
  <si>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</si>
  <si>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</si>
  <si>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</si>
  <si>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</si>
  <si>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</si>
  <si>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</si>
  <si>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</si>
  <si>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</si>
  <si>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</si>
  <si>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</si>
  <si>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</si>
  <si>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</si>
  <si>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</si>
  <si>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</si>
  <si>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</si>
  <si>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</si>
  <si>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</si>
  <si>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</si>
  <si>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</si>
  <si>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</si>
  <si>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</si>
  <si>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</si>
  <si>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</si>
  <si>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</si>
  <si>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</si>
  <si>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</si>
  <si>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</si>
  <si>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</si>
  <si>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</si>
  <si>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</si>
  <si>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</si>
  <si>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</si>
  <si>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</si>
  <si>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</si>
  <si>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</si>
  <si>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</si>
  <si>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</si>
  <si>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</si>
  <si>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</si>
  <si>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</si>
  <si>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</si>
  <si>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</si>
  <si>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</si>
  <si>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</si>
  <si>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</si>
  <si>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</si>
  <si>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</si>
  <si>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</si>
  <si>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</si>
  <si>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</si>
  <si>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</si>
  <si>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</si>
  <si>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</si>
  <si>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</si>
  <si>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</si>
  <si>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</si>
  <si>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</si>
  <si>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</si>
  <si>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</si>
  <si>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</si>
  <si>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</si>
  <si>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</si>
  <si>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</si>
  <si>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</si>
  <si>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</si>
  <si>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</si>
  <si>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</si>
  <si>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</si>
  <si>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</si>
  <si>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</si>
  <si>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</si>
  <si>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</si>
  <si>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</si>
  <si>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</si>
  <si>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</si>
  <si>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</si>
  <si>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</si>
  <si>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</si>
  <si>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</si>
  <si>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</si>
  <si>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</si>
  <si>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</si>
  <si>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</si>
  <si>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</si>
  <si>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</si>
  <si>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</si>
  <si>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</si>
  <si>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</si>
  <si>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</si>
  <si>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</si>
  <si>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</si>
  <si>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</si>
  <si>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</si>
  <si>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</si>
  <si>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</si>
  <si>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</si>
  <si>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</si>
  <si>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</si>
  <si>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</si>
  <si>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</si>
  <si>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</si>
  <si>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</si>
  <si>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</si>
  <si>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</si>
  <si>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</si>
  <si>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</si>
  <si>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</si>
  <si>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</si>
  <si>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</si>
  <si>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</si>
  <si>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</si>
  <si>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</si>
  <si>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</si>
  <si>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</si>
  <si>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</si>
  <si>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</si>
  <si>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</si>
  <si>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</si>
  <si>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</si>
  <si>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</si>
  <si>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</si>
  <si>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</si>
  <si>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</si>
  <si>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</si>
  <si>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</si>
  <si>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</si>
  <si>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</si>
  <si>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</si>
  <si>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</si>
  <si>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</si>
  <si>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</si>
  <si>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</si>
  <si>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</si>
  <si>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</si>
  <si>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</si>
  <si>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</si>
  <si>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</si>
  <si>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</si>
  <si>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</si>
  <si>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</si>
  <si>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</si>
  <si>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</si>
  <si>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</si>
  <si>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</si>
  <si>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</si>
  <si>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</si>
  <si>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</si>
  <si>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</si>
  <si>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</si>
  <si>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</si>
  <si>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</si>
  <si>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</si>
  <si>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</si>
  <si>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</si>
  <si>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</si>
  <si>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</si>
  <si>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</si>
  <si>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</si>
  <si>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</si>
  <si>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</si>
  <si>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</si>
  <si>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</si>
  <si>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</si>
  <si>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</si>
  <si>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</si>
  <si>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</si>
  <si>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</si>
  <si>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</si>
  <si>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</si>
  <si>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</si>
  <si>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</si>
  <si>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</si>
  <si>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</si>
  <si>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</si>
  <si>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</si>
  <si>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</si>
  <si>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</si>
  <si>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</si>
  <si>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</si>
  <si>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</si>
  <si>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</si>
  <si>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</si>
  <si>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</si>
  <si>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</si>
  <si>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</si>
  <si>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</si>
  <si>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</si>
  <si>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</si>
  <si>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</si>
  <si>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</si>
  <si>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</si>
  <si>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</si>
  <si>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</si>
  <si>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</si>
  <si>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</si>
  <si>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</si>
  <si>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</si>
  <si>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</si>
  <si>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</si>
  <si>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</si>
  <si>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</si>
  <si>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</si>
  <si>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</si>
  <si>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</si>
  <si>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</si>
  <si>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</si>
  <si>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</si>
  <si>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</si>
  <si>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</si>
  <si>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</si>
  <si>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</si>
  <si>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</si>
  <si>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</si>
  <si>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</si>
  <si>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</si>
  <si>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</si>
  <si>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</si>
  <si>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</si>
  <si>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</si>
  <si>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</si>
  <si>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</si>
  <si>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</si>
  <si>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</si>
  <si>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</si>
  <si>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</si>
  <si>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</si>
  <si>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</si>
  <si>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</si>
  <si>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</si>
  <si>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</si>
  <si>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</si>
  <si>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</si>
  <si>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</si>
  <si>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</si>
  <si>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</si>
  <si>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</si>
  <si>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</si>
  <si>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</si>
  <si>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</si>
  <si>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</si>
  <si>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</si>
  <si>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</si>
  <si>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</si>
  <si>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</si>
  <si>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</si>
  <si>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</si>
  <si>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</si>
  <si>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</si>
  <si>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</si>
  <si>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</si>
  <si>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</si>
  <si>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</si>
  <si>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</si>
  <si>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</si>
  <si>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</si>
  <si>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</si>
  <si>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</si>
  <si>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</si>
  <si>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</si>
  <si>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</si>
  <si>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</si>
  <si>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</si>
  <si>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</si>
  <si>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</si>
  <si>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</si>
  <si>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</si>
  <si>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</si>
  <si>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</si>
  <si>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</si>
  <si>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</si>
  <si>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</si>
  <si>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</si>
  <si>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</si>
  <si>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</si>
  <si>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</si>
  <si>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</si>
  <si>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</si>
  <si>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</si>
  <si>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</si>
  <si>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</si>
  <si>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</si>
  <si>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</si>
  <si>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</si>
  <si>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</si>
  <si>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</si>
  <si>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</si>
  <si>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</si>
  <si>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</si>
  <si>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</si>
  <si>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</si>
  <si>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</si>
  <si>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</si>
  <si>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</si>
  <si>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</si>
  <si>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</si>
  <si>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</si>
  <si>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</si>
  <si>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</si>
  <si>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</si>
  <si>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</si>
  <si>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</si>
  <si>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</si>
  <si>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</si>
  <si>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</si>
  <si>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</si>
  <si>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</si>
  <si>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</si>
  <si>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</si>
  <si>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</si>
  <si>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</si>
  <si>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</si>
  <si>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</si>
  <si>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</si>
  <si>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</si>
  <si>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</si>
  <si>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</si>
  <si>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</si>
  <si>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</si>
  <si>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</si>
  <si>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</si>
  <si>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</si>
  <si>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</si>
  <si>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</si>
  <si>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</si>
  <si>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</si>
  <si>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</si>
  <si>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</si>
  <si>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</si>
  <si>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</si>
  <si>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</si>
  <si>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</si>
  <si>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</si>
  <si>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</si>
  <si>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</si>
  <si>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</si>
  <si>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</si>
  <si>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</si>
  <si>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</si>
  <si>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</si>
  <si>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</si>
  <si>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</si>
  <si>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</si>
  <si>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</si>
  <si>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</si>
  <si>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</si>
  <si>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</si>
  <si>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</si>
  <si>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</si>
  <si>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</si>
  <si>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</si>
  <si>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</si>
  <si>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</si>
  <si>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</si>
  <si>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</si>
  <si>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</si>
  <si>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</si>
  <si>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</si>
  <si>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</si>
  <si>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</si>
  <si>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</si>
  <si>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</si>
  <si>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</si>
  <si>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</si>
  <si>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</si>
  <si>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34022</t>
  </si>
  <si>
    <t>KORTRIJK</t>
  </si>
  <si>
    <t>referentietaak LNE (2017); Jaarverslag De Lijn</t>
  </si>
  <si>
    <t>interne verbrandingsmotor</t>
  </si>
  <si>
    <t>WKK interne verbrandinsgmotor (gas)</t>
  </si>
  <si>
    <t>GASELWEST</t>
  </si>
  <si>
    <t>Interne verbrandingsmotor</t>
  </si>
  <si>
    <t>Gaselwest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</si>
</sst>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F85EEB82-DB93-405A-BA1F-031C8AC9A724}"/>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608658.61548652395</c:v>
                </c:pt>
                <c:pt idx="1">
                  <c:v>443368.68611423986</c:v>
                </c:pt>
                <c:pt idx="2">
                  <c:v>6043.7640000000001</c:v>
                </c:pt>
                <c:pt idx="3">
                  <c:v>14307.97042553103</c:v>
                </c:pt>
                <c:pt idx="4">
                  <c:v>333591.30673285393</c:v>
                </c:pt>
                <c:pt idx="5">
                  <c:v>670256.3464935486</c:v>
                </c:pt>
                <c:pt idx="6">
                  <c:v>10527.537016363676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608658.61548652395</c:v>
                </c:pt>
                <c:pt idx="1">
                  <c:v>443368.68611423986</c:v>
                </c:pt>
                <c:pt idx="2">
                  <c:v>6043.7640000000001</c:v>
                </c:pt>
                <c:pt idx="3">
                  <c:v>14307.97042553103</c:v>
                </c:pt>
                <c:pt idx="4">
                  <c:v>333591.30673285393</c:v>
                </c:pt>
                <c:pt idx="5">
                  <c:v>670256.3464935486</c:v>
                </c:pt>
                <c:pt idx="6">
                  <c:v>10527.537016363676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121620.973213576</c:v>
                </c:pt>
                <c:pt idx="1">
                  <c:v>88356.73487516251</c:v>
                </c:pt>
                <c:pt idx="2">
                  <c:v>1232.4015123459733</c:v>
                </c:pt>
                <c:pt idx="3">
                  <c:v>3656.2991062853921</c:v>
                </c:pt>
                <c:pt idx="4">
                  <c:v>68827.615917325078</c:v>
                </c:pt>
                <c:pt idx="5">
                  <c:v>167334.68542405052</c:v>
                </c:pt>
                <c:pt idx="6">
                  <c:v>2653.7499217176301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121620.973213576</c:v>
                </c:pt>
                <c:pt idx="1">
                  <c:v>88356.73487516251</c:v>
                </c:pt>
                <c:pt idx="2">
                  <c:v>1232.4015123459733</c:v>
                </c:pt>
                <c:pt idx="3">
                  <c:v>3656.2991062853921</c:v>
                </c:pt>
                <c:pt idx="4">
                  <c:v>68827.615917325078</c:v>
                </c:pt>
                <c:pt idx="5">
                  <c:v>167334.68542405052</c:v>
                </c:pt>
                <c:pt idx="6">
                  <c:v>2653.7499217176301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34022</v>
      </c>
      <c r="B6" s="384"/>
      <c r="C6" s="385"/>
    </row>
    <row r="7" spans="1:7" s="382" customFormat="1" ht="15.75" customHeight="1">
      <c r="A7" s="386" t="str">
        <f>txtMunicipality</f>
        <v>KORTRIJK</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192366.76925399996</v>
      </c>
      <c r="D10" s="679">
        <f ca="1">tertiair!C16</f>
        <v>3211.0714285714284</v>
      </c>
      <c r="E10" s="679">
        <f ca="1">tertiair!D16</f>
        <v>215758.6881593971</v>
      </c>
      <c r="F10" s="679">
        <f>tertiair!E16</f>
        <v>2227.6526127986617</v>
      </c>
      <c r="G10" s="679">
        <f ca="1">tertiair!F16</f>
        <v>20640.103528508756</v>
      </c>
      <c r="H10" s="679">
        <f>tertiair!G16</f>
        <v>0</v>
      </c>
      <c r="I10" s="679">
        <f>tertiair!H16</f>
        <v>0</v>
      </c>
      <c r="J10" s="679">
        <f>tertiair!I16</f>
        <v>0</v>
      </c>
      <c r="K10" s="679">
        <f>tertiair!J16</f>
        <v>0.35864626470079097</v>
      </c>
      <c r="L10" s="679">
        <f>tertiair!K16</f>
        <v>0</v>
      </c>
      <c r="M10" s="679">
        <f ca="1">tertiair!L16</f>
        <v>0</v>
      </c>
      <c r="N10" s="679">
        <f>tertiair!M16</f>
        <v>0</v>
      </c>
      <c r="O10" s="679">
        <f ca="1">tertiair!N16</f>
        <v>14293.721360307729</v>
      </c>
      <c r="P10" s="679">
        <f>tertiair!O16</f>
        <v>73.458911487617328</v>
      </c>
      <c r="Q10" s="680">
        <f>tertiair!P16</f>
        <v>840.6262129039203</v>
      </c>
      <c r="R10" s="682">
        <f ca="1">SUM(C10:Q10)</f>
        <v>449412.45011423988</v>
      </c>
      <c r="S10" s="67"/>
    </row>
    <row r="11" spans="1:19" s="442" customFormat="1">
      <c r="A11" s="800" t="s">
        <v>213</v>
      </c>
      <c r="B11" s="805"/>
      <c r="C11" s="679">
        <f>huishoudens!B8</f>
        <v>115386.07145317786</v>
      </c>
      <c r="D11" s="679">
        <f>huishoudens!C8</f>
        <v>0</v>
      </c>
      <c r="E11" s="679">
        <f>huishoudens!D8</f>
        <v>324851.432979876</v>
      </c>
      <c r="F11" s="679">
        <f>huishoudens!E8</f>
        <v>7130.1898259741811</v>
      </c>
      <c r="G11" s="679">
        <f>huishoudens!F8</f>
        <v>114948.16315687149</v>
      </c>
      <c r="H11" s="679">
        <f>huishoudens!G8</f>
        <v>0</v>
      </c>
      <c r="I11" s="679">
        <f>huishoudens!H8</f>
        <v>0</v>
      </c>
      <c r="J11" s="679">
        <f>huishoudens!I8</f>
        <v>0</v>
      </c>
      <c r="K11" s="679">
        <f>huishoudens!J8</f>
        <v>459.21284395902853</v>
      </c>
      <c r="L11" s="679">
        <f>huishoudens!K8</f>
        <v>0</v>
      </c>
      <c r="M11" s="679">
        <f>huishoudens!L8</f>
        <v>0</v>
      </c>
      <c r="N11" s="679">
        <f>huishoudens!M8</f>
        <v>0</v>
      </c>
      <c r="O11" s="679">
        <f>huishoudens!N8</f>
        <v>42934.851420172148</v>
      </c>
      <c r="P11" s="679">
        <f>huishoudens!O8</f>
        <v>1442.3376254943721</v>
      </c>
      <c r="Q11" s="680">
        <f>huishoudens!P8</f>
        <v>1506.3561809989585</v>
      </c>
      <c r="R11" s="682">
        <f>SUM(C11:Q11)</f>
        <v>608658.61548652395</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116935.415706</v>
      </c>
      <c r="D13" s="679">
        <f>industrie!C18</f>
        <v>0</v>
      </c>
      <c r="E13" s="679">
        <f>industrie!D18</f>
        <v>179313.51498631999</v>
      </c>
      <c r="F13" s="679">
        <f>industrie!E18</f>
        <v>6752.1499291638411</v>
      </c>
      <c r="G13" s="679">
        <f>industrie!F18</f>
        <v>24296.951436569892</v>
      </c>
      <c r="H13" s="679">
        <f>industrie!G18</f>
        <v>0</v>
      </c>
      <c r="I13" s="679">
        <f>industrie!H18</f>
        <v>0</v>
      </c>
      <c r="J13" s="679">
        <f>industrie!I18</f>
        <v>0</v>
      </c>
      <c r="K13" s="679">
        <f>industrie!J18</f>
        <v>2094.9739376643247</v>
      </c>
      <c r="L13" s="679">
        <f>industrie!K18</f>
        <v>0</v>
      </c>
      <c r="M13" s="679">
        <f>industrie!L18</f>
        <v>0</v>
      </c>
      <c r="N13" s="679">
        <f>industrie!M18</f>
        <v>0</v>
      </c>
      <c r="O13" s="679">
        <f>industrie!N18</f>
        <v>4198.3007371358872</v>
      </c>
      <c r="P13" s="679">
        <f>industrie!O18</f>
        <v>0</v>
      </c>
      <c r="Q13" s="680">
        <f>industrie!P18</f>
        <v>0</v>
      </c>
      <c r="R13" s="682">
        <f>SUM(C13:Q13)</f>
        <v>333591.30673285393</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424688.25641317782</v>
      </c>
      <c r="D16" s="715">
        <f t="shared" ref="D16:R16" ca="1" si="0">SUM(D9:D15)</f>
        <v>3211.0714285714284</v>
      </c>
      <c r="E16" s="715">
        <f t="shared" ca="1" si="0"/>
        <v>719923.63612559298</v>
      </c>
      <c r="F16" s="715">
        <f t="shared" si="0"/>
        <v>16109.992367936684</v>
      </c>
      <c r="G16" s="715">
        <f t="shared" ca="1" si="0"/>
        <v>159885.21812195014</v>
      </c>
      <c r="H16" s="715">
        <f t="shared" si="0"/>
        <v>0</v>
      </c>
      <c r="I16" s="715">
        <f t="shared" si="0"/>
        <v>0</v>
      </c>
      <c r="J16" s="715">
        <f t="shared" si="0"/>
        <v>0</v>
      </c>
      <c r="K16" s="715">
        <f t="shared" si="0"/>
        <v>2554.5454278880538</v>
      </c>
      <c r="L16" s="715">
        <f t="shared" si="0"/>
        <v>0</v>
      </c>
      <c r="M16" s="715">
        <f t="shared" ca="1" si="0"/>
        <v>0</v>
      </c>
      <c r="N16" s="715">
        <f t="shared" si="0"/>
        <v>0</v>
      </c>
      <c r="O16" s="715">
        <f t="shared" ca="1" si="0"/>
        <v>61426.873517615764</v>
      </c>
      <c r="P16" s="715">
        <f t="shared" si="0"/>
        <v>1515.7965369819894</v>
      </c>
      <c r="Q16" s="715">
        <f t="shared" si="0"/>
        <v>2346.9823939028788</v>
      </c>
      <c r="R16" s="715">
        <f t="shared" ca="1" si="0"/>
        <v>1391662.3723336176</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135.75234246277736</v>
      </c>
      <c r="D19" s="679">
        <f>transport!C54</f>
        <v>0</v>
      </c>
      <c r="E19" s="679">
        <f>transport!D54</f>
        <v>0</v>
      </c>
      <c r="F19" s="679">
        <f>transport!E54</f>
        <v>0</v>
      </c>
      <c r="G19" s="679">
        <f>transport!F54</f>
        <v>0</v>
      </c>
      <c r="H19" s="679">
        <f>transport!G54</f>
        <v>9835.4616717325462</v>
      </c>
      <c r="I19" s="679">
        <f>transport!H54</f>
        <v>0</v>
      </c>
      <c r="J19" s="679">
        <f>transport!I54</f>
        <v>0</v>
      </c>
      <c r="K19" s="679">
        <f>transport!J54</f>
        <v>0</v>
      </c>
      <c r="L19" s="679">
        <f>transport!K54</f>
        <v>0</v>
      </c>
      <c r="M19" s="679">
        <f>transport!L54</f>
        <v>0</v>
      </c>
      <c r="N19" s="679">
        <f>transport!M54</f>
        <v>556.32300216835188</v>
      </c>
      <c r="O19" s="679">
        <f>transport!N54</f>
        <v>0</v>
      </c>
      <c r="P19" s="679">
        <f>transport!O54</f>
        <v>0</v>
      </c>
      <c r="Q19" s="680">
        <f>transport!P54</f>
        <v>0</v>
      </c>
      <c r="R19" s="682">
        <f>SUM(C19:Q19)</f>
        <v>10527.537016363676</v>
      </c>
      <c r="S19" s="67"/>
    </row>
    <row r="20" spans="1:19" s="442" customFormat="1">
      <c r="A20" s="800" t="s">
        <v>295</v>
      </c>
      <c r="B20" s="805"/>
      <c r="C20" s="679">
        <f>transport!B14</f>
        <v>608.55713702975663</v>
      </c>
      <c r="D20" s="679">
        <f>transport!C14</f>
        <v>0</v>
      </c>
      <c r="E20" s="679">
        <f>transport!D14</f>
        <v>968.29061557432453</v>
      </c>
      <c r="F20" s="679">
        <f>transport!E14</f>
        <v>916.95734961740516</v>
      </c>
      <c r="G20" s="679">
        <f>transport!F14</f>
        <v>0</v>
      </c>
      <c r="H20" s="679">
        <f>transport!G14</f>
        <v>542935.87073028868</v>
      </c>
      <c r="I20" s="679">
        <f>transport!H14</f>
        <v>87722.776140002592</v>
      </c>
      <c r="J20" s="679">
        <f>transport!I14</f>
        <v>0</v>
      </c>
      <c r="K20" s="679">
        <f>transport!J14</f>
        <v>0</v>
      </c>
      <c r="L20" s="679">
        <f>transport!K14</f>
        <v>0</v>
      </c>
      <c r="M20" s="679">
        <f>transport!L14</f>
        <v>0</v>
      </c>
      <c r="N20" s="679">
        <f>transport!M14</f>
        <v>37103.894521035792</v>
      </c>
      <c r="O20" s="679">
        <f>transport!N14</f>
        <v>0</v>
      </c>
      <c r="P20" s="679">
        <f>transport!O14</f>
        <v>0</v>
      </c>
      <c r="Q20" s="680">
        <f>transport!P14</f>
        <v>0</v>
      </c>
      <c r="R20" s="682">
        <f>SUM(C20:Q20)</f>
        <v>670256.3464935486</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744.30947949253402</v>
      </c>
      <c r="D22" s="803">
        <f t="shared" ref="D22:R22" si="1">SUM(D18:D21)</f>
        <v>0</v>
      </c>
      <c r="E22" s="803">
        <f t="shared" si="1"/>
        <v>968.29061557432453</v>
      </c>
      <c r="F22" s="803">
        <f t="shared" si="1"/>
        <v>916.95734961740516</v>
      </c>
      <c r="G22" s="803">
        <f t="shared" si="1"/>
        <v>0</v>
      </c>
      <c r="H22" s="803">
        <f t="shared" si="1"/>
        <v>552771.33240202127</v>
      </c>
      <c r="I22" s="803">
        <f t="shared" si="1"/>
        <v>87722.776140002592</v>
      </c>
      <c r="J22" s="803">
        <f t="shared" si="1"/>
        <v>0</v>
      </c>
      <c r="K22" s="803">
        <f t="shared" si="1"/>
        <v>0</v>
      </c>
      <c r="L22" s="803">
        <f t="shared" si="1"/>
        <v>0</v>
      </c>
      <c r="M22" s="803">
        <f t="shared" si="1"/>
        <v>0</v>
      </c>
      <c r="N22" s="803">
        <f t="shared" si="1"/>
        <v>37660.217523204141</v>
      </c>
      <c r="O22" s="803">
        <f t="shared" si="1"/>
        <v>0</v>
      </c>
      <c r="P22" s="803">
        <f t="shared" si="1"/>
        <v>0</v>
      </c>
      <c r="Q22" s="803">
        <f t="shared" si="1"/>
        <v>0</v>
      </c>
      <c r="R22" s="803">
        <f t="shared" si="1"/>
        <v>680783.8835099123</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2793.0158619999997</v>
      </c>
      <c r="D24" s="679">
        <f>+landbouw!C8</f>
        <v>0</v>
      </c>
      <c r="E24" s="679">
        <f>+landbouw!D8</f>
        <v>787.46276186600005</v>
      </c>
      <c r="F24" s="679">
        <f>+landbouw!E8</f>
        <v>87.169104030013372</v>
      </c>
      <c r="G24" s="679">
        <f>+landbouw!F8</f>
        <v>9870.8274582587655</v>
      </c>
      <c r="H24" s="679">
        <f>+landbouw!G8</f>
        <v>0</v>
      </c>
      <c r="I24" s="679">
        <f>+landbouw!H8</f>
        <v>0</v>
      </c>
      <c r="J24" s="679">
        <f>+landbouw!I8</f>
        <v>0</v>
      </c>
      <c r="K24" s="679">
        <f>+landbouw!J8</f>
        <v>769.49523937625065</v>
      </c>
      <c r="L24" s="679">
        <f>+landbouw!K8</f>
        <v>0</v>
      </c>
      <c r="M24" s="679">
        <f>+landbouw!L8</f>
        <v>0</v>
      </c>
      <c r="N24" s="679">
        <f>+landbouw!M8</f>
        <v>0</v>
      </c>
      <c r="O24" s="679">
        <f>+landbouw!N8</f>
        <v>0</v>
      </c>
      <c r="P24" s="679">
        <f>+landbouw!O8</f>
        <v>0</v>
      </c>
      <c r="Q24" s="680">
        <f>+landbouw!P8</f>
        <v>0</v>
      </c>
      <c r="R24" s="682">
        <f>SUM(C24:Q24)</f>
        <v>14307.97042553103</v>
      </c>
      <c r="S24" s="67"/>
    </row>
    <row r="25" spans="1:19" s="442" customFormat="1" ht="15" thickBot="1">
      <c r="A25" s="822" t="s">
        <v>708</v>
      </c>
      <c r="B25" s="941"/>
      <c r="C25" s="942">
        <f>IF(Onbekend_ele_kWh="---",0,Onbekend_ele_kWh)/1000+IF(REST_rest_ele_kWh="---",0,REST_rest_ele_kWh)/1000</f>
        <v>5913.4785999999995</v>
      </c>
      <c r="D25" s="942"/>
      <c r="E25" s="942">
        <f>IF(onbekend_gas_kWh="---",0,onbekend_gas_kWh)/1000+IF(REST_rest_gas_kWh="---",0,REST_rest_gas_kWh)/1000</f>
        <v>21723.018179999999</v>
      </c>
      <c r="F25" s="942"/>
      <c r="G25" s="942"/>
      <c r="H25" s="942"/>
      <c r="I25" s="942"/>
      <c r="J25" s="942"/>
      <c r="K25" s="942"/>
      <c r="L25" s="942"/>
      <c r="M25" s="942"/>
      <c r="N25" s="942"/>
      <c r="O25" s="942"/>
      <c r="P25" s="942"/>
      <c r="Q25" s="943"/>
      <c r="R25" s="682">
        <f>SUM(C25:Q25)</f>
        <v>27636.496779999998</v>
      </c>
      <c r="S25" s="67"/>
    </row>
    <row r="26" spans="1:19" s="442" customFormat="1" ht="15.75" thickBot="1">
      <c r="A26" s="687" t="s">
        <v>709</v>
      </c>
      <c r="B26" s="808"/>
      <c r="C26" s="803">
        <f>SUM(C24:C25)</f>
        <v>8706.4944619999987</v>
      </c>
      <c r="D26" s="803">
        <f t="shared" ref="D26:R26" si="2">SUM(D24:D25)</f>
        <v>0</v>
      </c>
      <c r="E26" s="803">
        <f t="shared" si="2"/>
        <v>22510.480941866001</v>
      </c>
      <c r="F26" s="803">
        <f t="shared" si="2"/>
        <v>87.169104030013372</v>
      </c>
      <c r="G26" s="803">
        <f t="shared" si="2"/>
        <v>9870.8274582587655</v>
      </c>
      <c r="H26" s="803">
        <f t="shared" si="2"/>
        <v>0</v>
      </c>
      <c r="I26" s="803">
        <f t="shared" si="2"/>
        <v>0</v>
      </c>
      <c r="J26" s="803">
        <f t="shared" si="2"/>
        <v>0</v>
      </c>
      <c r="K26" s="803">
        <f t="shared" si="2"/>
        <v>769.49523937625065</v>
      </c>
      <c r="L26" s="803">
        <f t="shared" si="2"/>
        <v>0</v>
      </c>
      <c r="M26" s="803">
        <f t="shared" si="2"/>
        <v>0</v>
      </c>
      <c r="N26" s="803">
        <f t="shared" si="2"/>
        <v>0</v>
      </c>
      <c r="O26" s="803">
        <f t="shared" si="2"/>
        <v>0</v>
      </c>
      <c r="P26" s="803">
        <f t="shared" si="2"/>
        <v>0</v>
      </c>
      <c r="Q26" s="803">
        <f t="shared" si="2"/>
        <v>0</v>
      </c>
      <c r="R26" s="803">
        <f t="shared" si="2"/>
        <v>41944.467205531029</v>
      </c>
      <c r="S26" s="67"/>
    </row>
    <row r="27" spans="1:19" s="442" customFormat="1" ht="17.25" thickTop="1" thickBot="1">
      <c r="A27" s="688" t="s">
        <v>109</v>
      </c>
      <c r="B27" s="795"/>
      <c r="C27" s="689">
        <f ca="1">C22+C16+C26</f>
        <v>434139.06035467034</v>
      </c>
      <c r="D27" s="689">
        <f t="shared" ref="D27:R27" ca="1" si="3">D22+D16+D26</f>
        <v>3211.0714285714284</v>
      </c>
      <c r="E27" s="689">
        <f t="shared" ca="1" si="3"/>
        <v>743402.40768303326</v>
      </c>
      <c r="F27" s="689">
        <f t="shared" si="3"/>
        <v>17114.118821584103</v>
      </c>
      <c r="G27" s="689">
        <f t="shared" ca="1" si="3"/>
        <v>169756.04558020891</v>
      </c>
      <c r="H27" s="689">
        <f t="shared" si="3"/>
        <v>552771.33240202127</v>
      </c>
      <c r="I27" s="689">
        <f t="shared" si="3"/>
        <v>87722.776140002592</v>
      </c>
      <c r="J27" s="689">
        <f t="shared" si="3"/>
        <v>0</v>
      </c>
      <c r="K27" s="689">
        <f t="shared" si="3"/>
        <v>3324.0406672643044</v>
      </c>
      <c r="L27" s="689">
        <f t="shared" si="3"/>
        <v>0</v>
      </c>
      <c r="M27" s="689">
        <f t="shared" ca="1" si="3"/>
        <v>0</v>
      </c>
      <c r="N27" s="689">
        <f t="shared" si="3"/>
        <v>37660.217523204141</v>
      </c>
      <c r="O27" s="689">
        <f t="shared" ca="1" si="3"/>
        <v>61426.873517615764</v>
      </c>
      <c r="P27" s="689">
        <f t="shared" si="3"/>
        <v>1515.7965369819894</v>
      </c>
      <c r="Q27" s="689">
        <f t="shared" si="3"/>
        <v>2346.9823939028788</v>
      </c>
      <c r="R27" s="689">
        <f t="shared" ca="1" si="3"/>
        <v>2114390.7230490609</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39226.067952643163</v>
      </c>
      <c r="D40" s="679">
        <f ca="1">tertiair!C20</f>
        <v>763.10168067226903</v>
      </c>
      <c r="E40" s="679">
        <f ca="1">tertiair!D20</f>
        <v>43583.255008198219</v>
      </c>
      <c r="F40" s="679">
        <f>tertiair!E20</f>
        <v>505.67714310529624</v>
      </c>
      <c r="G40" s="679">
        <f ca="1">tertiair!F20</f>
        <v>5510.907642111838</v>
      </c>
      <c r="H40" s="679">
        <f>tertiair!G20</f>
        <v>0</v>
      </c>
      <c r="I40" s="679">
        <f>tertiair!H20</f>
        <v>0</v>
      </c>
      <c r="J40" s="679">
        <f>tertiair!I20</f>
        <v>0</v>
      </c>
      <c r="K40" s="679">
        <f>tertiair!J20</f>
        <v>0.12696077770407999</v>
      </c>
      <c r="L40" s="679">
        <f>tertiair!K20</f>
        <v>0</v>
      </c>
      <c r="M40" s="679">
        <f ca="1">tertiair!L20</f>
        <v>0</v>
      </c>
      <c r="N40" s="679">
        <f>tertiair!M20</f>
        <v>0</v>
      </c>
      <c r="O40" s="679">
        <f ca="1">tertiair!N20</f>
        <v>0</v>
      </c>
      <c r="P40" s="679">
        <f>tertiair!O20</f>
        <v>0</v>
      </c>
      <c r="Q40" s="762">
        <f>tertiair!P20</f>
        <v>0</v>
      </c>
      <c r="R40" s="841">
        <f t="shared" ca="1" si="4"/>
        <v>89589.136387508479</v>
      </c>
    </row>
    <row r="41" spans="1:18">
      <c r="A41" s="813" t="s">
        <v>213</v>
      </c>
      <c r="B41" s="820"/>
      <c r="C41" s="679">
        <f ca="1">huishoudens!B12</f>
        <v>23528.709751498725</v>
      </c>
      <c r="D41" s="679">
        <f ca="1">huishoudens!C12</f>
        <v>0</v>
      </c>
      <c r="E41" s="679">
        <f>huishoudens!D12</f>
        <v>65619.989461934951</v>
      </c>
      <c r="F41" s="679">
        <f>huishoudens!E12</f>
        <v>1618.5530904961392</v>
      </c>
      <c r="G41" s="679">
        <f>huishoudens!F12</f>
        <v>30691.159562884692</v>
      </c>
      <c r="H41" s="679">
        <f>huishoudens!G12</f>
        <v>0</v>
      </c>
      <c r="I41" s="679">
        <f>huishoudens!H12</f>
        <v>0</v>
      </c>
      <c r="J41" s="679">
        <f>huishoudens!I12</f>
        <v>0</v>
      </c>
      <c r="K41" s="679">
        <f>huishoudens!J12</f>
        <v>162.56134676149608</v>
      </c>
      <c r="L41" s="679">
        <f>huishoudens!K12</f>
        <v>0</v>
      </c>
      <c r="M41" s="679">
        <f>huishoudens!L12</f>
        <v>0</v>
      </c>
      <c r="N41" s="679">
        <f>huishoudens!M12</f>
        <v>0</v>
      </c>
      <c r="O41" s="679">
        <f>huishoudens!N12</f>
        <v>0</v>
      </c>
      <c r="P41" s="679">
        <f>huishoudens!O12</f>
        <v>0</v>
      </c>
      <c r="Q41" s="762">
        <f>huishoudens!P12</f>
        <v>0</v>
      </c>
      <c r="R41" s="841">
        <f t="shared" ca="1" si="4"/>
        <v>121620.973213576</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23844.641048670906</v>
      </c>
      <c r="D43" s="679">
        <f ca="1">industrie!C22</f>
        <v>0</v>
      </c>
      <c r="E43" s="679">
        <f>industrie!D22</f>
        <v>36221.33002723664</v>
      </c>
      <c r="F43" s="679">
        <f>industrie!E22</f>
        <v>1532.738033920192</v>
      </c>
      <c r="G43" s="679">
        <f>industrie!F22</f>
        <v>6487.2860335641617</v>
      </c>
      <c r="H43" s="679">
        <f>industrie!G22</f>
        <v>0</v>
      </c>
      <c r="I43" s="679">
        <f>industrie!H22</f>
        <v>0</v>
      </c>
      <c r="J43" s="679">
        <f>industrie!I22</f>
        <v>0</v>
      </c>
      <c r="K43" s="679">
        <f>industrie!J22</f>
        <v>741.62077393317088</v>
      </c>
      <c r="L43" s="679">
        <f>industrie!K22</f>
        <v>0</v>
      </c>
      <c r="M43" s="679">
        <f>industrie!L22</f>
        <v>0</v>
      </c>
      <c r="N43" s="679">
        <f>industrie!M22</f>
        <v>0</v>
      </c>
      <c r="O43" s="679">
        <f>industrie!N22</f>
        <v>0</v>
      </c>
      <c r="P43" s="679">
        <f>industrie!O22</f>
        <v>0</v>
      </c>
      <c r="Q43" s="762">
        <f>industrie!P22</f>
        <v>0</v>
      </c>
      <c r="R43" s="840">
        <f t="shared" ca="1" si="4"/>
        <v>68827.615917325078</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86599.418752812795</v>
      </c>
      <c r="D46" s="715">
        <f t="shared" ref="D46:Q46" ca="1" si="5">SUM(D39:D45)</f>
        <v>763.10168067226903</v>
      </c>
      <c r="E46" s="715">
        <f t="shared" ca="1" si="5"/>
        <v>145424.57449736982</v>
      </c>
      <c r="F46" s="715">
        <f t="shared" si="5"/>
        <v>3656.9682675216272</v>
      </c>
      <c r="G46" s="715">
        <f t="shared" ca="1" si="5"/>
        <v>42689.353238560689</v>
      </c>
      <c r="H46" s="715">
        <f t="shared" si="5"/>
        <v>0</v>
      </c>
      <c r="I46" s="715">
        <f t="shared" si="5"/>
        <v>0</v>
      </c>
      <c r="J46" s="715">
        <f t="shared" si="5"/>
        <v>0</v>
      </c>
      <c r="K46" s="715">
        <f t="shared" si="5"/>
        <v>904.30908147237108</v>
      </c>
      <c r="L46" s="715">
        <f t="shared" si="5"/>
        <v>0</v>
      </c>
      <c r="M46" s="715">
        <f t="shared" ca="1" si="5"/>
        <v>0</v>
      </c>
      <c r="N46" s="715">
        <f t="shared" si="5"/>
        <v>0</v>
      </c>
      <c r="O46" s="715">
        <f t="shared" ca="1" si="5"/>
        <v>0</v>
      </c>
      <c r="P46" s="715">
        <f t="shared" si="5"/>
        <v>0</v>
      </c>
      <c r="Q46" s="715">
        <f t="shared" si="5"/>
        <v>0</v>
      </c>
      <c r="R46" s="715">
        <f ca="1">SUM(R39:R45)</f>
        <v>280037.72551840957</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27.681655365039951</v>
      </c>
      <c r="D49" s="679">
        <f ca="1">transport!C58</f>
        <v>0</v>
      </c>
      <c r="E49" s="679">
        <f>transport!D58</f>
        <v>0</v>
      </c>
      <c r="F49" s="679">
        <f>transport!E58</f>
        <v>0</v>
      </c>
      <c r="G49" s="679">
        <f>transport!F58</f>
        <v>0</v>
      </c>
      <c r="H49" s="679">
        <f>transport!G58</f>
        <v>2626.0682663525899</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2653.7499217176301</v>
      </c>
    </row>
    <row r="50" spans="1:18">
      <c r="A50" s="816" t="s">
        <v>295</v>
      </c>
      <c r="B50" s="826"/>
      <c r="C50" s="685">
        <f ca="1">transport!B18</f>
        <v>124.09265749364268</v>
      </c>
      <c r="D50" s="685">
        <f>transport!C18</f>
        <v>0</v>
      </c>
      <c r="E50" s="685">
        <f>transport!D18</f>
        <v>195.59470434601357</v>
      </c>
      <c r="F50" s="685">
        <f>transport!E18</f>
        <v>208.14931836315097</v>
      </c>
      <c r="G50" s="685">
        <f>transport!F18</f>
        <v>0</v>
      </c>
      <c r="H50" s="685">
        <f>transport!G18</f>
        <v>144963.87748498708</v>
      </c>
      <c r="I50" s="685">
        <f>transport!H18</f>
        <v>21842.971258860645</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167334.68542405052</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151.77431285868263</v>
      </c>
      <c r="D52" s="715">
        <f t="shared" ref="D52:Q52" ca="1" si="6">SUM(D48:D51)</f>
        <v>0</v>
      </c>
      <c r="E52" s="715">
        <f t="shared" si="6"/>
        <v>195.59470434601357</v>
      </c>
      <c r="F52" s="715">
        <f t="shared" si="6"/>
        <v>208.14931836315097</v>
      </c>
      <c r="G52" s="715">
        <f t="shared" si="6"/>
        <v>0</v>
      </c>
      <c r="H52" s="715">
        <f t="shared" si="6"/>
        <v>147589.94575133966</v>
      </c>
      <c r="I52" s="715">
        <f t="shared" si="6"/>
        <v>21842.971258860645</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169988.43534576814</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569.53199567936338</v>
      </c>
      <c r="D54" s="685">
        <f ca="1">+landbouw!C12</f>
        <v>0</v>
      </c>
      <c r="E54" s="685">
        <f>+landbouw!D12</f>
        <v>159.06747789693202</v>
      </c>
      <c r="F54" s="685">
        <f>+landbouw!E12</f>
        <v>19.787386614813038</v>
      </c>
      <c r="G54" s="685">
        <f>+landbouw!F12</f>
        <v>2635.5109313550906</v>
      </c>
      <c r="H54" s="685">
        <f>+landbouw!G12</f>
        <v>0</v>
      </c>
      <c r="I54" s="685">
        <f>+landbouw!H12</f>
        <v>0</v>
      </c>
      <c r="J54" s="685">
        <f>+landbouw!I12</f>
        <v>0</v>
      </c>
      <c r="K54" s="685">
        <f>+landbouw!J12</f>
        <v>272.40131473919274</v>
      </c>
      <c r="L54" s="685">
        <f>+landbouw!K12</f>
        <v>0</v>
      </c>
      <c r="M54" s="685">
        <f>+landbouw!L12</f>
        <v>0</v>
      </c>
      <c r="N54" s="685">
        <f>+landbouw!M12</f>
        <v>0</v>
      </c>
      <c r="O54" s="685">
        <f>+landbouw!N12</f>
        <v>0</v>
      </c>
      <c r="P54" s="685">
        <f>+landbouw!O12</f>
        <v>0</v>
      </c>
      <c r="Q54" s="686">
        <f>+landbouw!P12</f>
        <v>0</v>
      </c>
      <c r="R54" s="714">
        <f ca="1">SUM(C54:Q54)</f>
        <v>3656.2991062853921</v>
      </c>
    </row>
    <row r="55" spans="1:18" ht="15" thickBot="1">
      <c r="A55" s="816" t="s">
        <v>708</v>
      </c>
      <c r="B55" s="826"/>
      <c r="C55" s="685">
        <f ca="1">C25*'EF ele_warmte'!B12</f>
        <v>1205.8346371343337</v>
      </c>
      <c r="D55" s="685"/>
      <c r="E55" s="685">
        <f>E25*EF_CO2_aardgas</f>
        <v>4388.0496723599999</v>
      </c>
      <c r="F55" s="685"/>
      <c r="G55" s="685"/>
      <c r="H55" s="685"/>
      <c r="I55" s="685"/>
      <c r="J55" s="685"/>
      <c r="K55" s="685"/>
      <c r="L55" s="685"/>
      <c r="M55" s="685"/>
      <c r="N55" s="685"/>
      <c r="O55" s="685"/>
      <c r="P55" s="685"/>
      <c r="Q55" s="686"/>
      <c r="R55" s="714">
        <f ca="1">SUM(C55:Q55)</f>
        <v>5593.8843094943331</v>
      </c>
    </row>
    <row r="56" spans="1:18" ht="15.75" thickBot="1">
      <c r="A56" s="814" t="s">
        <v>709</v>
      </c>
      <c r="B56" s="827"/>
      <c r="C56" s="715">
        <f ca="1">SUM(C54:C55)</f>
        <v>1775.3666328136969</v>
      </c>
      <c r="D56" s="715">
        <f t="shared" ref="D56:Q56" ca="1" si="7">SUM(D54:D55)</f>
        <v>0</v>
      </c>
      <c r="E56" s="715">
        <f t="shared" si="7"/>
        <v>4547.1171502569323</v>
      </c>
      <c r="F56" s="715">
        <f t="shared" si="7"/>
        <v>19.787386614813038</v>
      </c>
      <c r="G56" s="715">
        <f t="shared" si="7"/>
        <v>2635.5109313550906</v>
      </c>
      <c r="H56" s="715">
        <f t="shared" si="7"/>
        <v>0</v>
      </c>
      <c r="I56" s="715">
        <f t="shared" si="7"/>
        <v>0</v>
      </c>
      <c r="J56" s="715">
        <f t="shared" si="7"/>
        <v>0</v>
      </c>
      <c r="K56" s="715">
        <f t="shared" si="7"/>
        <v>272.40131473919274</v>
      </c>
      <c r="L56" s="715">
        <f t="shared" si="7"/>
        <v>0</v>
      </c>
      <c r="M56" s="715">
        <f t="shared" si="7"/>
        <v>0</v>
      </c>
      <c r="N56" s="715">
        <f t="shared" si="7"/>
        <v>0</v>
      </c>
      <c r="O56" s="715">
        <f t="shared" si="7"/>
        <v>0</v>
      </c>
      <c r="P56" s="715">
        <f t="shared" si="7"/>
        <v>0</v>
      </c>
      <c r="Q56" s="716">
        <f t="shared" si="7"/>
        <v>0</v>
      </c>
      <c r="R56" s="717">
        <f ca="1">SUM(R54:R55)</f>
        <v>9250.1834157797257</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88526.559698485187</v>
      </c>
      <c r="D61" s="723">
        <f t="shared" ref="D61:Q61" ca="1" si="8">D46+D52+D56</f>
        <v>763.10168067226903</v>
      </c>
      <c r="E61" s="723">
        <f t="shared" ca="1" si="8"/>
        <v>150167.28635197275</v>
      </c>
      <c r="F61" s="723">
        <f t="shared" si="8"/>
        <v>3884.9049724995912</v>
      </c>
      <c r="G61" s="723">
        <f t="shared" ca="1" si="8"/>
        <v>45324.864169915782</v>
      </c>
      <c r="H61" s="723">
        <f t="shared" si="8"/>
        <v>147589.94575133966</v>
      </c>
      <c r="I61" s="723">
        <f t="shared" si="8"/>
        <v>21842.971258860645</v>
      </c>
      <c r="J61" s="723">
        <f t="shared" si="8"/>
        <v>0</v>
      </c>
      <c r="K61" s="723">
        <f t="shared" si="8"/>
        <v>1176.7103962115639</v>
      </c>
      <c r="L61" s="723">
        <f t="shared" si="8"/>
        <v>0</v>
      </c>
      <c r="M61" s="723">
        <f t="shared" ca="1" si="8"/>
        <v>0</v>
      </c>
      <c r="N61" s="723">
        <f t="shared" si="8"/>
        <v>0</v>
      </c>
      <c r="O61" s="723">
        <f t="shared" ca="1" si="8"/>
        <v>0</v>
      </c>
      <c r="P61" s="723">
        <f t="shared" si="8"/>
        <v>0</v>
      </c>
      <c r="Q61" s="723">
        <f t="shared" si="8"/>
        <v>0</v>
      </c>
      <c r="R61" s="723">
        <f ca="1">R46+R52+R56</f>
        <v>459276.34427995747</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0.20391291128276579</v>
      </c>
      <c r="D63" s="769">
        <f t="shared" ca="1" si="9"/>
        <v>0.23764705882352946</v>
      </c>
      <c r="E63" s="967">
        <f t="shared" ca="1" si="9"/>
        <v>0.20200000000000004</v>
      </c>
      <c r="F63" s="769">
        <f t="shared" si="9"/>
        <v>0.22699999999999998</v>
      </c>
      <c r="G63" s="769">
        <f t="shared" ca="1" si="9"/>
        <v>0.26700000000000002</v>
      </c>
      <c r="H63" s="769">
        <f t="shared" si="9"/>
        <v>0.26699999999999996</v>
      </c>
      <c r="I63" s="769">
        <f t="shared" si="9"/>
        <v>0.249</v>
      </c>
      <c r="J63" s="769">
        <f t="shared" si="9"/>
        <v>0</v>
      </c>
      <c r="K63" s="769">
        <f t="shared" si="9"/>
        <v>0.35400000000000004</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10613.28792427404</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23122.418258384583</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2247.75</v>
      </c>
      <c r="D76" s="950">
        <f>'lokale energieproductie'!C8</f>
        <v>2644.4117647058824</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534.17117647058831</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33735.706182658621</v>
      </c>
      <c r="C78" s="741">
        <f>SUM(C72:C77)</f>
        <v>2247.75</v>
      </c>
      <c r="D78" s="742">
        <f t="shared" ref="D78:H78" si="10">SUM(D76:D77)</f>
        <v>2644.4117647058824</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534.17117647058831</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3211.0714285714284</v>
      </c>
      <c r="D87" s="765">
        <f>'lokale energieproductie'!C17</f>
        <v>3777.7310924369749</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763.10168067226903</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3211.0714285714284</v>
      </c>
      <c r="D90" s="741">
        <f t="shared" ref="D90:H90" si="12">SUM(D87:D89)</f>
        <v>3777.7310924369749</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763.10168067226903</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115386.07145317786</v>
      </c>
      <c r="C4" s="446">
        <f>huishoudens!C8</f>
        <v>0</v>
      </c>
      <c r="D4" s="446">
        <f>huishoudens!D8</f>
        <v>324851.432979876</v>
      </c>
      <c r="E4" s="446">
        <f>huishoudens!E8</f>
        <v>7130.1898259741811</v>
      </c>
      <c r="F4" s="446">
        <f>huishoudens!F8</f>
        <v>114948.16315687149</v>
      </c>
      <c r="G4" s="446">
        <f>huishoudens!G8</f>
        <v>0</v>
      </c>
      <c r="H4" s="446">
        <f>huishoudens!H8</f>
        <v>0</v>
      </c>
      <c r="I4" s="446">
        <f>huishoudens!I8</f>
        <v>0</v>
      </c>
      <c r="J4" s="446">
        <f>huishoudens!J8</f>
        <v>459.21284395902853</v>
      </c>
      <c r="K4" s="446">
        <f>huishoudens!K8</f>
        <v>0</v>
      </c>
      <c r="L4" s="446">
        <f>huishoudens!L8</f>
        <v>0</v>
      </c>
      <c r="M4" s="446">
        <f>huishoudens!M8</f>
        <v>0</v>
      </c>
      <c r="N4" s="446">
        <f>huishoudens!N8</f>
        <v>42934.851420172148</v>
      </c>
      <c r="O4" s="446">
        <f>huishoudens!O8</f>
        <v>1442.3376254943721</v>
      </c>
      <c r="P4" s="447">
        <f>huishoudens!P8</f>
        <v>1506.3561809989585</v>
      </c>
      <c r="Q4" s="448">
        <f>SUM(B4:P4)</f>
        <v>608658.61548652395</v>
      </c>
    </row>
    <row r="5" spans="1:17">
      <c r="A5" s="445" t="s">
        <v>149</v>
      </c>
      <c r="B5" s="446">
        <f ca="1">tertiair!B16</f>
        <v>186323.00525399996</v>
      </c>
      <c r="C5" s="446">
        <f ca="1">tertiair!C16</f>
        <v>3211.0714285714284</v>
      </c>
      <c r="D5" s="446">
        <f ca="1">tertiair!D16</f>
        <v>215758.6881593971</v>
      </c>
      <c r="E5" s="446">
        <f>tertiair!E16</f>
        <v>2227.6526127986617</v>
      </c>
      <c r="F5" s="446">
        <f ca="1">tertiair!F16</f>
        <v>20640.103528508756</v>
      </c>
      <c r="G5" s="446">
        <f>tertiair!G16</f>
        <v>0</v>
      </c>
      <c r="H5" s="446">
        <f>tertiair!H16</f>
        <v>0</v>
      </c>
      <c r="I5" s="446">
        <f>tertiair!I16</f>
        <v>0</v>
      </c>
      <c r="J5" s="446">
        <f>tertiair!J16</f>
        <v>0.35864626470079097</v>
      </c>
      <c r="K5" s="446">
        <f>tertiair!K16</f>
        <v>0</v>
      </c>
      <c r="L5" s="446">
        <f ca="1">tertiair!L16</f>
        <v>0</v>
      </c>
      <c r="M5" s="446">
        <f>tertiair!M16</f>
        <v>0</v>
      </c>
      <c r="N5" s="446">
        <f ca="1">tertiair!N16</f>
        <v>14293.721360307729</v>
      </c>
      <c r="O5" s="446">
        <f>tertiair!O16</f>
        <v>73.458911487617328</v>
      </c>
      <c r="P5" s="447">
        <f>tertiair!P16</f>
        <v>840.6262129039203</v>
      </c>
      <c r="Q5" s="445">
        <f t="shared" ref="Q5:Q14" ca="1" si="0">SUM(B5:P5)</f>
        <v>443368.68611423986</v>
      </c>
    </row>
    <row r="6" spans="1:17">
      <c r="A6" s="445" t="s">
        <v>187</v>
      </c>
      <c r="B6" s="446">
        <f>'openbare verlichting'!B8</f>
        <v>6043.7640000000001</v>
      </c>
      <c r="C6" s="446"/>
      <c r="D6" s="446"/>
      <c r="E6" s="446"/>
      <c r="F6" s="446"/>
      <c r="G6" s="446"/>
      <c r="H6" s="446"/>
      <c r="I6" s="446"/>
      <c r="J6" s="446"/>
      <c r="K6" s="446"/>
      <c r="L6" s="446"/>
      <c r="M6" s="446"/>
      <c r="N6" s="446"/>
      <c r="O6" s="446"/>
      <c r="P6" s="447"/>
      <c r="Q6" s="445">
        <f t="shared" si="0"/>
        <v>6043.7640000000001</v>
      </c>
    </row>
    <row r="7" spans="1:17">
      <c r="A7" s="445" t="s">
        <v>105</v>
      </c>
      <c r="B7" s="446">
        <f>landbouw!B8</f>
        <v>2793.0158619999997</v>
      </c>
      <c r="C7" s="446">
        <f>landbouw!C8</f>
        <v>0</v>
      </c>
      <c r="D7" s="446">
        <f>landbouw!D8</f>
        <v>787.46276186600005</v>
      </c>
      <c r="E7" s="446">
        <f>landbouw!E8</f>
        <v>87.169104030013372</v>
      </c>
      <c r="F7" s="446">
        <f>landbouw!F8</f>
        <v>9870.8274582587655</v>
      </c>
      <c r="G7" s="446">
        <f>landbouw!G8</f>
        <v>0</v>
      </c>
      <c r="H7" s="446">
        <f>landbouw!H8</f>
        <v>0</v>
      </c>
      <c r="I7" s="446">
        <f>landbouw!I8</f>
        <v>0</v>
      </c>
      <c r="J7" s="446">
        <f>landbouw!J8</f>
        <v>769.49523937625065</v>
      </c>
      <c r="K7" s="446">
        <f>landbouw!K8</f>
        <v>0</v>
      </c>
      <c r="L7" s="446">
        <f>landbouw!L8</f>
        <v>0</v>
      </c>
      <c r="M7" s="446">
        <f>landbouw!M8</f>
        <v>0</v>
      </c>
      <c r="N7" s="446">
        <f>landbouw!N8</f>
        <v>0</v>
      </c>
      <c r="O7" s="446">
        <f>landbouw!O8</f>
        <v>0</v>
      </c>
      <c r="P7" s="447">
        <f>landbouw!P8</f>
        <v>0</v>
      </c>
      <c r="Q7" s="445">
        <f t="shared" si="0"/>
        <v>14307.97042553103</v>
      </c>
    </row>
    <row r="8" spans="1:17">
      <c r="A8" s="445" t="s">
        <v>612</v>
      </c>
      <c r="B8" s="446">
        <f>industrie!B18</f>
        <v>116935.415706</v>
      </c>
      <c r="C8" s="446">
        <f>industrie!C18</f>
        <v>0</v>
      </c>
      <c r="D8" s="446">
        <f>industrie!D18</f>
        <v>179313.51498631999</v>
      </c>
      <c r="E8" s="446">
        <f>industrie!E18</f>
        <v>6752.1499291638411</v>
      </c>
      <c r="F8" s="446">
        <f>industrie!F18</f>
        <v>24296.951436569892</v>
      </c>
      <c r="G8" s="446">
        <f>industrie!G18</f>
        <v>0</v>
      </c>
      <c r="H8" s="446">
        <f>industrie!H18</f>
        <v>0</v>
      </c>
      <c r="I8" s="446">
        <f>industrie!I18</f>
        <v>0</v>
      </c>
      <c r="J8" s="446">
        <f>industrie!J18</f>
        <v>2094.9739376643247</v>
      </c>
      <c r="K8" s="446">
        <f>industrie!K18</f>
        <v>0</v>
      </c>
      <c r="L8" s="446">
        <f>industrie!L18</f>
        <v>0</v>
      </c>
      <c r="M8" s="446">
        <f>industrie!M18</f>
        <v>0</v>
      </c>
      <c r="N8" s="446">
        <f>industrie!N18</f>
        <v>4198.3007371358872</v>
      </c>
      <c r="O8" s="446">
        <f>industrie!O18</f>
        <v>0</v>
      </c>
      <c r="P8" s="447">
        <f>industrie!P18</f>
        <v>0</v>
      </c>
      <c r="Q8" s="445">
        <f t="shared" si="0"/>
        <v>333591.30673285393</v>
      </c>
    </row>
    <row r="9" spans="1:17" s="451" customFormat="1">
      <c r="A9" s="449" t="s">
        <v>538</v>
      </c>
      <c r="B9" s="450">
        <f>transport!B14</f>
        <v>608.55713702975663</v>
      </c>
      <c r="C9" s="450">
        <f>transport!C14</f>
        <v>0</v>
      </c>
      <c r="D9" s="450">
        <f>transport!D14</f>
        <v>968.29061557432453</v>
      </c>
      <c r="E9" s="450">
        <f>transport!E14</f>
        <v>916.95734961740516</v>
      </c>
      <c r="F9" s="450">
        <f>transport!F14</f>
        <v>0</v>
      </c>
      <c r="G9" s="450">
        <f>transport!G14</f>
        <v>542935.87073028868</v>
      </c>
      <c r="H9" s="450">
        <f>transport!H14</f>
        <v>87722.776140002592</v>
      </c>
      <c r="I9" s="450">
        <f>transport!I14</f>
        <v>0</v>
      </c>
      <c r="J9" s="450">
        <f>transport!J14</f>
        <v>0</v>
      </c>
      <c r="K9" s="450">
        <f>transport!K14</f>
        <v>0</v>
      </c>
      <c r="L9" s="450">
        <f>transport!L14</f>
        <v>0</v>
      </c>
      <c r="M9" s="450">
        <f>transport!M14</f>
        <v>37103.894521035792</v>
      </c>
      <c r="N9" s="450">
        <f>transport!N14</f>
        <v>0</v>
      </c>
      <c r="O9" s="450">
        <f>transport!O14</f>
        <v>0</v>
      </c>
      <c r="P9" s="450">
        <f>transport!P14</f>
        <v>0</v>
      </c>
      <c r="Q9" s="449">
        <f>SUM(B9:P9)</f>
        <v>670256.3464935486</v>
      </c>
    </row>
    <row r="10" spans="1:17">
      <c r="A10" s="445" t="s">
        <v>528</v>
      </c>
      <c r="B10" s="446">
        <f>transport!B54</f>
        <v>135.75234246277736</v>
      </c>
      <c r="C10" s="446">
        <f>transport!C54</f>
        <v>0</v>
      </c>
      <c r="D10" s="446">
        <f>transport!D54</f>
        <v>0</v>
      </c>
      <c r="E10" s="446">
        <f>transport!E54</f>
        <v>0</v>
      </c>
      <c r="F10" s="446">
        <f>transport!F54</f>
        <v>0</v>
      </c>
      <c r="G10" s="446">
        <f>transport!G54</f>
        <v>9835.4616717325462</v>
      </c>
      <c r="H10" s="446">
        <f>transport!H54</f>
        <v>0</v>
      </c>
      <c r="I10" s="446">
        <f>transport!I54</f>
        <v>0</v>
      </c>
      <c r="J10" s="446">
        <f>transport!J54</f>
        <v>0</v>
      </c>
      <c r="K10" s="446">
        <f>transport!K54</f>
        <v>0</v>
      </c>
      <c r="L10" s="446">
        <f>transport!L54</f>
        <v>0</v>
      </c>
      <c r="M10" s="446">
        <f>transport!M54</f>
        <v>556.32300216835188</v>
      </c>
      <c r="N10" s="446">
        <f>transport!N54</f>
        <v>0</v>
      </c>
      <c r="O10" s="446">
        <f>transport!O54</f>
        <v>0</v>
      </c>
      <c r="P10" s="447">
        <f>transport!P54</f>
        <v>0</v>
      </c>
      <c r="Q10" s="445">
        <f t="shared" si="0"/>
        <v>10527.537016363676</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5913.4785999999995</v>
      </c>
      <c r="C14" s="453"/>
      <c r="D14" s="453">
        <f>'SEAP template'!E25</f>
        <v>21723.018179999999</v>
      </c>
      <c r="E14" s="453"/>
      <c r="F14" s="453"/>
      <c r="G14" s="453"/>
      <c r="H14" s="453"/>
      <c r="I14" s="453"/>
      <c r="J14" s="453"/>
      <c r="K14" s="453"/>
      <c r="L14" s="453"/>
      <c r="M14" s="453"/>
      <c r="N14" s="453"/>
      <c r="O14" s="453"/>
      <c r="P14" s="454"/>
      <c r="Q14" s="445">
        <f t="shared" si="0"/>
        <v>27636.496779999998</v>
      </c>
    </row>
    <row r="15" spans="1:17" s="457" customFormat="1">
      <c r="A15" s="455" t="s">
        <v>532</v>
      </c>
      <c r="B15" s="456">
        <f ca="1">SUM(B4:B14)</f>
        <v>434139.06035467034</v>
      </c>
      <c r="C15" s="456">
        <f t="shared" ref="C15:Q15" ca="1" si="1">SUM(C4:C14)</f>
        <v>3211.0714285714284</v>
      </c>
      <c r="D15" s="456">
        <f t="shared" ca="1" si="1"/>
        <v>743402.4076830335</v>
      </c>
      <c r="E15" s="456">
        <f t="shared" si="1"/>
        <v>17114.118821584103</v>
      </c>
      <c r="F15" s="456">
        <f t="shared" ca="1" si="1"/>
        <v>169756.04558020891</v>
      </c>
      <c r="G15" s="456">
        <f t="shared" si="1"/>
        <v>552771.33240202127</v>
      </c>
      <c r="H15" s="456">
        <f t="shared" si="1"/>
        <v>87722.776140002592</v>
      </c>
      <c r="I15" s="456">
        <f t="shared" si="1"/>
        <v>0</v>
      </c>
      <c r="J15" s="456">
        <f t="shared" si="1"/>
        <v>3324.0406672643048</v>
      </c>
      <c r="K15" s="456">
        <f t="shared" si="1"/>
        <v>0</v>
      </c>
      <c r="L15" s="456">
        <f t="shared" ca="1" si="1"/>
        <v>0</v>
      </c>
      <c r="M15" s="456">
        <f t="shared" si="1"/>
        <v>37660.217523204141</v>
      </c>
      <c r="N15" s="456">
        <f t="shared" ca="1" si="1"/>
        <v>61426.873517615764</v>
      </c>
      <c r="O15" s="456">
        <f t="shared" si="1"/>
        <v>1515.7965369819894</v>
      </c>
      <c r="P15" s="456">
        <f t="shared" si="1"/>
        <v>2346.9823939028788</v>
      </c>
      <c r="Q15" s="456">
        <f t="shared" ca="1" si="1"/>
        <v>2114390.7230490609</v>
      </c>
    </row>
    <row r="17" spans="1:17">
      <c r="A17" s="458" t="s">
        <v>533</v>
      </c>
      <c r="B17" s="774">
        <f ca="1">huishoudens!B10</f>
        <v>0.20391291128276573</v>
      </c>
      <c r="C17" s="774">
        <f ca="1">huishoudens!C10</f>
        <v>0.23764705882352946</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23528.709751498725</v>
      </c>
      <c r="C22" s="446">
        <f t="shared" ref="C22:C32" ca="1" si="3">C4*$C$17</f>
        <v>0</v>
      </c>
      <c r="D22" s="446">
        <f t="shared" ref="D22:D32" si="4">D4*$D$17</f>
        <v>65619.989461934951</v>
      </c>
      <c r="E22" s="446">
        <f t="shared" ref="E22:E32" si="5">E4*$E$17</f>
        <v>1618.5530904961392</v>
      </c>
      <c r="F22" s="446">
        <f t="shared" ref="F22:F32" si="6">F4*$F$17</f>
        <v>30691.159562884692</v>
      </c>
      <c r="G22" s="446">
        <f t="shared" ref="G22:G32" si="7">G4*$G$17</f>
        <v>0</v>
      </c>
      <c r="H22" s="446">
        <f t="shared" ref="H22:H32" si="8">H4*$H$17</f>
        <v>0</v>
      </c>
      <c r="I22" s="446">
        <f t="shared" ref="I22:I32" si="9">I4*$I$17</f>
        <v>0</v>
      </c>
      <c r="J22" s="446">
        <f t="shared" ref="J22:J32" si="10">J4*$J$17</f>
        <v>162.56134676149608</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121620.973213576</v>
      </c>
    </row>
    <row r="23" spans="1:17">
      <c r="A23" s="445" t="s">
        <v>149</v>
      </c>
      <c r="B23" s="446">
        <f t="shared" ca="1" si="2"/>
        <v>37993.666440297187</v>
      </c>
      <c r="C23" s="446">
        <f t="shared" ca="1" si="3"/>
        <v>763.10168067226903</v>
      </c>
      <c r="D23" s="446">
        <f t="shared" ca="1" si="4"/>
        <v>43583.255008198219</v>
      </c>
      <c r="E23" s="446">
        <f t="shared" si="5"/>
        <v>505.67714310529624</v>
      </c>
      <c r="F23" s="446">
        <f t="shared" ca="1" si="6"/>
        <v>5510.907642111838</v>
      </c>
      <c r="G23" s="446">
        <f t="shared" si="7"/>
        <v>0</v>
      </c>
      <c r="H23" s="446">
        <f t="shared" si="8"/>
        <v>0</v>
      </c>
      <c r="I23" s="446">
        <f t="shared" si="9"/>
        <v>0</v>
      </c>
      <c r="J23" s="446">
        <f t="shared" si="10"/>
        <v>0.12696077770407999</v>
      </c>
      <c r="K23" s="446">
        <f t="shared" si="11"/>
        <v>0</v>
      </c>
      <c r="L23" s="446">
        <f t="shared" ca="1" si="12"/>
        <v>0</v>
      </c>
      <c r="M23" s="446">
        <f t="shared" si="13"/>
        <v>0</v>
      </c>
      <c r="N23" s="446">
        <f t="shared" ca="1" si="14"/>
        <v>0</v>
      </c>
      <c r="O23" s="446">
        <f t="shared" si="15"/>
        <v>0</v>
      </c>
      <c r="P23" s="447">
        <f t="shared" si="16"/>
        <v>0</v>
      </c>
      <c r="Q23" s="445">
        <f t="shared" ref="Q23:Q31" ca="1" si="17">SUM(B23:P23)</f>
        <v>88356.73487516251</v>
      </c>
    </row>
    <row r="24" spans="1:17">
      <c r="A24" s="445" t="s">
        <v>187</v>
      </c>
      <c r="B24" s="446">
        <f t="shared" ca="1" si="2"/>
        <v>1232.4015123459733</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1232.4015123459733</v>
      </c>
    </row>
    <row r="25" spans="1:17">
      <c r="A25" s="445" t="s">
        <v>105</v>
      </c>
      <c r="B25" s="446">
        <f t="shared" ca="1" si="2"/>
        <v>569.53199567936338</v>
      </c>
      <c r="C25" s="446">
        <f t="shared" ca="1" si="3"/>
        <v>0</v>
      </c>
      <c r="D25" s="446">
        <f t="shared" si="4"/>
        <v>159.06747789693202</v>
      </c>
      <c r="E25" s="446">
        <f t="shared" si="5"/>
        <v>19.787386614813038</v>
      </c>
      <c r="F25" s="446">
        <f t="shared" si="6"/>
        <v>2635.5109313550906</v>
      </c>
      <c r="G25" s="446">
        <f t="shared" si="7"/>
        <v>0</v>
      </c>
      <c r="H25" s="446">
        <f t="shared" si="8"/>
        <v>0</v>
      </c>
      <c r="I25" s="446">
        <f t="shared" si="9"/>
        <v>0</v>
      </c>
      <c r="J25" s="446">
        <f t="shared" si="10"/>
        <v>272.40131473919274</v>
      </c>
      <c r="K25" s="446">
        <f t="shared" si="11"/>
        <v>0</v>
      </c>
      <c r="L25" s="446">
        <f t="shared" si="12"/>
        <v>0</v>
      </c>
      <c r="M25" s="446">
        <f t="shared" si="13"/>
        <v>0</v>
      </c>
      <c r="N25" s="446">
        <f t="shared" si="14"/>
        <v>0</v>
      </c>
      <c r="O25" s="446">
        <f t="shared" si="15"/>
        <v>0</v>
      </c>
      <c r="P25" s="447">
        <f t="shared" si="16"/>
        <v>0</v>
      </c>
      <c r="Q25" s="445">
        <f t="shared" ca="1" si="17"/>
        <v>3656.2991062853921</v>
      </c>
    </row>
    <row r="26" spans="1:17">
      <c r="A26" s="445" t="s">
        <v>612</v>
      </c>
      <c r="B26" s="446">
        <f t="shared" ca="1" si="2"/>
        <v>23844.641048670906</v>
      </c>
      <c r="C26" s="446">
        <f t="shared" ca="1" si="3"/>
        <v>0</v>
      </c>
      <c r="D26" s="446">
        <f t="shared" si="4"/>
        <v>36221.33002723664</v>
      </c>
      <c r="E26" s="446">
        <f t="shared" si="5"/>
        <v>1532.738033920192</v>
      </c>
      <c r="F26" s="446">
        <f t="shared" si="6"/>
        <v>6487.2860335641617</v>
      </c>
      <c r="G26" s="446">
        <f t="shared" si="7"/>
        <v>0</v>
      </c>
      <c r="H26" s="446">
        <f t="shared" si="8"/>
        <v>0</v>
      </c>
      <c r="I26" s="446">
        <f t="shared" si="9"/>
        <v>0</v>
      </c>
      <c r="J26" s="446">
        <f t="shared" si="10"/>
        <v>741.62077393317088</v>
      </c>
      <c r="K26" s="446">
        <f t="shared" si="11"/>
        <v>0</v>
      </c>
      <c r="L26" s="446">
        <f t="shared" si="12"/>
        <v>0</v>
      </c>
      <c r="M26" s="446">
        <f t="shared" si="13"/>
        <v>0</v>
      </c>
      <c r="N26" s="446">
        <f t="shared" si="14"/>
        <v>0</v>
      </c>
      <c r="O26" s="446">
        <f t="shared" si="15"/>
        <v>0</v>
      </c>
      <c r="P26" s="447">
        <f t="shared" si="16"/>
        <v>0</v>
      </c>
      <c r="Q26" s="445">
        <f t="shared" ca="1" si="17"/>
        <v>68827.615917325078</v>
      </c>
    </row>
    <row r="27" spans="1:17" s="451" customFormat="1">
      <c r="A27" s="449" t="s">
        <v>538</v>
      </c>
      <c r="B27" s="768">
        <f t="shared" ca="1" si="2"/>
        <v>124.09265749364268</v>
      </c>
      <c r="C27" s="450">
        <f t="shared" ca="1" si="3"/>
        <v>0</v>
      </c>
      <c r="D27" s="450">
        <f t="shared" si="4"/>
        <v>195.59470434601357</v>
      </c>
      <c r="E27" s="450">
        <f t="shared" si="5"/>
        <v>208.14931836315097</v>
      </c>
      <c r="F27" s="450">
        <f t="shared" si="6"/>
        <v>0</v>
      </c>
      <c r="G27" s="450">
        <f t="shared" si="7"/>
        <v>144963.87748498708</v>
      </c>
      <c r="H27" s="450">
        <f t="shared" si="8"/>
        <v>21842.971258860645</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167334.68542405052</v>
      </c>
    </row>
    <row r="28" spans="1:17" ht="16.5" customHeight="1">
      <c r="A28" s="445" t="s">
        <v>528</v>
      </c>
      <c r="B28" s="446">
        <f t="shared" ca="1" si="2"/>
        <v>27.681655365039951</v>
      </c>
      <c r="C28" s="446">
        <f t="shared" ca="1" si="3"/>
        <v>0</v>
      </c>
      <c r="D28" s="446">
        <f t="shared" si="4"/>
        <v>0</v>
      </c>
      <c r="E28" s="446">
        <f t="shared" si="5"/>
        <v>0</v>
      </c>
      <c r="F28" s="446">
        <f t="shared" si="6"/>
        <v>0</v>
      </c>
      <c r="G28" s="446">
        <f t="shared" si="7"/>
        <v>2626.0682663525899</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2653.7499217176301</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1205.8346371343337</v>
      </c>
      <c r="C32" s="446">
        <f t="shared" ca="1" si="3"/>
        <v>0</v>
      </c>
      <c r="D32" s="446">
        <f t="shared" si="4"/>
        <v>4388.0496723599999</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5593.8843094943331</v>
      </c>
    </row>
    <row r="33" spans="1:17" s="457" customFormat="1">
      <c r="A33" s="455" t="s">
        <v>532</v>
      </c>
      <c r="B33" s="456">
        <f ca="1">SUM(B22:B32)</f>
        <v>88526.559698485173</v>
      </c>
      <c r="C33" s="456">
        <f t="shared" ref="C33:Q33" ca="1" si="19">SUM(C22:C32)</f>
        <v>763.10168067226903</v>
      </c>
      <c r="D33" s="456">
        <f t="shared" ca="1" si="19"/>
        <v>150167.28635197275</v>
      </c>
      <c r="E33" s="456">
        <f t="shared" si="19"/>
        <v>3884.9049724995912</v>
      </c>
      <c r="F33" s="456">
        <f t="shared" ca="1" si="19"/>
        <v>45324.864169915782</v>
      </c>
      <c r="G33" s="456">
        <f t="shared" si="19"/>
        <v>147589.94575133966</v>
      </c>
      <c r="H33" s="456">
        <f t="shared" si="19"/>
        <v>21842.971258860645</v>
      </c>
      <c r="I33" s="456">
        <f t="shared" si="19"/>
        <v>0</v>
      </c>
      <c r="J33" s="456">
        <f t="shared" si="19"/>
        <v>1176.7103962115639</v>
      </c>
      <c r="K33" s="456">
        <f t="shared" si="19"/>
        <v>0</v>
      </c>
      <c r="L33" s="456">
        <f t="shared" ca="1" si="19"/>
        <v>0</v>
      </c>
      <c r="M33" s="456">
        <f t="shared" si="19"/>
        <v>0</v>
      </c>
      <c r="N33" s="456">
        <f t="shared" ca="1" si="19"/>
        <v>0</v>
      </c>
      <c r="O33" s="456">
        <f t="shared" si="19"/>
        <v>0</v>
      </c>
      <c r="P33" s="456">
        <f t="shared" si="19"/>
        <v>0</v>
      </c>
      <c r="Q33" s="456">
        <f t="shared" ca="1" si="19"/>
        <v>459276.34427995747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10613.28792427404</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23122.418258384583</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2247.75</v>
      </c>
      <c r="D8" s="1019">
        <f>'SEAP template'!D76</f>
        <v>2644.4117647058824</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534.17117647058831</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33735.706182658621</v>
      </c>
      <c r="C10" s="1021">
        <f>SUM(C4:C9)</f>
        <v>2247.75</v>
      </c>
      <c r="D10" s="1021">
        <f t="shared" ref="D10:H10" si="0">SUM(D8:D9)</f>
        <v>2644.4117647058824</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534.17117647058831</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0.20391291128276573</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3211.0714285714284</v>
      </c>
      <c r="D17" s="1020">
        <f>'SEAP template'!D87</f>
        <v>3777.7310924369749</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763.10168067226903</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3211.0714285714284</v>
      </c>
      <c r="D20" s="1021">
        <f t="shared" ref="D20:H20" si="2">SUM(D17:D19)</f>
        <v>3777.7310924369749</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763.10168067226903</v>
      </c>
    </row>
    <row r="21" spans="1:16">
      <c r="B21" s="879"/>
    </row>
    <row r="22" spans="1:16">
      <c r="A22" s="458" t="s">
        <v>780</v>
      </c>
      <c r="B22" s="774" t="s">
        <v>778</v>
      </c>
      <c r="C22" s="774">
        <f ca="1">'EF ele_warmte'!B22</f>
        <v>0.23764705882352946</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0.20391291128276573</v>
      </c>
      <c r="C17" s="494">
        <f ca="1">'EF ele_warmte'!B22</f>
        <v>0.23764705882352946</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2</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9.7945215316823084</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0.20391291128276573</v>
      </c>
      <c r="C17" s="494">
        <f ca="1">'EF ele_warmte'!B22</f>
        <v>0.23764705882352946</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0.20391291128276573</v>
      </c>
      <c r="C29" s="495">
        <f ca="1">'EF ele_warmte'!B22</f>
        <v>0.23764705882352946</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32755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3576.57</v>
      </c>
      <c r="C14" s="326"/>
      <c r="D14" s="326"/>
      <c r="E14" s="326"/>
      <c r="F14" s="326"/>
    </row>
    <row r="15" spans="1:6">
      <c r="A15" s="1296" t="s">
        <v>177</v>
      </c>
      <c r="B15" s="1297">
        <v>34</v>
      </c>
      <c r="C15" s="326"/>
      <c r="D15" s="326"/>
      <c r="E15" s="326"/>
      <c r="F15" s="326"/>
    </row>
    <row r="16" spans="1:6">
      <c r="A16" s="1296" t="s">
        <v>6</v>
      </c>
      <c r="B16" s="1297">
        <v>1074</v>
      </c>
      <c r="C16" s="326"/>
      <c r="D16" s="326"/>
      <c r="E16" s="326"/>
      <c r="F16" s="326"/>
    </row>
    <row r="17" spans="1:6">
      <c r="A17" s="1296" t="s">
        <v>7</v>
      </c>
      <c r="B17" s="1297">
        <v>859</v>
      </c>
      <c r="C17" s="326"/>
      <c r="D17" s="326"/>
      <c r="E17" s="326"/>
      <c r="F17" s="326"/>
    </row>
    <row r="18" spans="1:6">
      <c r="A18" s="1296" t="s">
        <v>8</v>
      </c>
      <c r="B18" s="1297">
        <v>1191</v>
      </c>
      <c r="C18" s="326"/>
      <c r="D18" s="326"/>
      <c r="E18" s="326"/>
      <c r="F18" s="326"/>
    </row>
    <row r="19" spans="1:6">
      <c r="A19" s="1296" t="s">
        <v>9</v>
      </c>
      <c r="B19" s="1297">
        <v>1297</v>
      </c>
      <c r="C19" s="326"/>
      <c r="D19" s="326"/>
      <c r="E19" s="326"/>
      <c r="F19" s="326"/>
    </row>
    <row r="20" spans="1:6">
      <c r="A20" s="1296" t="s">
        <v>10</v>
      </c>
      <c r="B20" s="1297">
        <v>985</v>
      </c>
      <c r="C20" s="326"/>
      <c r="D20" s="326"/>
      <c r="E20" s="326"/>
      <c r="F20" s="326"/>
    </row>
    <row r="21" spans="1:6">
      <c r="A21" s="1296" t="s">
        <v>11</v>
      </c>
      <c r="B21" s="1297">
        <v>2239</v>
      </c>
      <c r="C21" s="326"/>
      <c r="D21" s="326"/>
      <c r="E21" s="326"/>
      <c r="F21" s="326"/>
    </row>
    <row r="22" spans="1:6">
      <c r="A22" s="1296" t="s">
        <v>12</v>
      </c>
      <c r="B22" s="1297">
        <v>7910</v>
      </c>
      <c r="C22" s="326"/>
      <c r="D22" s="326"/>
      <c r="E22" s="326"/>
      <c r="F22" s="326"/>
    </row>
    <row r="23" spans="1:6">
      <c r="A23" s="1296" t="s">
        <v>13</v>
      </c>
      <c r="B23" s="1297">
        <v>100</v>
      </c>
      <c r="C23" s="326"/>
      <c r="D23" s="326"/>
      <c r="E23" s="326"/>
      <c r="F23" s="326"/>
    </row>
    <row r="24" spans="1:6">
      <c r="A24" s="1296" t="s">
        <v>14</v>
      </c>
      <c r="B24" s="1297">
        <v>4</v>
      </c>
      <c r="C24" s="326"/>
      <c r="D24" s="326"/>
      <c r="E24" s="326"/>
      <c r="F24" s="326"/>
    </row>
    <row r="25" spans="1:6">
      <c r="A25" s="1296" t="s">
        <v>15</v>
      </c>
      <c r="B25" s="1297">
        <v>524</v>
      </c>
      <c r="C25" s="326"/>
      <c r="D25" s="326"/>
      <c r="E25" s="326"/>
      <c r="F25" s="326"/>
    </row>
    <row r="26" spans="1:6">
      <c r="A26" s="1296" t="s">
        <v>16</v>
      </c>
      <c r="B26" s="1297">
        <v>130</v>
      </c>
      <c r="C26" s="326"/>
      <c r="D26" s="326"/>
      <c r="E26" s="326"/>
      <c r="F26" s="326"/>
    </row>
    <row r="27" spans="1:6">
      <c r="A27" s="1296" t="s">
        <v>17</v>
      </c>
      <c r="B27" s="1297">
        <v>13</v>
      </c>
      <c r="C27" s="326"/>
      <c r="D27" s="326"/>
      <c r="E27" s="326"/>
      <c r="F27" s="326"/>
    </row>
    <row r="28" spans="1:6">
      <c r="A28" s="1296" t="s">
        <v>18</v>
      </c>
      <c r="B28" s="1298">
        <v>173093</v>
      </c>
      <c r="C28" s="326"/>
      <c r="D28" s="326"/>
      <c r="E28" s="326"/>
      <c r="F28" s="326"/>
    </row>
    <row r="29" spans="1:6">
      <c r="A29" s="1296" t="s">
        <v>689</v>
      </c>
      <c r="B29" s="1298">
        <v>199</v>
      </c>
      <c r="C29" s="326"/>
      <c r="D29" s="326"/>
      <c r="E29" s="326"/>
      <c r="F29" s="326"/>
    </row>
    <row r="30" spans="1:6">
      <c r="A30" s="1291" t="s">
        <v>690</v>
      </c>
      <c r="B30" s="1299">
        <v>53</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4</v>
      </c>
      <c r="D36" s="1297">
        <v>568271.48499999999</v>
      </c>
      <c r="E36" s="1297">
        <v>22</v>
      </c>
      <c r="F36" s="1297">
        <v>1501731.145</v>
      </c>
    </row>
    <row r="37" spans="1:6">
      <c r="A37" s="1296" t="s">
        <v>24</v>
      </c>
      <c r="B37" s="1296" t="s">
        <v>27</v>
      </c>
      <c r="C37" s="1297">
        <v>0</v>
      </c>
      <c r="D37" s="1297">
        <v>0</v>
      </c>
      <c r="E37" s="1297">
        <v>0</v>
      </c>
      <c r="F37" s="1297">
        <v>0</v>
      </c>
    </row>
    <row r="38" spans="1:6">
      <c r="A38" s="1296" t="s">
        <v>24</v>
      </c>
      <c r="B38" s="1296" t="s">
        <v>28</v>
      </c>
      <c r="C38" s="1297">
        <v>4</v>
      </c>
      <c r="D38" s="1297">
        <v>922639.23300000001</v>
      </c>
      <c r="E38" s="1297">
        <v>4</v>
      </c>
      <c r="F38" s="1297">
        <v>75178.286999999997</v>
      </c>
    </row>
    <row r="39" spans="1:6">
      <c r="A39" s="1296" t="s">
        <v>29</v>
      </c>
      <c r="B39" s="1296" t="s">
        <v>30</v>
      </c>
      <c r="C39" s="1297">
        <v>25626</v>
      </c>
      <c r="D39" s="1297">
        <v>360112983</v>
      </c>
      <c r="E39" s="1297">
        <v>32053</v>
      </c>
      <c r="F39" s="1297">
        <v>102699464.59999999</v>
      </c>
    </row>
    <row r="40" spans="1:6">
      <c r="A40" s="1296" t="s">
        <v>29</v>
      </c>
      <c r="B40" s="1296" t="s">
        <v>28</v>
      </c>
      <c r="C40" s="1297">
        <v>1</v>
      </c>
      <c r="D40" s="1297">
        <v>32729.838</v>
      </c>
      <c r="E40" s="1297">
        <v>2</v>
      </c>
      <c r="F40" s="1297">
        <v>7620.7849999999999</v>
      </c>
    </row>
    <row r="41" spans="1:6">
      <c r="A41" s="1296" t="s">
        <v>31</v>
      </c>
      <c r="B41" s="1296" t="s">
        <v>32</v>
      </c>
      <c r="C41" s="1297">
        <v>446</v>
      </c>
      <c r="D41" s="1297">
        <v>9531426.9489999991</v>
      </c>
      <c r="E41" s="1297">
        <v>873</v>
      </c>
      <c r="F41" s="1297">
        <v>13226858.390000001</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13</v>
      </c>
      <c r="D44" s="1297">
        <v>14284897.1</v>
      </c>
      <c r="E44" s="1297">
        <v>77</v>
      </c>
      <c r="F44" s="1297">
        <v>17521935.57</v>
      </c>
    </row>
    <row r="45" spans="1:6">
      <c r="A45" s="1296" t="s">
        <v>31</v>
      </c>
      <c r="B45" s="1296" t="s">
        <v>36</v>
      </c>
      <c r="C45" s="1297">
        <v>8</v>
      </c>
      <c r="D45" s="1297">
        <v>123052.23</v>
      </c>
      <c r="E45" s="1297">
        <v>14</v>
      </c>
      <c r="F45" s="1297">
        <v>75037.22</v>
      </c>
    </row>
    <row r="46" spans="1:6">
      <c r="A46" s="1296" t="s">
        <v>31</v>
      </c>
      <c r="B46" s="1296" t="s">
        <v>37</v>
      </c>
      <c r="C46" s="1297">
        <v>0</v>
      </c>
      <c r="D46" s="1297">
        <v>0</v>
      </c>
      <c r="E46" s="1297">
        <v>0</v>
      </c>
      <c r="F46" s="1297">
        <v>0</v>
      </c>
    </row>
    <row r="47" spans="1:6">
      <c r="A47" s="1296" t="s">
        <v>31</v>
      </c>
      <c r="B47" s="1296" t="s">
        <v>38</v>
      </c>
      <c r="C47" s="1297">
        <v>38</v>
      </c>
      <c r="D47" s="1297">
        <v>13731533.26</v>
      </c>
      <c r="E47" s="1297">
        <v>47</v>
      </c>
      <c r="F47" s="1297">
        <v>14327343.52</v>
      </c>
    </row>
    <row r="48" spans="1:6">
      <c r="A48" s="1296" t="s">
        <v>31</v>
      </c>
      <c r="B48" s="1296" t="s">
        <v>28</v>
      </c>
      <c r="C48" s="1297">
        <v>120</v>
      </c>
      <c r="D48" s="1297">
        <v>141036870.19999999</v>
      </c>
      <c r="E48" s="1297">
        <v>148</v>
      </c>
      <c r="F48" s="1297">
        <v>61714391.5</v>
      </c>
    </row>
    <row r="49" spans="1:6">
      <c r="A49" s="1296" t="s">
        <v>31</v>
      </c>
      <c r="B49" s="1296" t="s">
        <v>39</v>
      </c>
      <c r="C49" s="1297">
        <v>16</v>
      </c>
      <c r="D49" s="1297">
        <v>940964.47100000002</v>
      </c>
      <c r="E49" s="1297">
        <v>31</v>
      </c>
      <c r="F49" s="1297">
        <v>873232.15599999996</v>
      </c>
    </row>
    <row r="50" spans="1:6">
      <c r="A50" s="1296" t="s">
        <v>31</v>
      </c>
      <c r="B50" s="1296" t="s">
        <v>40</v>
      </c>
      <c r="C50" s="1297">
        <v>59</v>
      </c>
      <c r="D50" s="1297">
        <v>19146726.949999999</v>
      </c>
      <c r="E50" s="1297">
        <v>83</v>
      </c>
      <c r="F50" s="1297">
        <v>9196617.3499999996</v>
      </c>
    </row>
    <row r="51" spans="1:6">
      <c r="A51" s="1296" t="s">
        <v>41</v>
      </c>
      <c r="B51" s="1296" t="s">
        <v>42</v>
      </c>
      <c r="C51" s="1297">
        <v>9</v>
      </c>
      <c r="D51" s="1297">
        <v>366892.58299999998</v>
      </c>
      <c r="E51" s="1297">
        <v>114</v>
      </c>
      <c r="F51" s="1297">
        <v>1583630.4569999999</v>
      </c>
    </row>
    <row r="52" spans="1:6">
      <c r="A52" s="1296" t="s">
        <v>41</v>
      </c>
      <c r="B52" s="1296" t="s">
        <v>28</v>
      </c>
      <c r="C52" s="1297">
        <v>15</v>
      </c>
      <c r="D52" s="1297">
        <v>506126</v>
      </c>
      <c r="E52" s="1297">
        <v>23</v>
      </c>
      <c r="F52" s="1297">
        <v>1209385.405</v>
      </c>
    </row>
    <row r="53" spans="1:6">
      <c r="A53" s="1296" t="s">
        <v>43</v>
      </c>
      <c r="B53" s="1296" t="s">
        <v>44</v>
      </c>
      <c r="C53" s="1297">
        <v>950</v>
      </c>
      <c r="D53" s="1297">
        <v>21723018.18</v>
      </c>
      <c r="E53" s="1297">
        <v>1474</v>
      </c>
      <c r="F53" s="1297">
        <v>5913478.5999999996</v>
      </c>
    </row>
    <row r="54" spans="1:6">
      <c r="A54" s="1296" t="s">
        <v>45</v>
      </c>
      <c r="B54" s="1296" t="s">
        <v>46</v>
      </c>
      <c r="C54" s="1297">
        <v>0</v>
      </c>
      <c r="D54" s="1297">
        <v>0</v>
      </c>
      <c r="E54" s="1297">
        <v>2</v>
      </c>
      <c r="F54" s="1297">
        <v>6043764</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342</v>
      </c>
      <c r="D57" s="1297">
        <v>29497931.82</v>
      </c>
      <c r="E57" s="1297">
        <v>533</v>
      </c>
      <c r="F57" s="1297">
        <v>19262900.030000001</v>
      </c>
    </row>
    <row r="58" spans="1:6">
      <c r="A58" s="1296" t="s">
        <v>48</v>
      </c>
      <c r="B58" s="1296" t="s">
        <v>50</v>
      </c>
      <c r="C58" s="1297">
        <v>427</v>
      </c>
      <c r="D58" s="1297">
        <v>53076514.240000002</v>
      </c>
      <c r="E58" s="1297">
        <v>527</v>
      </c>
      <c r="F58" s="1297">
        <v>30230060.210000001</v>
      </c>
    </row>
    <row r="59" spans="1:6">
      <c r="A59" s="1296" t="s">
        <v>48</v>
      </c>
      <c r="B59" s="1296" t="s">
        <v>51</v>
      </c>
      <c r="C59" s="1297">
        <v>727</v>
      </c>
      <c r="D59" s="1297">
        <v>28258682.789999999</v>
      </c>
      <c r="E59" s="1297">
        <v>1374</v>
      </c>
      <c r="F59" s="1297">
        <v>41545136.310000002</v>
      </c>
    </row>
    <row r="60" spans="1:6">
      <c r="A60" s="1296" t="s">
        <v>48</v>
      </c>
      <c r="B60" s="1296" t="s">
        <v>52</v>
      </c>
      <c r="C60" s="1297">
        <v>439</v>
      </c>
      <c r="D60" s="1297">
        <v>28473987.850000001</v>
      </c>
      <c r="E60" s="1297">
        <v>527</v>
      </c>
      <c r="F60" s="1297">
        <v>18338551.579999998</v>
      </c>
    </row>
    <row r="61" spans="1:6">
      <c r="A61" s="1296" t="s">
        <v>48</v>
      </c>
      <c r="B61" s="1296" t="s">
        <v>53</v>
      </c>
      <c r="C61" s="1297">
        <v>1567</v>
      </c>
      <c r="D61" s="1297">
        <v>73042111.099999994</v>
      </c>
      <c r="E61" s="1297">
        <v>3049</v>
      </c>
      <c r="F61" s="1297">
        <v>49707317.119999997</v>
      </c>
    </row>
    <row r="62" spans="1:6">
      <c r="A62" s="1296" t="s">
        <v>48</v>
      </c>
      <c r="B62" s="1296" t="s">
        <v>54</v>
      </c>
      <c r="C62" s="1297">
        <v>103</v>
      </c>
      <c r="D62" s="1297">
        <v>18709956.98</v>
      </c>
      <c r="E62" s="1297">
        <v>136</v>
      </c>
      <c r="F62" s="1297">
        <v>8482500.5370000005</v>
      </c>
    </row>
    <row r="63" spans="1:6">
      <c r="A63" s="1296" t="s">
        <v>48</v>
      </c>
      <c r="B63" s="1296" t="s">
        <v>28</v>
      </c>
      <c r="C63" s="1297">
        <v>311</v>
      </c>
      <c r="D63" s="1297">
        <v>15261026.99</v>
      </c>
      <c r="E63" s="1297">
        <v>329</v>
      </c>
      <c r="F63" s="1297">
        <v>16508789.467</v>
      </c>
    </row>
    <row r="64" spans="1:6">
      <c r="A64" s="1296" t="s">
        <v>55</v>
      </c>
      <c r="B64" s="1296" t="s">
        <v>56</v>
      </c>
      <c r="C64" s="1297">
        <v>0</v>
      </c>
      <c r="D64" s="1297">
        <v>0</v>
      </c>
      <c r="E64" s="1297">
        <v>0</v>
      </c>
      <c r="F64" s="1297">
        <v>0</v>
      </c>
    </row>
    <row r="65" spans="1:6">
      <c r="A65" s="1296" t="s">
        <v>55</v>
      </c>
      <c r="B65" s="1296" t="s">
        <v>28</v>
      </c>
      <c r="C65" s="1297">
        <v>11</v>
      </c>
      <c r="D65" s="1297">
        <v>1738146.74</v>
      </c>
      <c r="E65" s="1297">
        <v>5</v>
      </c>
      <c r="F65" s="1297">
        <v>36384.57</v>
      </c>
    </row>
    <row r="66" spans="1:6">
      <c r="A66" s="1296" t="s">
        <v>55</v>
      </c>
      <c r="B66" s="1296" t="s">
        <v>57</v>
      </c>
      <c r="C66" s="1297">
        <v>4</v>
      </c>
      <c r="D66" s="1297">
        <v>889849.21799999999</v>
      </c>
      <c r="E66" s="1297">
        <v>60</v>
      </c>
      <c r="F66" s="1297">
        <v>1677034.871</v>
      </c>
    </row>
    <row r="67" spans="1:6">
      <c r="A67" s="1296" t="s">
        <v>55</v>
      </c>
      <c r="B67" s="1296" t="s">
        <v>58</v>
      </c>
      <c r="C67" s="1297">
        <v>0</v>
      </c>
      <c r="D67" s="1297">
        <v>0</v>
      </c>
      <c r="E67" s="1297">
        <v>0</v>
      </c>
      <c r="F67" s="1297">
        <v>0</v>
      </c>
    </row>
    <row r="68" spans="1:6">
      <c r="A68" s="1291" t="s">
        <v>55</v>
      </c>
      <c r="B68" s="1291" t="s">
        <v>59</v>
      </c>
      <c r="C68" s="1299">
        <v>15</v>
      </c>
      <c r="D68" s="1299">
        <v>451953.74200000003</v>
      </c>
      <c r="E68" s="1299">
        <v>44</v>
      </c>
      <c r="F68" s="1299">
        <v>1114132.0989999999</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224607138</v>
      </c>
      <c r="E73" s="444"/>
      <c r="F73" s="326"/>
    </row>
    <row r="74" spans="1:6">
      <c r="A74" s="1296" t="s">
        <v>63</v>
      </c>
      <c r="B74" s="1296" t="s">
        <v>633</v>
      </c>
      <c r="C74" s="1309" t="s">
        <v>635</v>
      </c>
      <c r="D74" s="1297">
        <v>28153337.5</v>
      </c>
      <c r="E74" s="444"/>
      <c r="F74" s="326"/>
    </row>
    <row r="75" spans="1:6">
      <c r="A75" s="1296" t="s">
        <v>64</v>
      </c>
      <c r="B75" s="1296" t="s">
        <v>632</v>
      </c>
      <c r="C75" s="1309" t="s">
        <v>636</v>
      </c>
      <c r="D75" s="1297">
        <v>86030525</v>
      </c>
      <c r="E75" s="444"/>
      <c r="F75" s="326"/>
    </row>
    <row r="76" spans="1:6">
      <c r="A76" s="1296" t="s">
        <v>64</v>
      </c>
      <c r="B76" s="1296" t="s">
        <v>633</v>
      </c>
      <c r="C76" s="1309" t="s">
        <v>637</v>
      </c>
      <c r="D76" s="1297">
        <v>2474238.5</v>
      </c>
      <c r="E76" s="444"/>
      <c r="F76" s="326"/>
    </row>
    <row r="77" spans="1:6">
      <c r="A77" s="1296" t="s">
        <v>65</v>
      </c>
      <c r="B77" s="1296" t="s">
        <v>632</v>
      </c>
      <c r="C77" s="1309" t="s">
        <v>638</v>
      </c>
      <c r="D77" s="1297">
        <v>264496607</v>
      </c>
      <c r="E77" s="444"/>
      <c r="F77" s="326"/>
    </row>
    <row r="78" spans="1:6">
      <c r="A78" s="1291" t="s">
        <v>65</v>
      </c>
      <c r="B78" s="1291" t="s">
        <v>633</v>
      </c>
      <c r="C78" s="1291" t="s">
        <v>639</v>
      </c>
      <c r="D78" s="1299">
        <v>76113371</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2884759</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10613.28792427404</v>
      </c>
      <c r="C90" s="326"/>
      <c r="D90" s="326"/>
      <c r="E90" s="326"/>
      <c r="F90" s="326"/>
    </row>
    <row r="91" spans="1:6">
      <c r="A91" s="1296" t="s">
        <v>67</v>
      </c>
      <c r="B91" s="1297">
        <v>12678.986068177883</v>
      </c>
      <c r="C91" s="326"/>
      <c r="D91" s="326"/>
      <c r="E91" s="326"/>
      <c r="F91" s="326"/>
    </row>
    <row r="92" spans="1:6">
      <c r="A92" s="1291" t="s">
        <v>68</v>
      </c>
      <c r="B92" s="1292">
        <v>10443.432190206699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19024</v>
      </c>
      <c r="C97" s="326"/>
      <c r="D97" s="326"/>
      <c r="E97" s="326"/>
      <c r="F97" s="326"/>
    </row>
    <row r="98" spans="1:6">
      <c r="A98" s="1296" t="s">
        <v>71</v>
      </c>
      <c r="B98" s="1297">
        <v>7</v>
      </c>
      <c r="C98" s="326"/>
      <c r="D98" s="326"/>
      <c r="E98" s="326"/>
      <c r="F98" s="326"/>
    </row>
    <row r="99" spans="1:6">
      <c r="A99" s="1296" t="s">
        <v>72</v>
      </c>
      <c r="B99" s="1297">
        <v>196</v>
      </c>
      <c r="C99" s="326"/>
      <c r="D99" s="326"/>
      <c r="E99" s="326"/>
      <c r="F99" s="326"/>
    </row>
    <row r="100" spans="1:6">
      <c r="A100" s="1296" t="s">
        <v>73</v>
      </c>
      <c r="B100" s="1297">
        <v>2575</v>
      </c>
      <c r="C100" s="326"/>
      <c r="D100" s="326"/>
      <c r="E100" s="326"/>
      <c r="F100" s="326"/>
    </row>
    <row r="101" spans="1:6">
      <c r="A101" s="1296" t="s">
        <v>74</v>
      </c>
      <c r="B101" s="1297">
        <v>278</v>
      </c>
      <c r="C101" s="326"/>
      <c r="D101" s="326"/>
      <c r="E101" s="326"/>
      <c r="F101" s="326"/>
    </row>
    <row r="102" spans="1:6">
      <c r="A102" s="1296" t="s">
        <v>75</v>
      </c>
      <c r="B102" s="1297">
        <v>715</v>
      </c>
      <c r="C102" s="326"/>
      <c r="D102" s="326"/>
      <c r="E102" s="326"/>
      <c r="F102" s="326"/>
    </row>
    <row r="103" spans="1:6">
      <c r="A103" s="1296" t="s">
        <v>76</v>
      </c>
      <c r="B103" s="1297">
        <v>618</v>
      </c>
      <c r="C103" s="326"/>
      <c r="D103" s="326"/>
      <c r="E103" s="326"/>
      <c r="F103" s="326"/>
    </row>
    <row r="104" spans="1:6">
      <c r="A104" s="1296" t="s">
        <v>77</v>
      </c>
      <c r="B104" s="1297">
        <v>6763</v>
      </c>
      <c r="C104" s="326"/>
      <c r="D104" s="326"/>
      <c r="E104" s="326"/>
      <c r="F104" s="326"/>
    </row>
    <row r="105" spans="1:6">
      <c r="A105" s="1291" t="s">
        <v>78</v>
      </c>
      <c r="B105" s="1299">
        <v>22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2</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2</v>
      </c>
      <c r="C121" s="1297">
        <v>0</v>
      </c>
      <c r="D121" s="326"/>
      <c r="E121" s="326"/>
      <c r="F121" s="326"/>
    </row>
    <row r="122" spans="1:6">
      <c r="A122" s="1296" t="s">
        <v>86</v>
      </c>
      <c r="B122" s="1297">
        <v>0</v>
      </c>
      <c r="C122" s="1297">
        <v>0</v>
      </c>
      <c r="D122" s="326"/>
      <c r="E122" s="326"/>
      <c r="F122" s="326"/>
    </row>
    <row r="123" spans="1:6">
      <c r="A123" s="1296" t="s">
        <v>87</v>
      </c>
      <c r="B123" s="1297">
        <v>107</v>
      </c>
      <c r="C123" s="1297">
        <v>106</v>
      </c>
      <c r="D123" s="326"/>
      <c r="E123" s="326"/>
      <c r="F123" s="326"/>
    </row>
    <row r="124" spans="1:6">
      <c r="A124" s="1296" t="s">
        <v>88</v>
      </c>
      <c r="B124" s="1297">
        <v>5</v>
      </c>
      <c r="C124" s="1297">
        <v>7</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614</v>
      </c>
      <c r="C129" s="326"/>
      <c r="D129" s="326"/>
      <c r="E129" s="326"/>
      <c r="F129" s="326"/>
    </row>
    <row r="130" spans="1:6">
      <c r="A130" s="1296" t="s">
        <v>283</v>
      </c>
      <c r="B130" s="1297">
        <v>15</v>
      </c>
      <c r="C130" s="326"/>
      <c r="D130" s="326"/>
      <c r="E130" s="326"/>
      <c r="F130" s="326"/>
    </row>
    <row r="131" spans="1:6">
      <c r="A131" s="1296" t="s">
        <v>284</v>
      </c>
      <c r="B131" s="1297">
        <v>14</v>
      </c>
      <c r="C131" s="326"/>
      <c r="D131" s="326"/>
      <c r="E131" s="326"/>
      <c r="F131" s="326"/>
    </row>
    <row r="132" spans="1:6">
      <c r="A132" s="1291" t="s">
        <v>285</v>
      </c>
      <c r="B132" s="1292">
        <v>31</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434139.06035467034</v>
      </c>
      <c r="C3" s="43" t="s">
        <v>163</v>
      </c>
      <c r="D3" s="43"/>
      <c r="E3" s="154"/>
      <c r="F3" s="43"/>
      <c r="G3" s="43"/>
      <c r="H3" s="43"/>
      <c r="I3" s="43"/>
      <c r="J3" s="43"/>
      <c r="K3" s="96"/>
    </row>
    <row r="4" spans="1:11">
      <c r="A4" s="352" t="s">
        <v>164</v>
      </c>
      <c r="B4" s="49">
        <f>IF(ISERROR('SEAP template'!B78+'SEAP template'!C78),0,'SEAP template'!B78+'SEAP template'!C78)</f>
        <v>35983.456182658621</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534.17117647058831</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0.20391291128276573</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763.10168067226903</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3211.0714285714284</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0.23764705882352946</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6043.7640000000001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6043.7640000000001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0.20391291128276573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1232.4015123459733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102707.08538499998</v>
      </c>
      <c r="C5" s="17">
        <f>IF(ISERROR('Eigen informatie GS &amp; warmtenet'!B59),0,'Eigen informatie GS &amp; warmtenet'!B59)</f>
        <v>0</v>
      </c>
      <c r="D5" s="30">
        <f>(SUM(HH_hh_gas_kWh,HH_rest_gas_kWh)/1000)*0.902</f>
        <v>324851.432979876</v>
      </c>
      <c r="E5" s="17">
        <f>B32*B41</f>
        <v>7130.1898259741811</v>
      </c>
      <c r="F5" s="17">
        <f>B36*B45</f>
        <v>114948.16315687149</v>
      </c>
      <c r="G5" s="18"/>
      <c r="H5" s="17"/>
      <c r="I5" s="17"/>
      <c r="J5" s="17">
        <f>B35*B44+C35*C44</f>
        <v>459.21284395902853</v>
      </c>
      <c r="K5" s="17"/>
      <c r="L5" s="17"/>
      <c r="M5" s="17"/>
      <c r="N5" s="17">
        <f>B34*B43+C34*C43</f>
        <v>42934.851420172148</v>
      </c>
      <c r="O5" s="17">
        <f>B52*B53*B54</f>
        <v>1442.3376254943721</v>
      </c>
      <c r="P5" s="17">
        <f>B60*B61*B62/1000-B60*B61*B62/1000/B63</f>
        <v>1506.3561809989585</v>
      </c>
    </row>
    <row r="6" spans="1:16">
      <c r="A6" s="16" t="s">
        <v>598</v>
      </c>
      <c r="B6" s="776">
        <f>kWh_PV_kleiner_dan_10kW</f>
        <v>12678.986068177883</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115386.07145317786</v>
      </c>
      <c r="C8" s="21">
        <f>C5</f>
        <v>0</v>
      </c>
      <c r="D8" s="21">
        <f>D5</f>
        <v>324851.432979876</v>
      </c>
      <c r="E8" s="21">
        <f>E5</f>
        <v>7130.1898259741811</v>
      </c>
      <c r="F8" s="21">
        <f>F5</f>
        <v>114948.16315687149</v>
      </c>
      <c r="G8" s="21"/>
      <c r="H8" s="21"/>
      <c r="I8" s="21"/>
      <c r="J8" s="21">
        <f>J5</f>
        <v>459.21284395902853</v>
      </c>
      <c r="K8" s="21"/>
      <c r="L8" s="21">
        <f>L5</f>
        <v>0</v>
      </c>
      <c r="M8" s="21">
        <f>M5</f>
        <v>0</v>
      </c>
      <c r="N8" s="21">
        <f>N5</f>
        <v>42934.851420172148</v>
      </c>
      <c r="O8" s="21">
        <f>O5</f>
        <v>1442.3376254943721</v>
      </c>
      <c r="P8" s="21">
        <f>P5</f>
        <v>1506.3561809989585</v>
      </c>
    </row>
    <row r="9" spans="1:16">
      <c r="B9" s="19"/>
      <c r="C9" s="19"/>
      <c r="D9" s="256"/>
      <c r="E9" s="19"/>
      <c r="F9" s="19"/>
      <c r="G9" s="19"/>
      <c r="H9" s="19"/>
      <c r="I9" s="19"/>
      <c r="J9" s="19"/>
      <c r="K9" s="19"/>
      <c r="L9" s="19"/>
      <c r="M9" s="19"/>
      <c r="N9" s="19"/>
      <c r="O9" s="19"/>
      <c r="P9" s="19"/>
    </row>
    <row r="10" spans="1:16">
      <c r="A10" s="24" t="s">
        <v>207</v>
      </c>
      <c r="B10" s="25">
        <f ca="1">'EF ele_warmte'!B12</f>
        <v>0.20391291128276573</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23528.709751498725</v>
      </c>
      <c r="C12" s="23">
        <f ca="1">C10*C8</f>
        <v>0</v>
      </c>
      <c r="D12" s="23">
        <f>D8*D10</f>
        <v>65619.989461934951</v>
      </c>
      <c r="E12" s="23">
        <f>E10*E8</f>
        <v>1618.5530904961392</v>
      </c>
      <c r="F12" s="23">
        <f>F10*F8</f>
        <v>30691.159562884692</v>
      </c>
      <c r="G12" s="23"/>
      <c r="H12" s="23"/>
      <c r="I12" s="23"/>
      <c r="J12" s="23">
        <f>J10*J8</f>
        <v>162.56134676149608</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32755</v>
      </c>
      <c r="C26" s="36"/>
      <c r="D26" s="226"/>
    </row>
    <row r="27" spans="1:7" s="15" customFormat="1">
      <c r="A27" s="228" t="s">
        <v>800</v>
      </c>
      <c r="B27" s="37">
        <f>SUM(HH_hh_gas_aantal,HH_rest_gas_aantal)</f>
        <v>25627</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24345.65</v>
      </c>
      <c r="C31" s="166" t="s">
        <v>104</v>
      </c>
      <c r="D31" s="231"/>
      <c r="G31" s="15"/>
    </row>
    <row r="32" spans="1:7">
      <c r="A32" s="169" t="s">
        <v>72</v>
      </c>
      <c r="B32" s="166">
        <f>IF((B21*($B$26-($B$27-0.05*$B$27)-$B$60))&lt;0,0,B21*($B$26-($B$27-0.05*$B$27)-$B$60))</f>
        <v>131.22994872360707</v>
      </c>
      <c r="C32" s="166" t="s">
        <v>104</v>
      </c>
      <c r="D32" s="231"/>
      <c r="G32" s="15"/>
    </row>
    <row r="33" spans="1:7">
      <c r="A33" s="169" t="s">
        <v>73</v>
      </c>
      <c r="B33" s="166">
        <f>IF((B22*($B$26-($B$27-0.05*$B$27)-$B$60))&lt;0,0,B22*($B$26-($B$27-0.05*$B$27)-$B$60))</f>
        <v>2130.9144635052571</v>
      </c>
      <c r="C33" s="166" t="s">
        <v>104</v>
      </c>
      <c r="D33" s="231"/>
      <c r="G33" s="15"/>
    </row>
    <row r="34" spans="1:7">
      <c r="A34" s="169" t="s">
        <v>74</v>
      </c>
      <c r="B34" s="166">
        <f>IF((B24*($B$26-($B$27-0.05*$B$27)-$B$60))&lt;0,0,B24*($B$26-($B$27-0.05*$B$27)-$B$60))</f>
        <v>408.52481954025706</v>
      </c>
      <c r="C34" s="166">
        <f>B26*C24</f>
        <v>6711.6940583633541</v>
      </c>
      <c r="D34" s="231"/>
      <c r="G34" s="15"/>
    </row>
    <row r="35" spans="1:7">
      <c r="A35" s="169" t="s">
        <v>76</v>
      </c>
      <c r="B35" s="166">
        <f>IF((B19*($B$26-($B$27-0.05*$B$27)-$B$60))&lt;0,0,B19*($B$26-($B$27-0.05*$B$27)-$B$60))</f>
        <v>57.045345849390799</v>
      </c>
      <c r="C35" s="166">
        <f>B35/2</f>
        <v>28.522672924695399</v>
      </c>
      <c r="D35" s="232"/>
      <c r="G35" s="15"/>
    </row>
    <row r="36" spans="1:7">
      <c r="A36" s="169" t="s">
        <v>77</v>
      </c>
      <c r="B36" s="166">
        <f>IF((B18*($B$26-($B$27-0.05*$B$27)-$B$60))&lt;0,0,B18*($B$26-($B$27-0.05*$B$27)-$B$60))</f>
        <v>5538.6354223814851</v>
      </c>
      <c r="C36" s="166" t="s">
        <v>104</v>
      </c>
      <c r="D36" s="232"/>
      <c r="G36" s="15"/>
    </row>
    <row r="37" spans="1:7">
      <c r="A37" s="169" t="s">
        <v>78</v>
      </c>
      <c r="B37" s="166">
        <f>B60</f>
        <v>143</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727</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143</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184075.25525399996</v>
      </c>
      <c r="C5" s="17">
        <f>IF(ISERROR('Eigen informatie GS &amp; warmtenet'!B60),0,'Eigen informatie GS &amp; warmtenet'!B60)</f>
        <v>0</v>
      </c>
      <c r="D5" s="30">
        <f>SUM(D6:D12)</f>
        <v>222180.83101653997</v>
      </c>
      <c r="E5" s="17">
        <f>SUM(E6:E12)</f>
        <v>2227.6526127986617</v>
      </c>
      <c r="F5" s="17">
        <f>SUM(F6:F12)</f>
        <v>20640.103528508756</v>
      </c>
      <c r="G5" s="18"/>
      <c r="H5" s="17"/>
      <c r="I5" s="17"/>
      <c r="J5" s="17">
        <f>SUM(J6:J12)</f>
        <v>0.35864626470079097</v>
      </c>
      <c r="K5" s="17"/>
      <c r="L5" s="17"/>
      <c r="M5" s="17"/>
      <c r="N5" s="17">
        <f>SUM(N6:N12)</f>
        <v>14293.721360307729</v>
      </c>
      <c r="O5" s="17">
        <f>B38*B39*B40</f>
        <v>73.458911487617328</v>
      </c>
      <c r="P5" s="17">
        <f>B46*B47*B48/1000-B46*B47*B48/1000/B49</f>
        <v>840.6262129039203</v>
      </c>
      <c r="R5" s="32"/>
    </row>
    <row r="6" spans="1:18">
      <c r="A6" s="32" t="s">
        <v>53</v>
      </c>
      <c r="B6" s="37">
        <f>B26</f>
        <v>49707.31712</v>
      </c>
      <c r="C6" s="33"/>
      <c r="D6" s="37">
        <f>IF(ISERROR(TER_kantoor_gas_kWh/1000),0,TER_kantoor_gas_kWh/1000)*0.902</f>
        <v>65883.984212199997</v>
      </c>
      <c r="E6" s="33">
        <f>$C$26*'E Balans VL '!I12/100/3.6*1000000</f>
        <v>399.978843443183</v>
      </c>
      <c r="F6" s="33">
        <f>$C$26*('E Balans VL '!L12+'E Balans VL '!N12)/100/3.6*1000000</f>
        <v>6077.2424221549791</v>
      </c>
      <c r="G6" s="34"/>
      <c r="H6" s="33"/>
      <c r="I6" s="33"/>
      <c r="J6" s="33">
        <f>$C$26*('E Balans VL '!D12+'E Balans VL '!E12)/100/3.6*1000000</f>
        <v>0</v>
      </c>
      <c r="K6" s="33"/>
      <c r="L6" s="33"/>
      <c r="M6" s="33"/>
      <c r="N6" s="33">
        <f>$C$26*'E Balans VL '!Y12/100/3.6*1000000</f>
        <v>26.715235131570449</v>
      </c>
      <c r="O6" s="33"/>
      <c r="P6" s="33"/>
      <c r="R6" s="32"/>
    </row>
    <row r="7" spans="1:18">
      <c r="A7" s="32" t="s">
        <v>52</v>
      </c>
      <c r="B7" s="37">
        <f t="shared" ref="B7:B12" si="0">B27</f>
        <v>18338.551579999999</v>
      </c>
      <c r="C7" s="33"/>
      <c r="D7" s="37">
        <f>IF(ISERROR(TER_horeca_gas_kWh/1000),0,TER_horeca_gas_kWh/1000)*0.902</f>
        <v>25683.537040700001</v>
      </c>
      <c r="E7" s="33">
        <f>$C$27*'E Balans VL '!I9/100/3.6*1000000</f>
        <v>196.91101235931788</v>
      </c>
      <c r="F7" s="33">
        <f>$C$27*('E Balans VL '!L9+'E Balans VL '!N9)/100/3.6*1000000</f>
        <v>2205.6830691720734</v>
      </c>
      <c r="G7" s="34"/>
      <c r="H7" s="33"/>
      <c r="I7" s="33"/>
      <c r="J7" s="33">
        <f>$C$27*('E Balans VL '!D9+'E Balans VL '!E9)/100/3.6*1000000</f>
        <v>0</v>
      </c>
      <c r="K7" s="33"/>
      <c r="L7" s="33"/>
      <c r="M7" s="33"/>
      <c r="N7" s="33">
        <f>$C$27*'E Balans VL '!Y9/100/3.6*1000000</f>
        <v>2.749320561131106</v>
      </c>
      <c r="O7" s="33"/>
      <c r="P7" s="33"/>
      <c r="R7" s="32"/>
    </row>
    <row r="8" spans="1:18">
      <c r="A8" s="6" t="s">
        <v>51</v>
      </c>
      <c r="B8" s="37">
        <f t="shared" si="0"/>
        <v>41545.136310000002</v>
      </c>
      <c r="C8" s="33"/>
      <c r="D8" s="37">
        <f>IF(ISERROR(TER_handel_gas_kWh/1000),0,TER_handel_gas_kWh/1000)*0.902</f>
        <v>25489.33187658</v>
      </c>
      <c r="E8" s="33">
        <f>$C$28*'E Balans VL '!I13/100/3.6*1000000</f>
        <v>1114.9442693594231</v>
      </c>
      <c r="F8" s="33">
        <f>$C$28*('E Balans VL '!L13+'E Balans VL '!N13)/100/3.6*1000000</f>
        <v>3964.6864580912675</v>
      </c>
      <c r="G8" s="34"/>
      <c r="H8" s="33"/>
      <c r="I8" s="33"/>
      <c r="J8" s="33">
        <f>$C$28*('E Balans VL '!D13+'E Balans VL '!E13)/100/3.6*1000000</f>
        <v>0</v>
      </c>
      <c r="K8" s="33"/>
      <c r="L8" s="33"/>
      <c r="M8" s="33"/>
      <c r="N8" s="33">
        <f>$C$28*'E Balans VL '!Y13/100/3.6*1000000</f>
        <v>16.468964417498693</v>
      </c>
      <c r="O8" s="33"/>
      <c r="P8" s="33"/>
      <c r="R8" s="32"/>
    </row>
    <row r="9" spans="1:18">
      <c r="A9" s="32" t="s">
        <v>50</v>
      </c>
      <c r="B9" s="37">
        <f t="shared" si="0"/>
        <v>30230.06021</v>
      </c>
      <c r="C9" s="33"/>
      <c r="D9" s="37">
        <f>IF(ISERROR(TER_gezond_gas_kWh/1000),0,TER_gezond_gas_kWh/1000)*0.902</f>
        <v>47875.015844480004</v>
      </c>
      <c r="E9" s="33">
        <f>$C$29*'E Balans VL '!I10/100/3.6*1000000</f>
        <v>56.660976168579353</v>
      </c>
      <c r="F9" s="33">
        <f>$C$29*('E Balans VL '!L10+'E Balans VL '!N10)/100/3.6*1000000</f>
        <v>2485.1867773079512</v>
      </c>
      <c r="G9" s="34"/>
      <c r="H9" s="33"/>
      <c r="I9" s="33"/>
      <c r="J9" s="33">
        <f>$C$29*('E Balans VL '!D10+'E Balans VL '!E10)/100/3.6*1000000</f>
        <v>0</v>
      </c>
      <c r="K9" s="33"/>
      <c r="L9" s="33"/>
      <c r="M9" s="33"/>
      <c r="N9" s="33">
        <f>$C$29*'E Balans VL '!Y10/100/3.6*1000000</f>
        <v>235.21242329955658</v>
      </c>
      <c r="O9" s="33"/>
      <c r="P9" s="33"/>
      <c r="R9" s="32"/>
    </row>
    <row r="10" spans="1:18">
      <c r="A10" s="32" t="s">
        <v>49</v>
      </c>
      <c r="B10" s="37">
        <f t="shared" si="0"/>
        <v>19262.900030000001</v>
      </c>
      <c r="C10" s="33"/>
      <c r="D10" s="37">
        <f>IF(ISERROR(TER_ander_gas_kWh/1000),0,TER_ander_gas_kWh/1000)*0.902</f>
        <v>26607.134501640001</v>
      </c>
      <c r="E10" s="33">
        <f>$C$30*'E Balans VL '!I14/100/3.6*1000000</f>
        <v>29.693955584195106</v>
      </c>
      <c r="F10" s="33">
        <f>$C$30*('E Balans VL '!L14+'E Balans VL '!N14)/100/3.6*1000000</f>
        <v>2990.5705474734204</v>
      </c>
      <c r="G10" s="34"/>
      <c r="H10" s="33"/>
      <c r="I10" s="33"/>
      <c r="J10" s="33">
        <f>$C$30*('E Balans VL '!D14+'E Balans VL '!E14)/100/3.6*1000000</f>
        <v>0.32700804314133836</v>
      </c>
      <c r="K10" s="33"/>
      <c r="L10" s="33"/>
      <c r="M10" s="33"/>
      <c r="N10" s="33">
        <f>$C$30*'E Balans VL '!Y14/100/3.6*1000000</f>
        <v>12743.717288536258</v>
      </c>
      <c r="O10" s="33"/>
      <c r="P10" s="33"/>
      <c r="R10" s="32"/>
    </row>
    <row r="11" spans="1:18">
      <c r="A11" s="32" t="s">
        <v>54</v>
      </c>
      <c r="B11" s="37">
        <f t="shared" si="0"/>
        <v>8482.5005369999999</v>
      </c>
      <c r="C11" s="33"/>
      <c r="D11" s="37">
        <f>IF(ISERROR(TER_onderwijs_gas_kWh/1000),0,TER_onderwijs_gas_kWh/1000)*0.902</f>
        <v>16876.381195959999</v>
      </c>
      <c r="E11" s="33">
        <f>$C$31*'E Balans VL '!I11/100/3.6*1000000</f>
        <v>216.36169965086361</v>
      </c>
      <c r="F11" s="33">
        <f>$C$31*('E Balans VL '!L11+'E Balans VL '!N11)/100/3.6*1000000</f>
        <v>1020.1005299097305</v>
      </c>
      <c r="G11" s="34"/>
      <c r="H11" s="33"/>
      <c r="I11" s="33"/>
      <c r="J11" s="33">
        <f>$C$31*('E Balans VL '!D11+'E Balans VL '!E11)/100/3.6*1000000</f>
        <v>0</v>
      </c>
      <c r="K11" s="33"/>
      <c r="L11" s="33"/>
      <c r="M11" s="33"/>
      <c r="N11" s="33">
        <f>$C$31*'E Balans VL '!Y11/100/3.6*1000000</f>
        <v>18.864874219491458</v>
      </c>
      <c r="O11" s="33"/>
      <c r="P11" s="33"/>
      <c r="R11" s="32"/>
    </row>
    <row r="12" spans="1:18">
      <c r="A12" s="32" t="s">
        <v>248</v>
      </c>
      <c r="B12" s="37">
        <f t="shared" si="0"/>
        <v>16508.789466999999</v>
      </c>
      <c r="C12" s="33"/>
      <c r="D12" s="37">
        <f>IF(ISERROR(TER_rest_gas_kWh/1000),0,TER_rest_gas_kWh/1000)*0.902</f>
        <v>13765.446344980001</v>
      </c>
      <c r="E12" s="33">
        <f>$C$32*'E Balans VL '!I8/100/3.6*1000000</f>
        <v>213.10185623309994</v>
      </c>
      <c r="F12" s="33">
        <f>$C$32*('E Balans VL '!L8+'E Balans VL '!N8)/100/3.6*1000000</f>
        <v>1896.6337243993312</v>
      </c>
      <c r="G12" s="34"/>
      <c r="H12" s="33"/>
      <c r="I12" s="33"/>
      <c r="J12" s="33">
        <f>$C$32*('E Balans VL '!D8+'E Balans VL '!E8)/100/3.6*1000000</f>
        <v>3.1638221559452624E-2</v>
      </c>
      <c r="K12" s="33"/>
      <c r="L12" s="33"/>
      <c r="M12" s="33"/>
      <c r="N12" s="33">
        <f>$C$32*'E Balans VL '!Y8/100/3.6*1000000</f>
        <v>1249.9932541422231</v>
      </c>
      <c r="O12" s="33"/>
      <c r="P12" s="33"/>
      <c r="R12" s="32"/>
    </row>
    <row r="13" spans="1:18">
      <c r="A13" s="16" t="s">
        <v>465</v>
      </c>
      <c r="B13" s="245">
        <f ca="1">'lokale energieproductie'!N39+'lokale energieproductie'!N32</f>
        <v>2247.75</v>
      </c>
      <c r="C13" s="245">
        <f ca="1">'lokale energieproductie'!O39+'lokale energieproductie'!O32</f>
        <v>3211.0714285714284</v>
      </c>
      <c r="D13" s="304">
        <f ca="1">('lokale energieproductie'!P32+'lokale energieproductie'!P39)*(-1)</f>
        <v>-6422.1428571428569</v>
      </c>
      <c r="E13" s="246"/>
      <c r="F13" s="304">
        <f ca="1">('lokale energieproductie'!S32+'lokale energieproductie'!S39)*(-1)</f>
        <v>0</v>
      </c>
      <c r="G13" s="247"/>
      <c r="H13" s="246"/>
      <c r="I13" s="246"/>
      <c r="J13" s="246"/>
      <c r="K13" s="246"/>
      <c r="L13" s="304">
        <f ca="1">('lokale energieproductie'!U32+'lokale energieproductie'!T32+'lokale energieproductie'!U39+'lokale energieproductie'!T39)*(-1)</f>
        <v>0</v>
      </c>
      <c r="M13" s="246"/>
      <c r="N13" s="304">
        <f ca="1">('lokale energieproductie'!Q32+'lokale energieproductie'!R32+'lokale energieproductie'!V32+'lokale energieproductie'!Q39+'lokale energieproductie'!R39+'lokale energieproductie'!V39)*(-1)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186323.00525399996</v>
      </c>
      <c r="C16" s="21">
        <f t="shared" ca="1" si="1"/>
        <v>3211.0714285714284</v>
      </c>
      <c r="D16" s="21">
        <f t="shared" ca="1" si="1"/>
        <v>215758.6881593971</v>
      </c>
      <c r="E16" s="21">
        <f t="shared" si="1"/>
        <v>2227.6526127986617</v>
      </c>
      <c r="F16" s="21">
        <f t="shared" ca="1" si="1"/>
        <v>20640.103528508756</v>
      </c>
      <c r="G16" s="21">
        <f t="shared" si="1"/>
        <v>0</v>
      </c>
      <c r="H16" s="21">
        <f t="shared" si="1"/>
        <v>0</v>
      </c>
      <c r="I16" s="21">
        <f t="shared" si="1"/>
        <v>0</v>
      </c>
      <c r="J16" s="21">
        <f t="shared" si="1"/>
        <v>0.35864626470079097</v>
      </c>
      <c r="K16" s="21">
        <f t="shared" si="1"/>
        <v>0</v>
      </c>
      <c r="L16" s="21">
        <f t="shared" ca="1" si="1"/>
        <v>0</v>
      </c>
      <c r="M16" s="21">
        <f t="shared" si="1"/>
        <v>0</v>
      </c>
      <c r="N16" s="21">
        <f t="shared" ca="1" si="1"/>
        <v>14293.721360307729</v>
      </c>
      <c r="O16" s="21">
        <f>O5</f>
        <v>73.458911487617328</v>
      </c>
      <c r="P16" s="21">
        <f>P5</f>
        <v>840.6262129039203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0.20391291128276573</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37993.666440297187</v>
      </c>
      <c r="C20" s="23">
        <f t="shared" ref="C20:P20" ca="1" si="2">C16*C18</f>
        <v>763.10168067226903</v>
      </c>
      <c r="D20" s="23">
        <f t="shared" ca="1" si="2"/>
        <v>43583.255008198219</v>
      </c>
      <c r="E20" s="23">
        <f t="shared" si="2"/>
        <v>505.67714310529624</v>
      </c>
      <c r="F20" s="23">
        <f t="shared" ca="1" si="2"/>
        <v>5510.907642111838</v>
      </c>
      <c r="G20" s="23">
        <f t="shared" si="2"/>
        <v>0</v>
      </c>
      <c r="H20" s="23">
        <f t="shared" si="2"/>
        <v>0</v>
      </c>
      <c r="I20" s="23">
        <f t="shared" si="2"/>
        <v>0</v>
      </c>
      <c r="J20" s="23">
        <f t="shared" si="2"/>
        <v>0.12696077770407999</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49707.31712</v>
      </c>
      <c r="C26" s="39">
        <f>IF(ISERROR(B26*3.6/1000000/'E Balans VL '!Z12*100),0,B26*3.6/1000000/'E Balans VL '!Z12*100)</f>
        <v>1.0544952557279226</v>
      </c>
      <c r="D26" s="235" t="s">
        <v>692</v>
      </c>
      <c r="F26" s="6"/>
    </row>
    <row r="27" spans="1:18">
      <c r="A27" s="229" t="s">
        <v>52</v>
      </c>
      <c r="B27" s="33">
        <f>IF(ISERROR(TER_horeca_ele_kWh/1000),0,TER_horeca_ele_kWh/1000)</f>
        <v>18338.551579999999</v>
      </c>
      <c r="C27" s="39">
        <f>IF(ISERROR(B27*3.6/1000000/'E Balans VL '!Z9*100),0,B27*3.6/1000000/'E Balans VL '!Z9*100)</f>
        <v>1.381055386153428</v>
      </c>
      <c r="D27" s="235" t="s">
        <v>692</v>
      </c>
      <c r="F27" s="6"/>
    </row>
    <row r="28" spans="1:18">
      <c r="A28" s="169" t="s">
        <v>51</v>
      </c>
      <c r="B28" s="33">
        <f>IF(ISERROR(TER_handel_ele_kWh/1000),0,TER_handel_ele_kWh/1000)</f>
        <v>41545.136310000002</v>
      </c>
      <c r="C28" s="39">
        <f>IF(ISERROR(B28*3.6/1000000/'E Balans VL '!Z13*100),0,B28*3.6/1000000/'E Balans VL '!Z13*100)</f>
        <v>1.2059081011760837</v>
      </c>
      <c r="D28" s="235" t="s">
        <v>692</v>
      </c>
      <c r="F28" s="6"/>
    </row>
    <row r="29" spans="1:18">
      <c r="A29" s="229" t="s">
        <v>50</v>
      </c>
      <c r="B29" s="33">
        <f>IF(ISERROR(TER_gezond_ele_kWh/1000),0,TER_gezond_ele_kWh/1000)</f>
        <v>30230.06021</v>
      </c>
      <c r="C29" s="39">
        <f>IF(ISERROR(B29*3.6/1000000/'E Balans VL '!Z10*100),0,B29*3.6/1000000/'E Balans VL '!Z10*100)</f>
        <v>3.0487376229936176</v>
      </c>
      <c r="D29" s="235" t="s">
        <v>692</v>
      </c>
      <c r="F29" s="6"/>
    </row>
    <row r="30" spans="1:18">
      <c r="A30" s="229" t="s">
        <v>49</v>
      </c>
      <c r="B30" s="33">
        <f>IF(ISERROR(TER_ander_ele_kWh/1000),0,TER_ander_ele_kWh/1000)</f>
        <v>19262.900030000001</v>
      </c>
      <c r="C30" s="39">
        <f>IF(ISERROR(B30*3.6/1000000/'E Balans VL '!Z14*100),0,B30*3.6/1000000/'E Balans VL '!Z14*100)</f>
        <v>1.3977861913175511</v>
      </c>
      <c r="D30" s="235" t="s">
        <v>692</v>
      </c>
      <c r="F30" s="6"/>
    </row>
    <row r="31" spans="1:18">
      <c r="A31" s="229" t="s">
        <v>54</v>
      </c>
      <c r="B31" s="33">
        <f>IF(ISERROR(TER_onderwijs_ele_kWh/1000),0,TER_onderwijs_ele_kWh/1000)</f>
        <v>8482.5005369999999</v>
      </c>
      <c r="C31" s="39">
        <f>IF(ISERROR(B31*3.6/1000000/'E Balans VL '!Z11*100),0,B31*3.6/1000000/'E Balans VL '!Z11*100)</f>
        <v>2.4178580765510373</v>
      </c>
      <c r="D31" s="235" t="s">
        <v>692</v>
      </c>
    </row>
    <row r="32" spans="1:18">
      <c r="A32" s="229" t="s">
        <v>248</v>
      </c>
      <c r="B32" s="33">
        <f>IF(ISERROR(TER_rest_ele_kWh/1000),0,TER_rest_ele_kWh/1000)</f>
        <v>16508.789466999999</v>
      </c>
      <c r="C32" s="39">
        <f>IF(ISERROR(B32*3.6/1000000/'E Balans VL '!Z8*100),0,B32*3.6/1000000/'E Balans VL '!Z8*100)</f>
        <v>0.13523664063068316</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15</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16</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116935.415706</v>
      </c>
      <c r="C5" s="17">
        <f>IF(ISERROR('Eigen informatie GS &amp; warmtenet'!B61),0,'Eigen informatie GS &amp; warmtenet'!B61)</f>
        <v>0</v>
      </c>
      <c r="D5" s="30">
        <f>SUM(D6:D15)</f>
        <v>179313.51498631999</v>
      </c>
      <c r="E5" s="17">
        <f>SUM(E6:E15)</f>
        <v>6752.1499291638411</v>
      </c>
      <c r="F5" s="17">
        <f>SUM(F6:F15)</f>
        <v>24296.951436569892</v>
      </c>
      <c r="G5" s="18"/>
      <c r="H5" s="17"/>
      <c r="I5" s="17"/>
      <c r="J5" s="17">
        <f>SUM(J6:J15)</f>
        <v>2094.9739376643247</v>
      </c>
      <c r="K5" s="17"/>
      <c r="L5" s="17"/>
      <c r="M5" s="17"/>
      <c r="N5" s="17">
        <f>SUM(N6:N15)</f>
        <v>4198.3007371358872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17521.935570000001</v>
      </c>
      <c r="C8" s="33"/>
      <c r="D8" s="37">
        <f>IF( ISERROR(IND_metaal_Gas_kWH/1000),0,IND_metaal_Gas_kWH/1000)*0.902</f>
        <v>12884.977184200001</v>
      </c>
      <c r="E8" s="33">
        <f>C30*'E Balans VL '!I18/100/3.6*1000000</f>
        <v>126.40846709379716</v>
      </c>
      <c r="F8" s="33">
        <f>C30*'E Balans VL '!L18/100/3.6*1000000+C30*'E Balans VL '!N18/100/3.6*1000000</f>
        <v>1657.2520230620421</v>
      </c>
      <c r="G8" s="34"/>
      <c r="H8" s="33"/>
      <c r="I8" s="33"/>
      <c r="J8" s="40">
        <f>C30*'E Balans VL '!D18/100/3.6*1000000+C30*'E Balans VL '!E18/100/3.6*1000000</f>
        <v>17.623664619744993</v>
      </c>
      <c r="K8" s="33"/>
      <c r="L8" s="33"/>
      <c r="M8" s="33"/>
      <c r="N8" s="33">
        <f>C30*'E Balans VL '!Y18/100/3.6*1000000</f>
        <v>221.5236240695115</v>
      </c>
      <c r="O8" s="33"/>
      <c r="P8" s="33"/>
      <c r="R8" s="32"/>
    </row>
    <row r="9" spans="1:18">
      <c r="A9" s="6" t="s">
        <v>32</v>
      </c>
      <c r="B9" s="37">
        <f t="shared" si="0"/>
        <v>13226.858390000001</v>
      </c>
      <c r="C9" s="33"/>
      <c r="D9" s="37">
        <f>IF( ISERROR(IND_andere_gas_kWh/1000),0,IND_andere_gas_kWh/1000)*0.902</f>
        <v>8597.347107997999</v>
      </c>
      <c r="E9" s="33">
        <f>C31*'E Balans VL '!I19/100/3.6*1000000</f>
        <v>3665.3393251237485</v>
      </c>
      <c r="F9" s="33">
        <f>C31*'E Balans VL '!L19/100/3.6*1000000+C31*'E Balans VL '!N19/100/3.6*1000000</f>
        <v>10962.448817093273</v>
      </c>
      <c r="G9" s="34"/>
      <c r="H9" s="33"/>
      <c r="I9" s="33"/>
      <c r="J9" s="40">
        <f>C31*'E Balans VL '!D19/100/3.6*1000000+C31*'E Balans VL '!E19/100/3.6*1000000</f>
        <v>0</v>
      </c>
      <c r="K9" s="33"/>
      <c r="L9" s="33"/>
      <c r="M9" s="33"/>
      <c r="N9" s="33">
        <f>C31*'E Balans VL '!Y19/100/3.6*1000000</f>
        <v>960.10813712165282</v>
      </c>
      <c r="O9" s="33"/>
      <c r="P9" s="33"/>
      <c r="R9" s="32"/>
    </row>
    <row r="10" spans="1:18">
      <c r="A10" s="6" t="s">
        <v>40</v>
      </c>
      <c r="B10" s="37">
        <f t="shared" si="0"/>
        <v>9196.6173500000004</v>
      </c>
      <c r="C10" s="33"/>
      <c r="D10" s="37">
        <f>IF( ISERROR(IND_voed_gas_kWh/1000),0,IND_voed_gas_kWh/1000)*0.902</f>
        <v>17270.347708900001</v>
      </c>
      <c r="E10" s="33">
        <f>C32*'E Balans VL '!I20/100/3.6*1000000</f>
        <v>16.281127803514043</v>
      </c>
      <c r="F10" s="33">
        <f>C32*'E Balans VL '!L20/100/3.6*1000000+C32*'E Balans VL '!N20/100/3.6*1000000</f>
        <v>496.69884578842641</v>
      </c>
      <c r="G10" s="34"/>
      <c r="H10" s="33"/>
      <c r="I10" s="33"/>
      <c r="J10" s="40">
        <f>C32*'E Balans VL '!D20/100/3.6*1000000+C32*'E Balans VL '!E20/100/3.6*1000000</f>
        <v>0</v>
      </c>
      <c r="K10" s="33"/>
      <c r="L10" s="33"/>
      <c r="M10" s="33"/>
      <c r="N10" s="33">
        <f>C32*'E Balans VL '!Y20/100/3.6*1000000</f>
        <v>534.39370347689805</v>
      </c>
      <c r="O10" s="33"/>
      <c r="P10" s="33"/>
      <c r="R10" s="32"/>
    </row>
    <row r="11" spans="1:18">
      <c r="A11" s="6" t="s">
        <v>39</v>
      </c>
      <c r="B11" s="37">
        <f t="shared" si="0"/>
        <v>873.23215599999992</v>
      </c>
      <c r="C11" s="33"/>
      <c r="D11" s="37">
        <f>IF( ISERROR(IND_textiel_gas_kWh/1000),0,IND_textiel_gas_kWh/1000)*0.902</f>
        <v>848.74995284199997</v>
      </c>
      <c r="E11" s="33">
        <f>C33*'E Balans VL '!I21/100/3.6*1000000</f>
        <v>3.0782339870055191</v>
      </c>
      <c r="F11" s="33">
        <f>C33*'E Balans VL '!L21/100/3.6*1000000+C33*'E Balans VL '!N21/100/3.6*1000000</f>
        <v>25.630669576207584</v>
      </c>
      <c r="G11" s="34"/>
      <c r="H11" s="33"/>
      <c r="I11" s="33"/>
      <c r="J11" s="40">
        <f>C33*'E Balans VL '!D21/100/3.6*1000000+C33*'E Balans VL '!E21/100/3.6*1000000</f>
        <v>0</v>
      </c>
      <c r="K11" s="33"/>
      <c r="L11" s="33"/>
      <c r="M11" s="33"/>
      <c r="N11" s="33">
        <f>C33*'E Balans VL '!Y21/100/3.6*1000000</f>
        <v>38.47448379342832</v>
      </c>
      <c r="O11" s="33"/>
      <c r="P11" s="33"/>
      <c r="R11" s="32"/>
    </row>
    <row r="12" spans="1:18">
      <c r="A12" s="6" t="s">
        <v>36</v>
      </c>
      <c r="B12" s="37">
        <f t="shared" si="0"/>
        <v>75.037220000000005</v>
      </c>
      <c r="C12" s="33"/>
      <c r="D12" s="37">
        <f>IF( ISERROR(IND_min_gas_kWh/1000),0,IND_min_gas_kWh/1000)*0.902</f>
        <v>110.99311145999999</v>
      </c>
      <c r="E12" s="33">
        <f>C34*'E Balans VL '!I22/100/3.6*1000000</f>
        <v>3.3043715084860876</v>
      </c>
      <c r="F12" s="33">
        <f>C34*'E Balans VL '!L22/100/3.6*1000000+C34*'E Balans VL '!N22/100/3.6*1000000</f>
        <v>29.342583440119146</v>
      </c>
      <c r="G12" s="34"/>
      <c r="H12" s="33"/>
      <c r="I12" s="33"/>
      <c r="J12" s="40">
        <f>C34*'E Balans VL '!D22/100/3.6*1000000+C34*'E Balans VL '!E22/100/3.6*1000000</f>
        <v>2.2783966511722167E-2</v>
      </c>
      <c r="K12" s="33"/>
      <c r="L12" s="33"/>
      <c r="M12" s="33"/>
      <c r="N12" s="33">
        <f>C34*'E Balans VL '!Y22/100/3.6*1000000</f>
        <v>18.561934219045575</v>
      </c>
      <c r="O12" s="33"/>
      <c r="P12" s="33"/>
      <c r="R12" s="32"/>
    </row>
    <row r="13" spans="1:18">
      <c r="A13" s="6" t="s">
        <v>38</v>
      </c>
      <c r="B13" s="37">
        <f t="shared" si="0"/>
        <v>14327.34352</v>
      </c>
      <c r="C13" s="33"/>
      <c r="D13" s="37">
        <f>IF( ISERROR(IND_papier_gas_kWh/1000),0,IND_papier_gas_kWh/1000)*0.902</f>
        <v>12385.843000520001</v>
      </c>
      <c r="E13" s="33">
        <f>C35*'E Balans VL '!I23/100/3.6*1000000</f>
        <v>21.080442043660714</v>
      </c>
      <c r="F13" s="33">
        <f>C35*'E Balans VL '!L23/100/3.6*1000000+C35*'E Balans VL '!N23/100/3.6*1000000</f>
        <v>153.40725879418704</v>
      </c>
      <c r="G13" s="34"/>
      <c r="H13" s="33"/>
      <c r="I13" s="33"/>
      <c r="J13" s="40">
        <f>C35*'E Balans VL '!D23/100/3.6*1000000+C35*'E Balans VL '!E23/100/3.6*1000000</f>
        <v>1567.4917246261505</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61714.391499999998</v>
      </c>
      <c r="C15" s="33"/>
      <c r="D15" s="37">
        <f>IF( ISERROR(IND_rest_gas_kWh/1000),0,IND_rest_gas_kWh/1000)*0.902</f>
        <v>127215.25692039999</v>
      </c>
      <c r="E15" s="33">
        <f>C37*'E Balans VL '!I15/100/3.6*1000000</f>
        <v>2916.6579616036292</v>
      </c>
      <c r="F15" s="33">
        <f>C37*'E Balans VL '!L15/100/3.6*1000000+C37*'E Balans VL '!N15/100/3.6*1000000</f>
        <v>10972.171238815639</v>
      </c>
      <c r="G15" s="34"/>
      <c r="H15" s="33"/>
      <c r="I15" s="33"/>
      <c r="J15" s="40">
        <f>C37*'E Balans VL '!D15/100/3.6*1000000+C37*'E Balans VL '!E15/100/3.6*1000000</f>
        <v>509.8357644519175</v>
      </c>
      <c r="K15" s="33"/>
      <c r="L15" s="33"/>
      <c r="M15" s="33"/>
      <c r="N15" s="33">
        <f>C37*'E Balans VL '!Y15/100/3.6*1000000</f>
        <v>2425.2388544553514</v>
      </c>
      <c r="O15" s="33"/>
      <c r="P15" s="33"/>
      <c r="R15" s="32"/>
    </row>
    <row r="16" spans="1:18">
      <c r="A16" s="16" t="s">
        <v>465</v>
      </c>
      <c r="B16" s="245">
        <f>'lokale energieproductie'!N38+'lokale energieproductie'!N31</f>
        <v>0</v>
      </c>
      <c r="C16" s="245">
        <f>'lokale energieproductie'!O38+'lokale energieproductie'!O31</f>
        <v>0</v>
      </c>
      <c r="D16" s="304">
        <f>('lokale energieproductie'!P31+'lokale energieproductie'!P38)*(-1)</f>
        <v>0</v>
      </c>
      <c r="E16" s="246"/>
      <c r="F16" s="304">
        <f>('lokale energieproductie'!S31+'lokale energieproductie'!S38)*(-1)</f>
        <v>0</v>
      </c>
      <c r="G16" s="247"/>
      <c r="H16" s="246"/>
      <c r="I16" s="246"/>
      <c r="J16" s="246"/>
      <c r="K16" s="246"/>
      <c r="L16" s="304">
        <f>('lokale energieproductie'!T31+'lokale energieproductie'!U31+'lokale energieproductie'!T38+'lokale energieproductie'!U38)*(-1)</f>
        <v>0</v>
      </c>
      <c r="M16" s="246"/>
      <c r="N16" s="304">
        <f>('lokale energieproductie'!Q31+'lokale energieproductie'!R31+'lokale energieproductie'!V31+'lokale energieproductie'!Q38+'lokale energieproductie'!R38+'lokale energieproductie'!V38)*(-1)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116935.415706</v>
      </c>
      <c r="C18" s="21">
        <f>C5+C16</f>
        <v>0</v>
      </c>
      <c r="D18" s="21">
        <f>MAX((D5+D16),0)</f>
        <v>179313.51498631999</v>
      </c>
      <c r="E18" s="21">
        <f>MAX((E5+E16),0)</f>
        <v>6752.1499291638411</v>
      </c>
      <c r="F18" s="21">
        <f>MAX((F5+F16),0)</f>
        <v>24296.951436569892</v>
      </c>
      <c r="G18" s="21"/>
      <c r="H18" s="21"/>
      <c r="I18" s="21"/>
      <c r="J18" s="21">
        <f>MAX((J5+J16),0)</f>
        <v>2094.9739376643247</v>
      </c>
      <c r="K18" s="21"/>
      <c r="L18" s="21">
        <f>MAX((L5+L16),0)</f>
        <v>0</v>
      </c>
      <c r="M18" s="21"/>
      <c r="N18" s="21">
        <f>MAX((N5+N16),0)</f>
        <v>4198.3007371358872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0.20391291128276573</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23844.641048670906</v>
      </c>
      <c r="C22" s="23">
        <f ca="1">C18*C20</f>
        <v>0</v>
      </c>
      <c r="D22" s="23">
        <f>D18*D20</f>
        <v>36221.33002723664</v>
      </c>
      <c r="E22" s="23">
        <f>E18*E20</f>
        <v>1532.738033920192</v>
      </c>
      <c r="F22" s="23">
        <f>F18*F20</f>
        <v>6487.2860335641617</v>
      </c>
      <c r="G22" s="23"/>
      <c r="H22" s="23"/>
      <c r="I22" s="23"/>
      <c r="J22" s="23">
        <f>J18*J20</f>
        <v>741.62077393317088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17521.935570000001</v>
      </c>
      <c r="C30" s="39">
        <f>IF(ISERROR(B30*3.6/1000000/'E Balans VL '!Z18*100),0,B30*3.6/1000000/'E Balans VL '!Z18*100)</f>
        <v>1.011514000144798</v>
      </c>
      <c r="D30" s="235" t="s">
        <v>692</v>
      </c>
    </row>
    <row r="31" spans="1:18">
      <c r="A31" s="6" t="s">
        <v>32</v>
      </c>
      <c r="B31" s="37">
        <f>IF( ISERROR(IND_ander_ele_kWh/1000),0,IND_ander_ele_kWh/1000)</f>
        <v>13226.858390000001</v>
      </c>
      <c r="C31" s="39">
        <f>IF(ISERROR(B31*3.6/1000000/'E Balans VL '!Z19*100),0,B31*3.6/1000000/'E Balans VL '!Z19*100)</f>
        <v>0.66526810381562107</v>
      </c>
      <c r="D31" s="235" t="s">
        <v>692</v>
      </c>
    </row>
    <row r="32" spans="1:18">
      <c r="A32" s="169" t="s">
        <v>40</v>
      </c>
      <c r="B32" s="37">
        <f>IF( ISERROR(IND_voed_ele_kWh/1000),0,IND_voed_ele_kWh/1000)</f>
        <v>9196.6173500000004</v>
      </c>
      <c r="C32" s="39">
        <f>IF(ISERROR(B32*3.6/1000000/'E Balans VL '!Z20*100),0,B32*3.6/1000000/'E Balans VL '!Z20*100)</f>
        <v>0.30630196955037053</v>
      </c>
      <c r="D32" s="235" t="s">
        <v>692</v>
      </c>
    </row>
    <row r="33" spans="1:5">
      <c r="A33" s="169" t="s">
        <v>39</v>
      </c>
      <c r="B33" s="37">
        <f>IF( ISERROR(IND_textiel_ele_kWh/1000),0,IND_textiel_ele_kWh/1000)</f>
        <v>873.23215599999992</v>
      </c>
      <c r="C33" s="39">
        <f>IF(ISERROR(B33*3.6/1000000/'E Balans VL '!Z21*100),0,B33*3.6/1000000/'E Balans VL '!Z21*100)</f>
        <v>0.13614800712287087</v>
      </c>
      <c r="D33" s="235" t="s">
        <v>692</v>
      </c>
    </row>
    <row r="34" spans="1:5">
      <c r="A34" s="169" t="s">
        <v>36</v>
      </c>
      <c r="B34" s="37">
        <f>IF( ISERROR(IND_min_ele_kWh/1000),0,IND_min_ele_kWh/1000)</f>
        <v>75.037220000000005</v>
      </c>
      <c r="C34" s="39">
        <f>IF(ISERROR(B34*3.6/1000000/'E Balans VL '!Z22*100),0,B34*3.6/1000000/'E Balans VL '!Z22*100)</f>
        <v>1.3996976014026531E-2</v>
      </c>
      <c r="D34" s="235" t="s">
        <v>692</v>
      </c>
    </row>
    <row r="35" spans="1:5">
      <c r="A35" s="169" t="s">
        <v>38</v>
      </c>
      <c r="B35" s="37">
        <f>IF( ISERROR(IND_papier_ele_kWh/1000),0,IND_papier_ele_kWh/1000)</f>
        <v>14327.34352</v>
      </c>
      <c r="C35" s="39">
        <f>IF(ISERROR(B35*3.6/1000000/'E Balans VL '!Z22*100),0,B35*3.6/1000000/'E Balans VL '!Z22*100)</f>
        <v>2.6725334919678314</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61714.391499999998</v>
      </c>
      <c r="C37" s="39">
        <f>IF(ISERROR(B37*3.6/1000000/'E Balans VL '!Z15*100),0,B37*3.6/1000000/'E Balans VL '!Z15*100)</f>
        <v>0.4815410198000597</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2793.0158619999997</v>
      </c>
      <c r="C5" s="17">
        <f>'Eigen informatie GS &amp; warmtenet'!B62</f>
        <v>0</v>
      </c>
      <c r="D5" s="30">
        <f>IF(ISERROR(SUM(LB_lb_gas_kWh,LB_rest_gas_kWh)/1000),0,SUM(LB_lb_gas_kWh,LB_rest_gas_kWh)/1000)*0.902</f>
        <v>787.46276186600005</v>
      </c>
      <c r="E5" s="17">
        <f>B17*'E Balans VL '!I25/3.6*1000000/100</f>
        <v>87.169104030013372</v>
      </c>
      <c r="F5" s="17">
        <f>B17*('E Balans VL '!L25/3.6*1000000+'E Balans VL '!N25/3.6*1000000)/100</f>
        <v>9870.8274582587655</v>
      </c>
      <c r="G5" s="18"/>
      <c r="H5" s="17"/>
      <c r="I5" s="17"/>
      <c r="J5" s="17">
        <f>('E Balans VL '!D25+'E Balans VL '!E25)/3.6*1000000*landbouw!B17/100</f>
        <v>769.49523937625065</v>
      </c>
      <c r="K5" s="17"/>
      <c r="L5" s="17">
        <f>L6*(-1)</f>
        <v>0</v>
      </c>
      <c r="M5" s="17"/>
      <c r="N5" s="17">
        <f>N6*(-1)</f>
        <v>0</v>
      </c>
      <c r="O5" s="17"/>
      <c r="P5" s="17"/>
      <c r="R5" s="32"/>
    </row>
    <row r="6" spans="1:18">
      <c r="A6" s="16" t="s">
        <v>465</v>
      </c>
      <c r="B6" s="17" t="s">
        <v>204</v>
      </c>
      <c r="C6" s="17">
        <f>'lokale energieproductie'!O40+'lokale energieproductie'!O33</f>
        <v>0</v>
      </c>
      <c r="D6" s="304">
        <f>('lokale energieproductie'!P33+'lokale energieproductie'!P40)*(-1)</f>
        <v>0</v>
      </c>
      <c r="E6" s="246"/>
      <c r="F6" s="304">
        <f>('lokale energieproductie'!S33+'lokale energieproductie'!S40)*(-1)</f>
        <v>0</v>
      </c>
      <c r="G6" s="247"/>
      <c r="H6" s="246"/>
      <c r="I6" s="246"/>
      <c r="J6" s="246"/>
      <c r="K6" s="246"/>
      <c r="L6" s="304">
        <f>('lokale energieproductie'!T33+'lokale energieproductie'!U33+'lokale energieproductie'!T40+'lokale energieproductie'!U40)*(-1)</f>
        <v>0</v>
      </c>
      <c r="M6" s="246"/>
      <c r="N6" s="304">
        <f>('lokale energieproductie'!V33+'lokale energieproductie'!R33+'lokale energieproductie'!Q33+'lokale energieproductie'!Q40+'lokale energieproductie'!R40+'lokale energieproductie'!V40)*(-1)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2793.0158619999997</v>
      </c>
      <c r="C8" s="21">
        <f>C5+C6</f>
        <v>0</v>
      </c>
      <c r="D8" s="21">
        <f>MAX((D5+D6),0)</f>
        <v>787.46276186600005</v>
      </c>
      <c r="E8" s="21">
        <f>MAX((E5+E6),0)</f>
        <v>87.169104030013372</v>
      </c>
      <c r="F8" s="21">
        <f>MAX((F5+F6),0)</f>
        <v>9870.8274582587655</v>
      </c>
      <c r="G8" s="21"/>
      <c r="H8" s="21"/>
      <c r="I8" s="21"/>
      <c r="J8" s="21">
        <f>MAX((J5+J6),0)</f>
        <v>769.49523937625065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0.20391291128276573</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569.53199567936338</v>
      </c>
      <c r="C12" s="23">
        <f ca="1">C8*C10</f>
        <v>0</v>
      </c>
      <c r="D12" s="23">
        <f>D8*D10</f>
        <v>159.06747789693202</v>
      </c>
      <c r="E12" s="23">
        <f>E8*E10</f>
        <v>19.787386614813038</v>
      </c>
      <c r="F12" s="23">
        <f>F8*F10</f>
        <v>2635.5109313550906</v>
      </c>
      <c r="G12" s="23"/>
      <c r="H12" s="23"/>
      <c r="I12" s="23"/>
      <c r="J12" s="23">
        <f>J8*J10</f>
        <v>272.40131473919274</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0.41520183012054834</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361.91789939719513</v>
      </c>
      <c r="C26" s="245">
        <f>B26*'GWP N2O_CH4'!B5</f>
        <v>7600.2758873410976</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101.23792982543216</v>
      </c>
      <c r="C27" s="245">
        <f>B27*'GWP N2O_CH4'!B5</f>
        <v>2125.9965263340755</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5.4231241642140899</v>
      </c>
      <c r="C28" s="245">
        <f>B28*'GWP N2O_CH4'!B4</f>
        <v>1681.1684909063679</v>
      </c>
      <c r="D28" s="50"/>
    </row>
    <row r="29" spans="1:4">
      <c r="A29" s="41" t="s">
        <v>265</v>
      </c>
      <c r="B29" s="245">
        <f>B34*'ha_N2O bodem landbouw'!B4</f>
        <v>24.148495021279935</v>
      </c>
      <c r="C29" s="245">
        <f>B29*'GWP N2O_CH4'!B4</f>
        <v>7486.0334565967796</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5.2953301742898673E-3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2.190805693307124E-3</v>
      </c>
      <c r="C5" s="431" t="s">
        <v>204</v>
      </c>
      <c r="D5" s="416">
        <f>SUM(D6:D11)</f>
        <v>3.4858462160675683E-3</v>
      </c>
      <c r="E5" s="416">
        <f>SUM(E6:E11)</f>
        <v>3.3010464586226587E-3</v>
      </c>
      <c r="F5" s="429" t="s">
        <v>204</v>
      </c>
      <c r="G5" s="416">
        <f>SUM(G6:G11)</f>
        <v>1.9545691346290393</v>
      </c>
      <c r="H5" s="416">
        <f>SUM(H6:H11)</f>
        <v>0.31580199410400933</v>
      </c>
      <c r="I5" s="431" t="s">
        <v>204</v>
      </c>
      <c r="J5" s="431" t="s">
        <v>204</v>
      </c>
      <c r="K5" s="431" t="s">
        <v>204</v>
      </c>
      <c r="L5" s="431" t="s">
        <v>204</v>
      </c>
      <c r="M5" s="416">
        <f>SUM(M6:M11)</f>
        <v>0.13357402027572884</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7.2870128160425359E-4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1.2301186190221372E-3</v>
      </c>
      <c r="E6" s="882">
        <f>vkm_GW_PW*SUMIFS(TableVerdeelsleutelVkm[LPG],TableVerdeelsleutelVkm[Voertuigtype],"Lichte voertuigen")*SUMIFS(TableECFTransport[EnergieConsumptieFactor (PJ per km)],TableECFTransport[Index],CONCATENATE($A6,"_LPG_LPG"))</f>
        <v>1.0779190319624766E-3</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0.33672097054823652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0.10972678924637888</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2.6674290901742958E-2</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6.9993898068946963E-6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0.26714713560857284</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3.7134308252207497E-6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1.5398996682553552E-2</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3.7156614325370701E-4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8.0090626312302911E-4</v>
      </c>
      <c r="E8" s="419">
        <f>vkm_NGW_PW*SUMIFS(TableVerdeelsleutelVkm[LPG],TableVerdeelsleutelVkm[Voertuigtype],"Lichte voertuigen")*SUMIFS(TableECFTransport[EnergieConsumptieFactor (PJ per km)],TableECFTransport[Index],CONCATENATE($A8,"_LPG_LPG"))</f>
        <v>6.7229024298451519E-4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0.19403109232432331</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7.0405329892161264E-2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1.5845895435816736E-2</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6.1513700593140773E-7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3.0182860066208898E-2</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3.9391585206327909E-7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1.7398101893230219E-3</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1.0640006866647629E-3</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1.4548213339224019E-3</v>
      </c>
      <c r="E10" s="419">
        <f>vkm_SW_PW*SUMIFS(TableVerdeelsleutelVkm[LPG],TableVerdeelsleutelVkm[Voertuigtype],"Lichte voertuigen")*SUMIFS(TableECFTransport[EnergieConsumptieFactor (PJ per km)],TableECFTransport[Index],CONCATENATE($A10,"_LPG_LPG"))</f>
        <v>1.5508371836756669E-3</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0.44147630999770882</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0.13565543437090757</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3.4429322522604146E-2</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1.8923054971574664E-5</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0.68501076608398892</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1.0333247884298771E-5</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3.9485704543688438E-2</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608.55713702975663</v>
      </c>
      <c r="C14" s="21"/>
      <c r="D14" s="21">
        <f t="shared" ref="D14:M14" si="0">((D5)*10^9/3600)+D12</f>
        <v>968.29061557432453</v>
      </c>
      <c r="E14" s="21">
        <f t="shared" si="0"/>
        <v>916.95734961740516</v>
      </c>
      <c r="F14" s="21"/>
      <c r="G14" s="21">
        <f t="shared" si="0"/>
        <v>542935.87073028868</v>
      </c>
      <c r="H14" s="21">
        <f t="shared" si="0"/>
        <v>87722.776140002592</v>
      </c>
      <c r="I14" s="21"/>
      <c r="J14" s="21"/>
      <c r="K14" s="21"/>
      <c r="L14" s="21"/>
      <c r="M14" s="21">
        <f t="shared" si="0"/>
        <v>37103.894521035792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0.20391291128276573</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124.09265749364268</v>
      </c>
      <c r="C18" s="23"/>
      <c r="D18" s="23">
        <f t="shared" ref="D18:M18" si="1">D14*D16</f>
        <v>195.59470434601357</v>
      </c>
      <c r="E18" s="23">
        <f t="shared" si="1"/>
        <v>208.14931836315097</v>
      </c>
      <c r="F18" s="23"/>
      <c r="G18" s="23">
        <f t="shared" si="1"/>
        <v>144963.87748498708</v>
      </c>
      <c r="H18" s="23">
        <f t="shared" si="1"/>
        <v>21842.971258860645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4.887084328659985E-4</v>
      </c>
      <c r="C50" s="315">
        <f t="shared" ref="C50:P50" si="2">SUM(C51:C52)</f>
        <v>0</v>
      </c>
      <c r="D50" s="315">
        <f t="shared" si="2"/>
        <v>0</v>
      </c>
      <c r="E50" s="315">
        <f t="shared" si="2"/>
        <v>0</v>
      </c>
      <c r="F50" s="315">
        <f t="shared" si="2"/>
        <v>0</v>
      </c>
      <c r="G50" s="315">
        <f t="shared" si="2"/>
        <v>3.5407662018237168E-2</v>
      </c>
      <c r="H50" s="315">
        <f t="shared" si="2"/>
        <v>0</v>
      </c>
      <c r="I50" s="315">
        <f t="shared" si="2"/>
        <v>0</v>
      </c>
      <c r="J50" s="315">
        <f t="shared" si="2"/>
        <v>0</v>
      </c>
      <c r="K50" s="315">
        <f t="shared" si="2"/>
        <v>0</v>
      </c>
      <c r="L50" s="315">
        <f t="shared" si="2"/>
        <v>0</v>
      </c>
      <c r="M50" s="315">
        <f t="shared" si="2"/>
        <v>2.0027628078060668E-3</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4.887084328659985E-4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3.5407662018237168E-2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2.0027628078060668E-3</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135.75234246277736</v>
      </c>
      <c r="C54" s="21">
        <f t="shared" ref="C54:P54" si="3">(C50)*10^9/3600</f>
        <v>0</v>
      </c>
      <c r="D54" s="21">
        <f t="shared" si="3"/>
        <v>0</v>
      </c>
      <c r="E54" s="21">
        <f t="shared" si="3"/>
        <v>0</v>
      </c>
      <c r="F54" s="21">
        <f t="shared" si="3"/>
        <v>0</v>
      </c>
      <c r="G54" s="21">
        <f t="shared" si="3"/>
        <v>9835.4616717325462</v>
      </c>
      <c r="H54" s="21">
        <f t="shared" si="3"/>
        <v>0</v>
      </c>
      <c r="I54" s="21">
        <f t="shared" si="3"/>
        <v>0</v>
      </c>
      <c r="J54" s="21">
        <f t="shared" si="3"/>
        <v>0</v>
      </c>
      <c r="K54" s="21">
        <f t="shared" si="3"/>
        <v>0</v>
      </c>
      <c r="L54" s="21">
        <f t="shared" si="3"/>
        <v>0</v>
      </c>
      <c r="M54" s="21">
        <f t="shared" si="3"/>
        <v>556.32300216835188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0.20391291128276573</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27.681655365039951</v>
      </c>
      <c r="C58" s="23">
        <f t="shared" ref="C58:P58" ca="1" si="4">C54*C56</f>
        <v>0</v>
      </c>
      <c r="D58" s="23">
        <f t="shared" si="4"/>
        <v>0</v>
      </c>
      <c r="E58" s="23">
        <f t="shared" si="4"/>
        <v>0</v>
      </c>
      <c r="F58" s="23">
        <f t="shared" si="4"/>
        <v>0</v>
      </c>
      <c r="G58" s="23">
        <f t="shared" si="4"/>
        <v>2626.0682663525899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10613.28792427404</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23122.418258384583</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N30</f>
        <v>2247.75</v>
      </c>
      <c r="C8" s="541">
        <f>B49</f>
        <v>2644.4117647058824</v>
      </c>
      <c r="D8" s="542"/>
      <c r="E8" s="542">
        <f>E49</f>
        <v>0</v>
      </c>
      <c r="F8" s="543"/>
      <c r="G8" s="544"/>
      <c r="H8" s="542">
        <f>I49</f>
        <v>0</v>
      </c>
      <c r="I8" s="542">
        <f>G49+F49</f>
        <v>0</v>
      </c>
      <c r="J8" s="542">
        <f>H49+D49+C49</f>
        <v>0</v>
      </c>
      <c r="K8" s="542"/>
      <c r="L8" s="542"/>
      <c r="M8" s="542"/>
      <c r="N8" s="545"/>
      <c r="O8" s="546">
        <f>C8*$C$12+D8*$D$12+E8*$E$12+F8*$F$12+G8*$G$12+H8*$H$12+I8*$I$12+J8*$J$12</f>
        <v>534.17117647058831</v>
      </c>
      <c r="P8" s="1269"/>
      <c r="Q8" s="1270"/>
      <c r="S8" s="536"/>
      <c r="T8" s="1266"/>
      <c r="U8" s="1266"/>
    </row>
    <row r="9" spans="1:21" s="527" customFormat="1" ht="17.45" customHeight="1" thickBot="1">
      <c r="A9" s="547" t="s">
        <v>236</v>
      </c>
      <c r="B9" s="548">
        <f>N37+'Eigen informatie GS &amp; warmtenet'!B12</f>
        <v>0</v>
      </c>
      <c r="C9" s="54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35983.456182658621</v>
      </c>
      <c r="C10" s="556">
        <f t="shared" ref="C10:L10" si="0">SUM(C8:C9)</f>
        <v>2644.4117647058824</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534.17117647058831</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O30</f>
        <v>3211.0714285714284</v>
      </c>
      <c r="C17" s="572">
        <f>B50</f>
        <v>3777.7310924369749</v>
      </c>
      <c r="D17" s="573"/>
      <c r="E17" s="573">
        <f>E50</f>
        <v>0</v>
      </c>
      <c r="F17" s="574"/>
      <c r="G17" s="575"/>
      <c r="H17" s="572">
        <f>I50</f>
        <v>0</v>
      </c>
      <c r="I17" s="573">
        <f>G50+F50</f>
        <v>0</v>
      </c>
      <c r="J17" s="573">
        <f>H50+D50+C50</f>
        <v>0</v>
      </c>
      <c r="K17" s="573"/>
      <c r="L17" s="573"/>
      <c r="M17" s="573"/>
      <c r="N17" s="964"/>
      <c r="O17" s="576">
        <f>C17*$C$22+E17*$E$22+H17*$H$22+I17*$I$22+J17*$J$22+D17*$D$22+F17*$F$22+G17*$G$22+K17*$K$22+L17*$L$22</f>
        <v>763.10168067226903</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3211.0714285714284</v>
      </c>
      <c r="C20" s="555">
        <f>SUM(C17:C19)</f>
        <v>3777.7310924369749</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763.10168067226903</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51" hidden="1">
      <c r="A28" s="585"/>
      <c r="B28" s="783">
        <v>34022</v>
      </c>
      <c r="C28" s="783">
        <v>8500</v>
      </c>
      <c r="D28" s="633"/>
      <c r="E28" s="632"/>
      <c r="F28" s="632"/>
      <c r="G28" s="632" t="s">
        <v>900</v>
      </c>
      <c r="H28" s="632" t="s">
        <v>901</v>
      </c>
      <c r="I28" s="632"/>
      <c r="J28" s="782"/>
      <c r="K28" s="782"/>
      <c r="L28" s="632" t="s">
        <v>902</v>
      </c>
      <c r="M28" s="632">
        <v>142.5</v>
      </c>
      <c r="N28" s="632">
        <v>641.25</v>
      </c>
      <c r="O28" s="632">
        <v>916.07142857142856</v>
      </c>
      <c r="P28" s="632">
        <v>1832.1428571428573</v>
      </c>
      <c r="Q28" s="632">
        <v>0</v>
      </c>
      <c r="R28" s="632">
        <v>0</v>
      </c>
      <c r="S28" s="632">
        <v>0</v>
      </c>
      <c r="T28" s="632">
        <v>0</v>
      </c>
      <c r="U28" s="632">
        <v>0</v>
      </c>
      <c r="V28" s="632">
        <v>0</v>
      </c>
      <c r="W28" s="632">
        <v>0</v>
      </c>
      <c r="X28" s="632">
        <v>1500</v>
      </c>
      <c r="Y28" s="632" t="s">
        <v>50</v>
      </c>
      <c r="Z28" s="634" t="s">
        <v>149</v>
      </c>
    </row>
    <row r="29" spans="1:26" s="586" customFormat="1" ht="25.5" hidden="1">
      <c r="A29" s="585"/>
      <c r="B29" s="783">
        <v>34022</v>
      </c>
      <c r="C29" s="783">
        <v>500</v>
      </c>
      <c r="D29" s="633"/>
      <c r="E29" s="632"/>
      <c r="F29" s="632"/>
      <c r="G29" s="632" t="s">
        <v>903</v>
      </c>
      <c r="H29" s="632" t="s">
        <v>901</v>
      </c>
      <c r="I29" s="632"/>
      <c r="J29" s="782"/>
      <c r="K29" s="782"/>
      <c r="L29" s="632" t="s">
        <v>904</v>
      </c>
      <c r="M29" s="632">
        <v>714</v>
      </c>
      <c r="N29" s="632">
        <v>1606.5</v>
      </c>
      <c r="O29" s="632">
        <v>2295</v>
      </c>
      <c r="P29" s="632">
        <v>4590</v>
      </c>
      <c r="Q29" s="632">
        <v>0</v>
      </c>
      <c r="R29" s="632">
        <v>0</v>
      </c>
      <c r="S29" s="632">
        <v>0</v>
      </c>
      <c r="T29" s="632">
        <v>0</v>
      </c>
      <c r="U29" s="632">
        <v>0</v>
      </c>
      <c r="V29" s="632">
        <v>0</v>
      </c>
      <c r="W29" s="632">
        <v>0</v>
      </c>
      <c r="X29" s="632">
        <v>1400</v>
      </c>
      <c r="Y29" s="632" t="s">
        <v>152</v>
      </c>
      <c r="Z29" s="634" t="s">
        <v>149</v>
      </c>
    </row>
    <row r="30" spans="1:26" s="566" customFormat="1" hidden="1">
      <c r="A30" s="588" t="s">
        <v>268</v>
      </c>
      <c r="B30" s="589"/>
      <c r="C30" s="589"/>
      <c r="D30" s="589"/>
      <c r="E30" s="589"/>
      <c r="F30" s="589"/>
      <c r="G30" s="589"/>
      <c r="H30" s="589"/>
      <c r="I30" s="589"/>
      <c r="J30" s="589"/>
      <c r="K30" s="589"/>
      <c r="L30" s="590"/>
      <c r="M30" s="590">
        <f>SUM(M28:M29)</f>
        <v>856.5</v>
      </c>
      <c r="N30" s="590">
        <f>SUM(N28:N29)</f>
        <v>2247.75</v>
      </c>
      <c r="O30" s="590">
        <f>SUM(O28:O29)</f>
        <v>3211.0714285714284</v>
      </c>
      <c r="P30" s="590">
        <f>SUM(P28:P29)</f>
        <v>6422.1428571428569</v>
      </c>
      <c r="Q30" s="590">
        <f>SUM(Q28:Q29)</f>
        <v>0</v>
      </c>
      <c r="R30" s="590">
        <f>SUM(R28:R29)</f>
        <v>0</v>
      </c>
      <c r="S30" s="590">
        <f>SUM(S28:S29)</f>
        <v>0</v>
      </c>
      <c r="T30" s="590">
        <f>SUM(T28:T29)</f>
        <v>0</v>
      </c>
      <c r="U30" s="590">
        <f>SUM(U28:U29)</f>
        <v>0</v>
      </c>
      <c r="V30" s="590">
        <f>SUM(V28:V29)</f>
        <v>0</v>
      </c>
      <c r="W30" s="590">
        <f>SUM(W28:W29)</f>
        <v>0</v>
      </c>
      <c r="X30" s="591"/>
      <c r="Y30" s="591"/>
      <c r="Z30" s="592"/>
    </row>
    <row r="31" spans="1:26" s="566" customFormat="1">
      <c r="A31" s="588" t="s">
        <v>275</v>
      </c>
      <c r="B31" s="589"/>
      <c r="C31" s="589"/>
      <c r="D31" s="589"/>
      <c r="E31" s="589"/>
      <c r="F31" s="589"/>
      <c r="G31" s="589"/>
      <c r="H31" s="589"/>
      <c r="I31" s="589"/>
      <c r="J31" s="589"/>
      <c r="K31" s="589"/>
      <c r="L31" s="590"/>
      <c r="M31" s="590">
        <f>SUMIF($Z$28:$Z$29,"industrie",M28:M29)</f>
        <v>0</v>
      </c>
      <c r="N31" s="590">
        <f>SUMIF($Z$28:$Z$29,"industrie",N28:N29)</f>
        <v>0</v>
      </c>
      <c r="O31" s="590">
        <f>SUMIF($Z$28:$Z$29,"industrie",O28:O29)</f>
        <v>0</v>
      </c>
      <c r="P31" s="590">
        <f>SUMIF($Z$28:$Z$29,"industrie",P28:P29)</f>
        <v>0</v>
      </c>
      <c r="Q31" s="590">
        <f>SUMIF($Z$28:$Z$29,"industrie",Q28:Q29)</f>
        <v>0</v>
      </c>
      <c r="R31" s="590">
        <f>SUMIF($Z$28:$Z$29,"industrie",R28:R29)</f>
        <v>0</v>
      </c>
      <c r="S31" s="590">
        <f>SUMIF($Z$28:$Z$29,"industrie",S28:S29)</f>
        <v>0</v>
      </c>
      <c r="T31" s="590">
        <f>SUMIF($Z$28:$Z$29,"industrie",T28:T29)</f>
        <v>0</v>
      </c>
      <c r="U31" s="590">
        <f>SUMIF($Z$28:$Z$29,"industrie",U28:U29)</f>
        <v>0</v>
      </c>
      <c r="V31" s="590">
        <f>SUMIF($Z$28:$Z$29,"industrie",V28:V29)</f>
        <v>0</v>
      </c>
      <c r="W31" s="590">
        <f>SUMIF($Z$28:$Z$29,"industrie",W28:W29)</f>
        <v>0</v>
      </c>
      <c r="X31" s="591"/>
      <c r="Y31" s="591"/>
      <c r="Z31" s="592"/>
    </row>
    <row r="32" spans="1:26" s="566" customFormat="1">
      <c r="A32" s="588" t="s">
        <v>276</v>
      </c>
      <c r="B32" s="589"/>
      <c r="C32" s="589"/>
      <c r="D32" s="589"/>
      <c r="E32" s="589"/>
      <c r="F32" s="589"/>
      <c r="G32" s="589"/>
      <c r="H32" s="589"/>
      <c r="I32" s="589"/>
      <c r="J32" s="589"/>
      <c r="K32" s="589"/>
      <c r="L32" s="590"/>
      <c r="M32" s="590">
        <f ca="1">SUMIF($Z$28:AC29,"tertiair",M28:M29)</f>
        <v>856.5</v>
      </c>
      <c r="N32" s="590">
        <f ca="1">SUMIF($Z$28:AD29,"tertiair",N28:N29)</f>
        <v>2247.75</v>
      </c>
      <c r="O32" s="590">
        <f ca="1">SUMIF($Z$28:AE29,"tertiair",O28:O29)</f>
        <v>3211.0714285714284</v>
      </c>
      <c r="P32" s="590">
        <f ca="1">SUMIF($Z$28:AF29,"tertiair",P28:P29)</f>
        <v>6422.1428571428569</v>
      </c>
      <c r="Q32" s="590">
        <f ca="1">SUMIF($Z$28:AG29,"tertiair",Q28:Q29)</f>
        <v>0</v>
      </c>
      <c r="R32" s="590">
        <f ca="1">SUMIF($Z$28:AH29,"tertiair",R28:R29)</f>
        <v>0</v>
      </c>
      <c r="S32" s="590">
        <f ca="1">SUMIF($Z$28:AI29,"tertiair",S28:S29)</f>
        <v>0</v>
      </c>
      <c r="T32" s="590">
        <f ca="1">SUMIF($Z$28:AJ29,"tertiair",T28:T29)</f>
        <v>0</v>
      </c>
      <c r="U32" s="590">
        <f ca="1">SUMIF($Z$28:AK29,"tertiair",U28:U29)</f>
        <v>0</v>
      </c>
      <c r="V32" s="590">
        <f ca="1">SUMIF($Z$28:AL29,"tertiair",V28:V29)</f>
        <v>0</v>
      </c>
      <c r="W32" s="590">
        <f ca="1">SUMIF($Z$28:AM29,"tertiair",W28:W29)</f>
        <v>0</v>
      </c>
      <c r="X32" s="591"/>
      <c r="Y32" s="591"/>
      <c r="Z32" s="592"/>
    </row>
    <row r="33" spans="1:27" s="566" customFormat="1" ht="15.75" thickBot="1">
      <c r="A33" s="593" t="s">
        <v>277</v>
      </c>
      <c r="B33" s="594"/>
      <c r="C33" s="594"/>
      <c r="D33" s="594"/>
      <c r="E33" s="594"/>
      <c r="F33" s="594"/>
      <c r="G33" s="594"/>
      <c r="H33" s="594"/>
      <c r="I33" s="594"/>
      <c r="J33" s="594"/>
      <c r="K33" s="594"/>
      <c r="L33" s="595"/>
      <c r="M33" s="595">
        <f>SUMIF($Z$28:$Z$29,"landbouw",M28:M29)</f>
        <v>0</v>
      </c>
      <c r="N33" s="595">
        <f>SUMIF($Z$28:$Z$29,"landbouw",N28:N29)</f>
        <v>0</v>
      </c>
      <c r="O33" s="595">
        <f>SUMIF($Z$28:$Z$29,"landbouw",O28:O29)</f>
        <v>0</v>
      </c>
      <c r="P33" s="595">
        <f>SUMIF($Z$28:$Z$29,"landbouw",P28:P29)</f>
        <v>0</v>
      </c>
      <c r="Q33" s="595">
        <f>SUMIF($Z$28:$Z$29,"landbouw",Q28:Q29)</f>
        <v>0</v>
      </c>
      <c r="R33" s="595">
        <f>SUMIF($Z$28:$Z$29,"landbouw",R28:R29)</f>
        <v>0</v>
      </c>
      <c r="S33" s="595">
        <f>SUMIF($Z$28:$Z$29,"landbouw",S28:S29)</f>
        <v>0</v>
      </c>
      <c r="T33" s="595">
        <f>SUMIF($Z$28:$Z$29,"landbouw",T28:T29)</f>
        <v>0</v>
      </c>
      <c r="U33" s="595">
        <f>SUMIF($Z$28:$Z$29,"landbouw",U28:U29)</f>
        <v>0</v>
      </c>
      <c r="V33" s="595">
        <f>SUMIF($Z$28:$Z$29,"landbouw",V28:V29)</f>
        <v>0</v>
      </c>
      <c r="W33" s="595">
        <f>SUMIF($Z$28:$Z$29,"landbouw",W28:W29)</f>
        <v>0</v>
      </c>
      <c r="X33" s="596"/>
      <c r="Y33" s="596"/>
      <c r="Z33" s="597"/>
    </row>
    <row r="34" spans="1:27" s="527" customFormat="1" ht="15.75" thickBot="1">
      <c r="A34" s="598"/>
      <c r="B34" s="599"/>
      <c r="C34" s="599"/>
      <c r="D34" s="599"/>
      <c r="E34" s="599"/>
      <c r="F34" s="599"/>
      <c r="G34" s="599"/>
      <c r="H34" s="599"/>
      <c r="I34" s="599"/>
      <c r="J34" s="599"/>
      <c r="K34" s="599"/>
      <c r="L34" s="582"/>
      <c r="M34" s="582"/>
      <c r="N34" s="582"/>
      <c r="O34" s="583"/>
      <c r="P34" s="583"/>
    </row>
    <row r="35" spans="1:27" s="527" customFormat="1" ht="45">
      <c r="A35" s="600" t="s">
        <v>269</v>
      </c>
      <c r="B35" s="629" t="s">
        <v>89</v>
      </c>
      <c r="C35" s="629" t="s">
        <v>90</v>
      </c>
      <c r="D35" s="629"/>
      <c r="E35" s="629"/>
      <c r="F35" s="629"/>
      <c r="G35" s="629" t="s">
        <v>91</v>
      </c>
      <c r="H35" s="629" t="s">
        <v>92</v>
      </c>
      <c r="I35" s="629"/>
      <c r="J35" s="629"/>
      <c r="K35" s="629"/>
      <c r="L35" s="629" t="s">
        <v>93</v>
      </c>
      <c r="M35" s="630" t="s">
        <v>286</v>
      </c>
      <c r="N35" s="630" t="s">
        <v>94</v>
      </c>
      <c r="O35" s="630" t="s">
        <v>95</v>
      </c>
      <c r="P35" s="630" t="s">
        <v>511</v>
      </c>
      <c r="Q35" s="630" t="s">
        <v>96</v>
      </c>
      <c r="R35" s="630" t="s">
        <v>97</v>
      </c>
      <c r="S35" s="630" t="s">
        <v>98</v>
      </c>
      <c r="T35" s="630" t="s">
        <v>99</v>
      </c>
      <c r="U35" s="630" t="s">
        <v>100</v>
      </c>
      <c r="V35" s="630" t="s">
        <v>101</v>
      </c>
      <c r="W35" s="629" t="s">
        <v>102</v>
      </c>
      <c r="X35" s="629" t="s">
        <v>287</v>
      </c>
      <c r="Y35" s="629" t="s">
        <v>103</v>
      </c>
      <c r="Z35" s="631" t="s">
        <v>288</v>
      </c>
    </row>
    <row r="36" spans="1:27" s="601" customFormat="1" ht="12.75" hidden="1">
      <c r="A36" s="587"/>
      <c r="B36" s="783"/>
      <c r="C36" s="783"/>
      <c r="D36" s="635"/>
      <c r="E36" s="635"/>
      <c r="F36" s="635"/>
      <c r="G36" s="635"/>
      <c r="H36" s="635"/>
      <c r="I36" s="635"/>
      <c r="J36" s="782"/>
      <c r="K36" s="782"/>
      <c r="L36" s="635"/>
      <c r="M36" s="635"/>
      <c r="N36" s="635"/>
      <c r="O36" s="635"/>
      <c r="P36" s="635"/>
      <c r="Q36" s="635"/>
      <c r="R36" s="635"/>
      <c r="S36" s="635"/>
      <c r="T36" s="635"/>
      <c r="U36" s="635"/>
      <c r="V36" s="635"/>
      <c r="W36" s="635"/>
      <c r="X36" s="635"/>
      <c r="Y36" s="635"/>
      <c r="Z36" s="636"/>
    </row>
    <row r="37" spans="1:27" s="566" customFormat="1" hidden="1">
      <c r="A37" s="588" t="s">
        <v>268</v>
      </c>
      <c r="B37" s="589"/>
      <c r="C37" s="589"/>
      <c r="D37" s="589"/>
      <c r="E37" s="589"/>
      <c r="F37" s="589"/>
      <c r="G37" s="589"/>
      <c r="H37" s="589"/>
      <c r="I37" s="589"/>
      <c r="J37" s="589"/>
      <c r="K37" s="589"/>
      <c r="L37" s="590"/>
      <c r="M37" s="590">
        <f>SUM(M36:M36)</f>
        <v>0</v>
      </c>
      <c r="N37" s="590">
        <f>SUM(N36:N36)</f>
        <v>0</v>
      </c>
      <c r="O37" s="590">
        <f>SUM(O36:O36)</f>
        <v>0</v>
      </c>
      <c r="P37" s="590">
        <f>SUM(P36:P36)</f>
        <v>0</v>
      </c>
      <c r="Q37" s="590">
        <f>SUM(Q36:Q36)</f>
        <v>0</v>
      </c>
      <c r="R37" s="590">
        <f>SUM(R36:R36)</f>
        <v>0</v>
      </c>
      <c r="S37" s="590">
        <f>SUM(S36:S36)</f>
        <v>0</v>
      </c>
      <c r="T37" s="590">
        <f>SUM(T36:T36)</f>
        <v>0</v>
      </c>
      <c r="U37" s="590">
        <f>SUM(U36:U36)</f>
        <v>0</v>
      </c>
      <c r="V37" s="590">
        <f>SUM(V36:V36)</f>
        <v>0</v>
      </c>
      <c r="W37" s="590">
        <f>SUM(W36:W36)</f>
        <v>0</v>
      </c>
      <c r="X37" s="591"/>
      <c r="Y37" s="591"/>
      <c r="Z37" s="592"/>
    </row>
    <row r="38" spans="1:27" s="566" customFormat="1">
      <c r="A38" s="588" t="s">
        <v>275</v>
      </c>
      <c r="B38" s="589"/>
      <c r="C38" s="589"/>
      <c r="D38" s="589"/>
      <c r="E38" s="589"/>
      <c r="F38" s="589"/>
      <c r="G38" s="589"/>
      <c r="H38" s="589"/>
      <c r="I38" s="589"/>
      <c r="J38" s="589"/>
      <c r="K38" s="589"/>
      <c r="L38" s="590"/>
      <c r="M38" s="590">
        <f>SUMIF($Z$36:$Z$36,"industrie",M36:M36)</f>
        <v>0</v>
      </c>
      <c r="N38" s="590">
        <f>SUMIF($Z$36:$Z$36,"industrie",N36:N36)</f>
        <v>0</v>
      </c>
      <c r="O38" s="590">
        <f>SUMIF($Z$36:$Z$36,"industrie",O36:O36)</f>
        <v>0</v>
      </c>
      <c r="P38" s="590">
        <f>SUMIF($Z$36:$Z$36,"industrie",P36:P36)</f>
        <v>0</v>
      </c>
      <c r="Q38" s="590">
        <f>SUMIF($Z$36:$Z$36,"industrie",Q36:Q36)</f>
        <v>0</v>
      </c>
      <c r="R38" s="590">
        <f>SUMIF($Z$36:$Z$36,"industrie",R36:R36)</f>
        <v>0</v>
      </c>
      <c r="S38" s="590">
        <f>SUMIF($Z$36:$Z$36,"industrie",S36:S36)</f>
        <v>0</v>
      </c>
      <c r="T38" s="590">
        <f>SUMIF($Z$36:$Z$36,"industrie",T36:T36)</f>
        <v>0</v>
      </c>
      <c r="U38" s="590">
        <f>SUMIF($Z$36:$Z$36,"industrie",U36:U36)</f>
        <v>0</v>
      </c>
      <c r="V38" s="590">
        <f>SUMIF($Z$36:$Z$36,"industrie",V36:V36)</f>
        <v>0</v>
      </c>
      <c r="W38" s="590">
        <f>SUMIF($Z$36:$Z$36,"industrie",W36:W36)</f>
        <v>0</v>
      </c>
      <c r="X38" s="591"/>
      <c r="Y38" s="591"/>
      <c r="Z38" s="592"/>
    </row>
    <row r="39" spans="1:27" s="566" customFormat="1">
      <c r="A39" s="588" t="s">
        <v>276</v>
      </c>
      <c r="B39" s="589"/>
      <c r="C39" s="589"/>
      <c r="D39" s="589"/>
      <c r="E39" s="589"/>
      <c r="F39" s="589"/>
      <c r="G39" s="589"/>
      <c r="H39" s="589"/>
      <c r="I39" s="589"/>
      <c r="J39" s="589"/>
      <c r="K39" s="589"/>
      <c r="L39" s="590"/>
      <c r="M39" s="590">
        <f>SUMIF($Z$36:$Z$37,"tertiair",M36:M37)</f>
        <v>0</v>
      </c>
      <c r="N39" s="590">
        <f>SUMIF($Z$36:$Z$37,"tertiair",N36:N37)</f>
        <v>0</v>
      </c>
      <c r="O39" s="590">
        <f>SUMIF($Z$36:$Z$37,"tertiair",O36:O37)</f>
        <v>0</v>
      </c>
      <c r="P39" s="590">
        <f>SUMIF($Z$36:$Z$37,"tertiair",P36:P37)</f>
        <v>0</v>
      </c>
      <c r="Q39" s="590">
        <f>SUMIF($Z$36:$Z$37,"tertiair",Q36:Q37)</f>
        <v>0</v>
      </c>
      <c r="R39" s="590">
        <f>SUMIF($Z$36:$Z$37,"tertiair",R36:R37)</f>
        <v>0</v>
      </c>
      <c r="S39" s="590">
        <f>SUMIF($Z$36:$Z$37,"tertiair",S36:S37)</f>
        <v>0</v>
      </c>
      <c r="T39" s="590">
        <f>SUMIF($Z$36:$Z$37,"tertiair",T36:T37)</f>
        <v>0</v>
      </c>
      <c r="U39" s="590">
        <f>SUMIF($Z$36:$Z$37,"tertiair",U36:U37)</f>
        <v>0</v>
      </c>
      <c r="V39" s="590">
        <f>SUMIF($Z$36:$Z$37,"tertiair",V36:V37)</f>
        <v>0</v>
      </c>
      <c r="W39" s="590">
        <f>SUMIF($Z$36:$Z$37,"tertiair",W36:W37)</f>
        <v>0</v>
      </c>
      <c r="X39" s="591"/>
      <c r="Y39" s="591"/>
      <c r="Z39" s="592"/>
    </row>
    <row r="40" spans="1:27" s="566" customFormat="1" ht="15.75" thickBot="1">
      <c r="A40" s="593" t="s">
        <v>277</v>
      </c>
      <c r="B40" s="594"/>
      <c r="C40" s="594"/>
      <c r="D40" s="594"/>
      <c r="E40" s="594"/>
      <c r="F40" s="594"/>
      <c r="G40" s="594"/>
      <c r="H40" s="594"/>
      <c r="I40" s="594"/>
      <c r="J40" s="594"/>
      <c r="K40" s="594"/>
      <c r="L40" s="595"/>
      <c r="M40" s="595">
        <f>SUMIF($Z$36:$Z$38,"landbouw",M36:M38)</f>
        <v>0</v>
      </c>
      <c r="N40" s="595">
        <f>SUMIF($Z$36:$Z$38,"landbouw",N36:N38)</f>
        <v>0</v>
      </c>
      <c r="O40" s="595">
        <f>SUMIF($Z$36:$Z$38,"landbouw",O36:O38)</f>
        <v>0</v>
      </c>
      <c r="P40" s="595">
        <f>SUMIF($Z$36:$Z$38,"landbouw",P36:P38)</f>
        <v>0</v>
      </c>
      <c r="Q40" s="595">
        <f>SUMIF($Z$36:$Z$38,"landbouw",Q36:Q38)</f>
        <v>0</v>
      </c>
      <c r="R40" s="595">
        <f>SUMIF($Z$36:$Z$38,"landbouw",R36:R38)</f>
        <v>0</v>
      </c>
      <c r="S40" s="595">
        <f>SUMIF($Z$36:$Z$38,"landbouw",S36:S38)</f>
        <v>0</v>
      </c>
      <c r="T40" s="595">
        <f>SUMIF($Z$36:$Z$38,"landbouw",T36:T38)</f>
        <v>0</v>
      </c>
      <c r="U40" s="595">
        <f>SUMIF($Z$36:$Z$38,"landbouw",U36:U38)</f>
        <v>0</v>
      </c>
      <c r="V40" s="595">
        <f>SUMIF($Z$36:$Z$38,"landbouw",V36:V38)</f>
        <v>0</v>
      </c>
      <c r="W40" s="595">
        <f>SUMIF($Z$36:$Z$38,"landbouw",W36:W38)</f>
        <v>0</v>
      </c>
      <c r="X40" s="596"/>
      <c r="Y40" s="596"/>
      <c r="Z40" s="597"/>
    </row>
    <row r="41" spans="1:27" s="602" customForma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row>
    <row r="42" spans="1:27" s="602" customFormat="1" ht="15.75" thickBot="1">
      <c r="A42" s="598"/>
      <c r="B42" s="582"/>
      <c r="C42" s="582"/>
      <c r="D42" s="582"/>
      <c r="E42" s="582"/>
      <c r="F42" s="582"/>
      <c r="G42" s="582"/>
      <c r="H42" s="582"/>
      <c r="I42" s="582"/>
      <c r="J42" s="582"/>
      <c r="K42" s="582"/>
      <c r="L42" s="582"/>
      <c r="M42" s="582"/>
      <c r="N42" s="582"/>
      <c r="O42" s="582"/>
      <c r="P42" s="582"/>
      <c r="Q42" s="582"/>
      <c r="R42" s="582"/>
      <c r="S42" s="582"/>
      <c r="T42" s="582"/>
      <c r="U42" s="582"/>
      <c r="V42" s="582"/>
      <c r="W42" s="582"/>
      <c r="X42" s="582"/>
      <c r="Y42" s="582"/>
      <c r="Z42" s="582"/>
      <c r="AA42" s="582"/>
    </row>
    <row r="43" spans="1:27">
      <c r="A43" s="603" t="s">
        <v>270</v>
      </c>
      <c r="B43" s="604"/>
      <c r="C43" s="604"/>
      <c r="D43" s="604"/>
      <c r="E43" s="604"/>
      <c r="F43" s="604"/>
      <c r="G43" s="604"/>
      <c r="H43" s="604"/>
      <c r="I43" s="605"/>
      <c r="J43" s="606"/>
      <c r="K43" s="606"/>
      <c r="L43" s="607"/>
      <c r="M43" s="607"/>
      <c r="N43" s="607"/>
      <c r="O43" s="607"/>
      <c r="P43" s="607"/>
    </row>
    <row r="44" spans="1:27">
      <c r="A44" s="609"/>
      <c r="B44" s="599"/>
      <c r="C44" s="599"/>
      <c r="D44" s="599"/>
      <c r="E44" s="599"/>
      <c r="F44" s="599"/>
      <c r="G44" s="599"/>
      <c r="H44" s="599"/>
      <c r="I44" s="610"/>
      <c r="J44" s="599"/>
      <c r="K44" s="599"/>
      <c r="L44" s="607"/>
      <c r="M44" s="607"/>
      <c r="N44" s="607"/>
      <c r="O44" s="607"/>
      <c r="P44" s="607"/>
    </row>
    <row r="45" spans="1:27">
      <c r="A45" s="611"/>
      <c r="B45" s="612" t="s">
        <v>271</v>
      </c>
      <c r="C45" s="612" t="s">
        <v>272</v>
      </c>
      <c r="D45" s="612"/>
      <c r="E45" s="612"/>
      <c r="F45" s="612"/>
      <c r="G45" s="612"/>
      <c r="H45" s="612"/>
      <c r="I45" s="613"/>
      <c r="J45" s="612"/>
      <c r="K45" s="612"/>
      <c r="L45" s="612"/>
      <c r="M45" s="612"/>
      <c r="N45" s="612"/>
      <c r="O45" s="612"/>
      <c r="P45" s="607"/>
    </row>
    <row r="46" spans="1:27">
      <c r="A46" s="609" t="s">
        <v>268</v>
      </c>
      <c r="B46" s="614">
        <f>IF(ISERROR(O30/(O30+N30)),0,O30/(O30+N30))</f>
        <v>0.58823529411764708</v>
      </c>
      <c r="C46" s="615">
        <f>IF(ISERROR(N30/(O30+N30)),0,N30/(N30+O30))</f>
        <v>0.41176470588235298</v>
      </c>
      <c r="D46" s="582"/>
      <c r="E46" s="582"/>
      <c r="F46" s="582"/>
      <c r="G46" s="582"/>
      <c r="H46" s="582"/>
      <c r="I46" s="616"/>
      <c r="J46" s="582"/>
      <c r="K46" s="582"/>
      <c r="L46" s="617"/>
      <c r="M46" s="617"/>
      <c r="N46" s="617"/>
      <c r="O46" s="617"/>
      <c r="P46" s="607"/>
    </row>
    <row r="47" spans="1:27">
      <c r="A47" s="609"/>
      <c r="B47" s="618"/>
      <c r="C47" s="618"/>
      <c r="D47" s="618"/>
      <c r="E47" s="618"/>
      <c r="F47" s="618"/>
      <c r="G47" s="618"/>
      <c r="H47" s="618"/>
      <c r="I47" s="619"/>
      <c r="J47" s="618"/>
      <c r="K47" s="618"/>
      <c r="L47" s="620"/>
      <c r="M47" s="620"/>
      <c r="N47" s="620"/>
      <c r="O47" s="620"/>
      <c r="P47" s="607"/>
    </row>
    <row r="48" spans="1:27" ht="30">
      <c r="A48" s="621"/>
      <c r="B48" s="622" t="s">
        <v>511</v>
      </c>
      <c r="C48" s="622" t="s">
        <v>96</v>
      </c>
      <c r="D48" s="622" t="s">
        <v>97</v>
      </c>
      <c r="E48" s="622" t="s">
        <v>98</v>
      </c>
      <c r="F48" s="622" t="s">
        <v>99</v>
      </c>
      <c r="G48" s="622" t="s">
        <v>100</v>
      </c>
      <c r="H48" s="622" t="s">
        <v>101</v>
      </c>
      <c r="I48" s="623" t="s">
        <v>102</v>
      </c>
      <c r="J48" s="612"/>
      <c r="K48" s="612"/>
      <c r="L48" s="620"/>
      <c r="M48" s="620"/>
      <c r="N48" s="620"/>
      <c r="O48" s="607"/>
      <c r="P48" s="607"/>
    </row>
    <row r="49" spans="1:16">
      <c r="A49" s="611" t="s">
        <v>273</v>
      </c>
      <c r="B49" s="624">
        <f t="shared" ref="B49:I49" si="2">$C$46*P30</f>
        <v>2644.4117647058824</v>
      </c>
      <c r="C49" s="624">
        <f t="shared" si="2"/>
        <v>0</v>
      </c>
      <c r="D49" s="624">
        <f t="shared" si="2"/>
        <v>0</v>
      </c>
      <c r="E49" s="624">
        <f t="shared" si="2"/>
        <v>0</v>
      </c>
      <c r="F49" s="624">
        <f t="shared" si="2"/>
        <v>0</v>
      </c>
      <c r="G49" s="624">
        <f t="shared" si="2"/>
        <v>0</v>
      </c>
      <c r="H49" s="624">
        <f t="shared" si="2"/>
        <v>0</v>
      </c>
      <c r="I49" s="625">
        <f t="shared" si="2"/>
        <v>0</v>
      </c>
      <c r="J49" s="582"/>
      <c r="K49" s="582"/>
      <c r="L49" s="620"/>
      <c r="M49" s="620"/>
      <c r="N49" s="620"/>
      <c r="O49" s="607"/>
      <c r="P49" s="607"/>
    </row>
    <row r="50" spans="1:16" ht="15.75" thickBot="1">
      <c r="A50" s="626" t="s">
        <v>274</v>
      </c>
      <c r="B50" s="627">
        <f t="shared" ref="B50:I50" si="3">$B$46*P30</f>
        <v>3777.7310924369749</v>
      </c>
      <c r="C50" s="627">
        <f t="shared" si="3"/>
        <v>0</v>
      </c>
      <c r="D50" s="627">
        <f t="shared" si="3"/>
        <v>0</v>
      </c>
      <c r="E50" s="627">
        <f t="shared" si="3"/>
        <v>0</v>
      </c>
      <c r="F50" s="627">
        <f t="shared" si="3"/>
        <v>0</v>
      </c>
      <c r="G50" s="627">
        <f t="shared" si="3"/>
        <v>0</v>
      </c>
      <c r="H50" s="627">
        <f t="shared" si="3"/>
        <v>0</v>
      </c>
      <c r="I50" s="628">
        <f t="shared" si="3"/>
        <v>0</v>
      </c>
      <c r="J50" s="582"/>
      <c r="K50" s="582"/>
      <c r="L50" s="620"/>
      <c r="M50" s="620"/>
      <c r="N50" s="620"/>
      <c r="O50" s="607"/>
      <c r="P50" s="607"/>
    </row>
    <row r="51" spans="1:16">
      <c r="J51" s="562"/>
      <c r="K51" s="562"/>
      <c r="L51" s="562"/>
      <c r="M51" s="562"/>
      <c r="N51" s="562"/>
    </row>
    <row r="52" spans="1:16">
      <c r="J52" s="562"/>
      <c r="K52" s="562"/>
      <c r="L52" s="562"/>
      <c r="M52" s="562"/>
      <c r="N52"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2021-11-11T12:39:36Z</dcterms:modified>
</cp:coreProperties>
</file>