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D9FBB5C3-D2A6-4A0D-9252-4911AB03EE3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D8" i="22" l="1"/>
  <c r="D6"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<sst xmlns="http://schemas.openxmlformats.org/spreadsheetml/2006/main" count="2472" uniqueCount="900">
  <si>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</si>
  <si>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</si>
  <si>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</si>
  <si>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</si>
  <si>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</si>
  <si>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</si>
  <si>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</si>
  <si>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</si>
  <si>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</si>
  <si>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</si>
  <si>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</si>
  <si>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</si>
  <si>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</si>
  <si>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</si>
  <si>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</si>
  <si>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</si>
  <si>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</si>
  <si>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</si>
  <si>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</si>
  <si>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</si>
  <si>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</si>
  <si>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</si>
  <si>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</si>
  <si>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</si>
  <si>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</si>
  <si>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</si>
  <si>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</si>
  <si>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</si>
  <si>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</si>
  <si>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</si>
  <si>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</si>
  <si>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</si>
  <si>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</si>
  <si>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</si>
  <si>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</si>
  <si>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</si>
  <si>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</si>
  <si>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</si>
  <si>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</si>
  <si>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</si>
  <si>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</si>
  <si>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</si>
  <si>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</si>
  <si>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</si>
  <si>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</si>
  <si>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</si>
  <si>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</si>
  <si>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</si>
  <si>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</si>
  <si>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</si>
  <si>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</si>
  <si>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</si>
  <si>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</si>
  <si>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</si>
  <si>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</si>
  <si>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</si>
  <si>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</si>
  <si>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</si>
  <si>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</si>
  <si>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</si>
  <si>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</si>
  <si>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</si>
  <si>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</si>
  <si>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</si>
  <si>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</si>
  <si>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</si>
  <si>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</si>
  <si>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</si>
  <si>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</si>
  <si>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</si>
  <si>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</si>
  <si>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</si>
  <si>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</si>
  <si>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</si>
  <si>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</si>
  <si>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</si>
  <si>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</si>
  <si>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</si>
  <si>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</si>
  <si>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</si>
  <si>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</si>
  <si>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</si>
  <si>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</si>
  <si>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</si>
  <si>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</si>
  <si>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</si>
  <si>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</si>
  <si>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</si>
  <si>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</si>
  <si>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</si>
  <si>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</si>
  <si>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</si>
  <si>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</si>
  <si>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</si>
  <si>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</si>
  <si>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</si>
  <si>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</si>
  <si>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</si>
  <si>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</si>
  <si>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</si>
  <si>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</si>
  <si>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</si>
  <si>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</si>
  <si>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</si>
  <si>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</si>
  <si>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</si>
  <si>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</si>
  <si>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</si>
  <si>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</si>
  <si>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</si>
  <si>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</si>
  <si>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</si>
  <si>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</si>
  <si>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</si>
  <si>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</si>
  <si>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</si>
  <si>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</si>
  <si>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</si>
  <si>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</si>
  <si>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</si>
  <si>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</si>
  <si>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</si>
  <si>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</si>
  <si>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</si>
  <si>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</si>
  <si>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</si>
  <si>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</si>
  <si>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</si>
  <si>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</si>
  <si>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</si>
  <si>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</si>
  <si>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</si>
  <si>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</si>
  <si>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</si>
  <si>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</si>
  <si>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</si>
  <si>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</si>
  <si>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</si>
  <si>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</si>
  <si>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</si>
  <si>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</si>
  <si>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</si>
  <si>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</si>
  <si>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</si>
  <si>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</si>
  <si>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</si>
  <si>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</si>
  <si>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</si>
  <si>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</si>
  <si>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</si>
  <si>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</si>
  <si>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</si>
  <si>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</si>
  <si>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</si>
  <si>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</si>
  <si>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</si>
  <si>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</si>
  <si>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</si>
  <si>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</si>
  <si>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</si>
  <si>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</si>
  <si>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</si>
  <si>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</si>
  <si>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</si>
  <si>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</si>
  <si>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</si>
  <si>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</si>
  <si>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</si>
  <si>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</si>
  <si>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</si>
  <si>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</si>
  <si>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</si>
  <si>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</si>
  <si>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</si>
  <si>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</si>
  <si>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</si>
  <si>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</si>
  <si>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</si>
  <si>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</si>
  <si>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</si>
  <si>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</si>
  <si>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</si>
  <si>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</si>
  <si>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</si>
  <si>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</si>
  <si>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</si>
  <si>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</si>
  <si>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</si>
  <si>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</si>
  <si>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</si>
  <si>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</si>
  <si>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</si>
  <si>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</si>
  <si>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</si>
  <si>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</si>
  <si>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</si>
  <si>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</si>
  <si>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</si>
  <si>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</si>
  <si>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</si>
  <si>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</si>
  <si>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</si>
  <si>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</si>
  <si>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</si>
  <si>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</si>
  <si>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</si>
  <si>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</si>
  <si>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</si>
  <si>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</si>
  <si>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</si>
  <si>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</si>
  <si>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</si>
  <si>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</si>
  <si>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</si>
  <si>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</si>
  <si>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</si>
  <si>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</si>
  <si>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</si>
  <si>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</si>
  <si>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</si>
  <si>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</si>
  <si>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</si>
  <si>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</si>
  <si>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</si>
  <si>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</si>
  <si>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</si>
  <si>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</si>
  <si>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</si>
  <si>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</si>
  <si>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</si>
  <si>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</si>
  <si>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</si>
  <si>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</si>
  <si>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</si>
  <si>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</si>
  <si>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</si>
  <si>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</si>
  <si>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</si>
  <si>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</si>
  <si>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</si>
  <si>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</si>
  <si>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</si>
  <si>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</si>
  <si>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</si>
  <si>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</si>
  <si>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</si>
  <si>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</si>
  <si>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</si>
  <si>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</si>
  <si>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</si>
  <si>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</si>
  <si>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</si>
  <si>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</si>
  <si>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</si>
  <si>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</si>
  <si>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</si>
  <si>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</si>
  <si>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</si>
  <si>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</si>
  <si>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</si>
  <si>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</si>
  <si>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</si>
  <si>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</si>
  <si>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</si>
  <si>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</si>
  <si>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</si>
  <si>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</si>
  <si>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</si>
  <si>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</si>
  <si>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</si>
  <si>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</si>
  <si>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</si>
  <si>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</si>
  <si>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</si>
  <si>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</si>
  <si>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</si>
  <si>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</si>
  <si>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</si>
  <si>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</si>
  <si>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</si>
  <si>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</si>
  <si>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</si>
  <si>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</si>
  <si>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</si>
  <si>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</si>
  <si>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</si>
  <si>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</si>
  <si>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</si>
  <si>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</si>
  <si>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</si>
  <si>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</si>
  <si>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</si>
  <si>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</si>
  <si>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</si>
  <si>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</si>
  <si>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</si>
  <si>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</si>
  <si>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</si>
  <si>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</si>
  <si>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</si>
  <si>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</si>
  <si>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</si>
  <si>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</si>
  <si>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</si>
  <si>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</si>
  <si>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</si>
  <si>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</si>
  <si>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</si>
  <si>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</si>
  <si>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</si>
  <si>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</si>
  <si>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</si>
  <si>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</si>
  <si>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</si>
  <si>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</si>
  <si>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</si>
  <si>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</si>
  <si>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</si>
  <si>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</si>
  <si>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</si>
  <si>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</si>
  <si>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</si>
  <si>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</si>
  <si>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</si>
  <si>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</si>
  <si>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</si>
  <si>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</si>
  <si>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</si>
  <si>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</si>
  <si>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</si>
  <si>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</si>
  <si>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</si>
  <si>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</si>
  <si>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</si>
  <si>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</si>
  <si>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</si>
  <si>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</si>
  <si>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</si>
  <si>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</si>
  <si>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</si>
  <si>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</si>
  <si>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</si>
  <si>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</si>
  <si>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</si>
  <si>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</si>
  <si>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</si>
  <si>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</si>
  <si>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</si>
  <si>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</si>
  <si>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</si>
  <si>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</si>
  <si>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</si>
  <si>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</si>
  <si>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</si>
  <si>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</si>
  <si>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</si>
  <si>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</si>
  <si>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</si>
  <si>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</si>
  <si>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</si>
  <si>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</si>
  <si>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</si>
  <si>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</si>
  <si>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</si>
  <si>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</si>
  <si>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</si>
  <si>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</si>
  <si>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</si>
  <si>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</si>
  <si>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</si>
  <si>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</si>
  <si>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</si>
  <si>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</si>
  <si>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</si>
  <si>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</si>
  <si>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</si>
  <si>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</si>
  <si>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</si>
  <si>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</si>
  <si>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</si>
  <si>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</si>
  <si>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</si>
  <si>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</si>
  <si>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</si>
  <si>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</si>
  <si>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</si>
  <si>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</si>
  <si>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</si>
  <si>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</si>
  <si>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</si>
  <si>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</si>
  <si>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</si>
  <si>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</si>
  <si>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</si>
  <si>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</si>
  <si>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</si>
  <si>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</si>
  <si>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</si>
  <si>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</si>
  <si>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</si>
  <si>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</si>
  <si>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</si>
  <si>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</si>
  <si>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</si>
  <si>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</si>
  <si>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</si>
  <si>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</si>
  <si>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</si>
  <si>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</si>
  <si>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</si>
  <si>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</si>
  <si>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</si>
  <si>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</si>
  <si>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</si>
  <si>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</si>
  <si>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</si>
  <si>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</si>
  <si>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</si>
  <si>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</si>
  <si>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</si>
  <si>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</si>
  <si>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</si>
  <si>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</si>
  <si>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</si>
  <si>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</si>
  <si>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</si>
  <si>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</si>
  <si>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</si>
  <si>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</si>
  <si>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</si>
  <si>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</si>
  <si>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</si>
  <si>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</si>
  <si>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</si>
  <si>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</si>
  <si>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</si>
  <si>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</si>
  <si>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</si>
  <si>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</si>
  <si>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</si>
  <si>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</si>
  <si>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</si>
  <si>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</si>
  <si>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</si>
  <si>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</si>
  <si>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</si>
  <si>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</si>
  <si>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</si>
  <si>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</si>
  <si>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</si>
  <si>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</si>
  <si>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</si>
  <si>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</si>
  <si>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</si>
  <si>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</si>
  <si>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</si>
  <si>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</si>
  <si>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</si>
  <si>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</si>
  <si>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</si>
  <si>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</si>
  <si>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</si>
  <si>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</si>
  <si>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</si>
  <si>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</si>
  <si>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</si>
  <si>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</si>
  <si>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</si>
  <si>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</si>
  <si>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</si>
  <si>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</si>
  <si>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</si>
  <si>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</si>
  <si>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</si>
  <si>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</si>
  <si>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</si>
  <si>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</si>
  <si>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</si>
  <si>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</si>
  <si>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</si>
  <si>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</si>
  <si>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</si>
  <si>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</si>
  <si>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</si>
  <si>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</si>
  <si>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</si>
  <si>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</si>
  <si>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</si>
  <si>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</si>
  <si>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</si>
  <si>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</si>
  <si>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</si>
  <si>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</si>
  <si>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</si>
  <si>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</si>
  <si>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</si>
  <si>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</si>
  <si>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</si>
  <si>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</si>
  <si>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</si>
  <si>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</si>
  <si>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</si>
  <si>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</si>
  <si>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</si>
  <si>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</si>
  <si>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</si>
  <si>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</si>
  <si>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</si>
  <si>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</si>
  <si>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</si>
  <si>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</si>
  <si>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</si>
  <si>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</si>
  <si>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</si>
  <si>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</si>
  <si>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</si>
  <si>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</si>
  <si>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</si>
  <si>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</si>
  <si>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</si>
  <si>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</si>
  <si>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</si>
  <si>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</si>
  <si>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</si>
  <si>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</si>
  <si>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</si>
  <si>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</si>
  <si>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</si>
  <si>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</si>
  <si>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</si>
  <si>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</si>
  <si>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</si>
  <si>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</si>
  <si>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</si>
  <si>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</si>
  <si>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</si>
  <si>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</si>
  <si>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</si>
  <si>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</si>
  <si>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</si>
  <si>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</si>
  <si>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</si>
  <si>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</si>
  <si>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</si>
  <si>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</si>
  <si>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</si>
  <si>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</si>
  <si>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</si>
  <si>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</si>
  <si>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</si>
  <si>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</si>
  <si>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</si>
  <si>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</si>
  <si>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</si>
  <si>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</si>
  <si>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</si>
  <si>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</si>
  <si>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</si>
  <si>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</si>
  <si>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</si>
  <si>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</si>
  <si>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</si>
  <si>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</si>
  <si>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</si>
  <si>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</si>
  <si>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</si>
  <si>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</si>
  <si>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</si>
  <si>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</si>
  <si>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</si>
  <si>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</si>
  <si>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</si>
  <si>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</si>
  <si>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</si>
  <si>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</si>
  <si>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</si>
  <si>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</si>
  <si>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</si>
  <si>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</si>
  <si>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</si>
  <si>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</si>
  <si>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</si>
  <si>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</si>
  <si>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</si>
  <si>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</si>
  <si>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</si>
  <si>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</si>
  <si>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</si>
  <si>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</si>
  <si>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</si>
  <si>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</si>
  <si>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</si>
  <si>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</si>
  <si>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</si>
  <si>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</si>
  <si>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</si>
  <si>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</si>
  <si>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</si>
  <si>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</si>
  <si>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</si>
  <si>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</si>
  <si>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</si>
  <si>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</si>
  <si>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</si>
  <si>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</si>
  <si>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</si>
  <si>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</si>
  <si>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</si>
  <si>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</si>
  <si>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</si>
  <si>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</si>
  <si>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</si>
  <si>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</si>
  <si>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</si>
  <si>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</si>
  <si>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</si>
  <si>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</si>
  <si>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</si>
  <si>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</si>
  <si>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</si>
  <si>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</si>
  <si>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</si>
  <si>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</si>
  <si>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</si>
  <si>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</si>
  <si>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</si>
  <si>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</si>
  <si>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</si>
  <si>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</si>
  <si>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</si>
  <si>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</si>
  <si>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</si>
  <si>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</si>
  <si>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</si>
  <si>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</si>
  <si>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</si>
  <si>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</si>
  <si>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</si>
  <si>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</si>
  <si>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</si>
  <si>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</si>
  <si>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</si>
  <si>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</si>
  <si>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</si>
  <si>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</si>
  <si>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</si>
  <si>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</si>
  <si>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</si>
  <si>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</si>
  <si>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</si>
  <si>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</si>
  <si>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</si>
  <si>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</si>
  <si>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</si>
  <si>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</si>
  <si>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</si>
  <si>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</si>
  <si>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</si>
  <si>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</si>
  <si>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</si>
  <si>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</si>
  <si>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</si>
  <si>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</si>
  <si>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</si>
  <si>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</si>
  <si>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</si>
  <si>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</si>
  <si>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</si>
  <si>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</si>
  <si>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</si>
  <si>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</si>
  <si>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</si>
  <si>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</si>
  <si>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</si>
  <si>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</si>
  <si>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</si>
  <si>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</si>
  <si>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</si>
  <si>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</si>
  <si>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</si>
  <si>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</si>
  <si>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</si>
  <si>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</si>
  <si>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</si>
  <si>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</si>
  <si>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</si>
  <si>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</si>
  <si>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</si>
  <si>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</si>
  <si>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</si>
  <si>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</si>
  <si>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</si>
  <si>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</si>
  <si>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</si>
  <si>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</si>
  <si>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</si>
  <si>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</si>
  <si>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</si>
  <si>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</si>
  <si>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</si>
  <si>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</si>
  <si>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</si>
  <si>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</si>
  <si>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</si>
  <si>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</si>
  <si>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</si>
  <si>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</si>
  <si>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</si>
  <si>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</si>
  <si>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</si>
  <si>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</si>
  <si>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</si>
  <si>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</si>
  <si>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</si>
  <si>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</si>
  <si>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</si>
  <si>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</si>
  <si>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</si>
  <si>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</si>
  <si>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</si>
  <si>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</si>
  <si>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</si>
  <si>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</si>
  <si>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</si>
  <si>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</si>
  <si>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</si>
  <si>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</si>
  <si>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</si>
  <si>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</si>
  <si>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</si>
  <si>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</si>
  <si>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</si>
  <si>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</si>
  <si>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</si>
  <si>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</si>
  <si>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</si>
  <si>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</si>
  <si>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</si>
  <si>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</si>
  <si>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</si>
  <si>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</si>
  <si>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</si>
  <si>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</si>
  <si>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</si>
  <si>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</si>
  <si>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</si>
  <si>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</si>
  <si>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</si>
  <si>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</si>
  <si>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</si>
  <si>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</si>
  <si>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</si>
  <si>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</si>
  <si>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</si>
  <si>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</si>
  <si>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</si>
  <si>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</si>
  <si>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</si>
  <si>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</si>
  <si>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</si>
  <si>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</si>
  <si>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</si>
  <si>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</si>
  <si>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</si>
  <si>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</si>
  <si>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</si>
  <si>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</si>
  <si>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</si>
  <si>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</si>
  <si>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</si>
  <si>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</si>
  <si>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</si>
  <si>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</si>
  <si>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</si>
  <si>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</si>
  <si>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</si>
  <si>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</si>
  <si>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</si>
  <si>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</si>
  <si>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</si>
  <si>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</si>
  <si>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</si>
  <si>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</si>
  <si>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</si>
  <si>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</si>
  <si>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</si>
  <si>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</si>
  <si>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</si>
  <si>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</si>
  <si>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</si>
  <si>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</si>
  <si>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</si>
  <si>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</si>
  <si>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</si>
  <si>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</si>
  <si>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</si>
  <si>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</si>
  <si>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</si>
  <si>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</si>
  <si>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</si>
  <si>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</si>
  <si>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</si>
  <si>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</si>
  <si>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</si>
  <si>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</si>
  <si>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</si>
  <si>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</si>
  <si>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</si>
  <si>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</si>
  <si>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</si>
  <si>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</si>
  <si>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</si>
  <si>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</si>
  <si>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</si>
  <si>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</si>
  <si>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</si>
  <si>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</si>
  <si>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</si>
  <si>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</si>
  <si>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</si>
  <si>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</si>
  <si>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</si>
  <si>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</si>
  <si>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</si>
  <si>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</si>
  <si>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</si>
  <si>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</si>
  <si>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</si>
  <si>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</si>
  <si>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</si>
  <si>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</si>
  <si>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</si>
  <si>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</si>
  <si>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</si>
  <si>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</si>
  <si>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</si>
  <si>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</si>
  <si>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</si>
  <si>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</si>
  <si>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</si>
  <si>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</si>
  <si>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</si>
  <si>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</si>
  <si>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</si>
  <si>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</si>
  <si>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</si>
  <si>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</si>
  <si>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</si>
  <si>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</si>
  <si>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</si>
  <si>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</si>
  <si>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</si>
  <si>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</si>
  <si>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</si>
  <si>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</si>
  <si>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</si>
  <si>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</si>
  <si>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</si>
  <si>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</si>
  <si>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</si>
  <si>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</si>
  <si>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</si>
  <si>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</si>
  <si>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</si>
  <si>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</si>
  <si>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</si>
  <si>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</si>
  <si>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</si>
  <si>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</si>
  <si>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</si>
  <si>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</si>
  <si>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</si>
  <si>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</si>
  <si>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</si>
  <si>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</si>
  <si>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</si>
  <si>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</si>
  <si>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</si>
  <si>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</si>
  <si>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</si>
  <si>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</si>
  <si>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</si>
  <si>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</si>
  <si>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</si>
  <si>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</si>
  <si>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</si>
  <si>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</si>
  <si>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</si>
  <si>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</si>
  <si>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</si>
  <si>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</si>
  <si>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</si>
  <si>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</si>
  <si>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</si>
  <si>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</si>
  <si>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</si>
  <si>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</si>
  <si>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33039</t>
  </si>
  <si>
    <t>HEUVELLAND</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</si>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</sst>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AAB80EC0-27FD-443A-9C53-9A83C8C8BB6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66092.937767198353</c:v>
                </c:pt>
                <c:pt idx="1">
                  <c:v>17824.875776607252</c:v>
                </c:pt>
                <c:pt idx="2">
                  <c:v>706.08699999999999</c:v>
                </c:pt>
                <c:pt idx="3">
                  <c:v>31594.663262758681</c:v>
                </c:pt>
                <c:pt idx="4">
                  <c:v>332349.96629545017</c:v>
                </c:pt>
                <c:pt idx="5">
                  <c:v>31595.180700528701</c:v>
                </c:pt>
                <c:pt idx="6">
                  <c:v>267.06779108117058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66092.937767198353</c:v>
                </c:pt>
                <c:pt idx="1">
                  <c:v>17824.875776607252</c:v>
                </c:pt>
                <c:pt idx="2">
                  <c:v>706.08699999999999</c:v>
                </c:pt>
                <c:pt idx="3">
                  <c:v>31594.663262758681</c:v>
                </c:pt>
                <c:pt idx="4">
                  <c:v>332349.96629545017</c:v>
                </c:pt>
                <c:pt idx="5">
                  <c:v>31595.180700528701</c:v>
                </c:pt>
                <c:pt idx="6">
                  <c:v>267.06779108117058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14010.782565116091</c:v>
                </c:pt>
                <c:pt idx="1">
                  <c:v>3574.9270355290291</c:v>
                </c:pt>
                <c:pt idx="2">
                  <c:v>150.86555034938274</c:v>
                </c:pt>
                <c:pt idx="3">
                  <c:v>8212.2685739802291</c:v>
                </c:pt>
                <c:pt idx="4">
                  <c:v>67542.126820589547</c:v>
                </c:pt>
                <c:pt idx="5">
                  <c:v>7858.6400060301548</c:v>
                </c:pt>
                <c:pt idx="6">
                  <c:v>67.35522887977325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14010.782565116091</c:v>
                </c:pt>
                <c:pt idx="1">
                  <c:v>3574.9270355290291</c:v>
                </c:pt>
                <c:pt idx="2">
                  <c:v>150.86555034938274</c:v>
                </c:pt>
                <c:pt idx="3">
                  <c:v>8212.2685739802291</c:v>
                </c:pt>
                <c:pt idx="4">
                  <c:v>67542.126820589547</c:v>
                </c:pt>
                <c:pt idx="5">
                  <c:v>7858.6400060301548</c:v>
                </c:pt>
                <c:pt idx="6">
                  <c:v>67.35522887977325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33039</v>
      </c>
      <c r="B6" s="384"/>
      <c r="C6" s="385"/>
    </row>
    <row r="7" spans="1:7" s="382" customFormat="1" ht="15.75" customHeight="1">
      <c r="A7" s="386" t="str">
        <f>txtMunicipality</f>
        <v>HEUVELLAND</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8583.6371999999992</v>
      </c>
      <c r="D10" s="679">
        <f ca="1">tertiair!C16</f>
        <v>0</v>
      </c>
      <c r="E10" s="679">
        <f ca="1">tertiair!D16</f>
        <v>8025.7876343919997</v>
      </c>
      <c r="F10" s="679">
        <f>tertiair!E16</f>
        <v>93.835834559223031</v>
      </c>
      <c r="G10" s="679">
        <f ca="1">tertiair!F16</f>
        <v>933.55611393677134</v>
      </c>
      <c r="H10" s="679">
        <f>tertiair!G16</f>
        <v>0</v>
      </c>
      <c r="I10" s="679">
        <f>tertiair!H16</f>
        <v>0</v>
      </c>
      <c r="J10" s="679">
        <f>tertiair!I16</f>
        <v>0</v>
      </c>
      <c r="K10" s="679">
        <f>tertiair!J16</f>
        <v>1.9348512725531928E-2</v>
      </c>
      <c r="L10" s="679">
        <f>tertiair!K16</f>
        <v>0</v>
      </c>
      <c r="M10" s="679">
        <f ca="1">tertiair!L16</f>
        <v>0</v>
      </c>
      <c r="N10" s="679">
        <f>tertiair!M16</f>
        <v>0</v>
      </c>
      <c r="O10" s="679">
        <f ca="1">tertiair!N16</f>
        <v>759.66480399850229</v>
      </c>
      <c r="P10" s="679">
        <f>tertiair!O16</f>
        <v>29.383564595046927</v>
      </c>
      <c r="Q10" s="680">
        <f>tertiair!P16</f>
        <v>105.07827661299004</v>
      </c>
      <c r="R10" s="682">
        <f ca="1">SUM(C10:Q10)</f>
        <v>18530.962776607252</v>
      </c>
      <c r="S10" s="67"/>
    </row>
    <row r="11" spans="1:19" s="442" customFormat="1">
      <c r="A11" s="800" t="s">
        <v>213</v>
      </c>
      <c r="B11" s="805"/>
      <c r="C11" s="679">
        <f>huishoudens!B8</f>
        <v>13462.617850962008</v>
      </c>
      <c r="D11" s="679">
        <f>huishoudens!C8</f>
        <v>0</v>
      </c>
      <c r="E11" s="679">
        <f>huishoudens!D8</f>
        <v>22446.813310680001</v>
      </c>
      <c r="F11" s="679">
        <f>huishoudens!E8</f>
        <v>1449.2234705898641</v>
      </c>
      <c r="G11" s="679">
        <f>huishoudens!F8</f>
        <v>23363.413880130611</v>
      </c>
      <c r="H11" s="679">
        <f>huishoudens!G8</f>
        <v>0</v>
      </c>
      <c r="I11" s="679">
        <f>huishoudens!H8</f>
        <v>0</v>
      </c>
      <c r="J11" s="679">
        <f>huishoudens!I8</f>
        <v>0</v>
      </c>
      <c r="K11" s="679">
        <f>huishoudens!J8</f>
        <v>93.335808401260778</v>
      </c>
      <c r="L11" s="679">
        <f>huishoudens!K8</f>
        <v>0</v>
      </c>
      <c r="M11" s="679">
        <f>huishoudens!L8</f>
        <v>0</v>
      </c>
      <c r="N11" s="679">
        <f>huishoudens!M8</f>
        <v>0</v>
      </c>
      <c r="O11" s="679">
        <f>huishoudens!N8</f>
        <v>4717.9605208430721</v>
      </c>
      <c r="P11" s="679">
        <f>huishoudens!O8</f>
        <v>285.68998359173258</v>
      </c>
      <c r="Q11" s="680">
        <f>huishoudens!P8</f>
        <v>273.88294199981061</v>
      </c>
      <c r="R11" s="682">
        <f>SUM(C11:Q11)</f>
        <v>66092.937767198353</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82349.872100999986</v>
      </c>
      <c r="D13" s="679">
        <f>industrie!C18</f>
        <v>0</v>
      </c>
      <c r="E13" s="679">
        <f>industrie!D18</f>
        <v>239151.27196971999</v>
      </c>
      <c r="F13" s="679">
        <f>industrie!E18</f>
        <v>559.10760820603787</v>
      </c>
      <c r="G13" s="679">
        <f>industrie!F18</f>
        <v>5579.2044218104838</v>
      </c>
      <c r="H13" s="679">
        <f>industrie!G18</f>
        <v>0</v>
      </c>
      <c r="I13" s="679">
        <f>industrie!H18</f>
        <v>0</v>
      </c>
      <c r="J13" s="679">
        <f>industrie!I18</f>
        <v>0</v>
      </c>
      <c r="K13" s="679">
        <f>industrie!J18</f>
        <v>61.528506724495472</v>
      </c>
      <c r="L13" s="679">
        <f>industrie!K18</f>
        <v>0</v>
      </c>
      <c r="M13" s="679">
        <f>industrie!L18</f>
        <v>0</v>
      </c>
      <c r="N13" s="679">
        <f>industrie!M18</f>
        <v>0</v>
      </c>
      <c r="O13" s="679">
        <f>industrie!N18</f>
        <v>4648.9816879892205</v>
      </c>
      <c r="P13" s="679">
        <f>industrie!O18</f>
        <v>0</v>
      </c>
      <c r="Q13" s="680">
        <f>industrie!P18</f>
        <v>0</v>
      </c>
      <c r="R13" s="682">
        <f>SUM(C13:Q13)</f>
        <v>332349.96629545017</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104396.12715196199</v>
      </c>
      <c r="D16" s="715">
        <f t="shared" ref="D16:R16" ca="1" si="0">SUM(D9:D15)</f>
        <v>0</v>
      </c>
      <c r="E16" s="715">
        <f t="shared" ca="1" si="0"/>
        <v>269623.87291479198</v>
      </c>
      <c r="F16" s="715">
        <f t="shared" si="0"/>
        <v>2102.166913355125</v>
      </c>
      <c r="G16" s="715">
        <f t="shared" ca="1" si="0"/>
        <v>29876.174415877867</v>
      </c>
      <c r="H16" s="715">
        <f t="shared" si="0"/>
        <v>0</v>
      </c>
      <c r="I16" s="715">
        <f t="shared" si="0"/>
        <v>0</v>
      </c>
      <c r="J16" s="715">
        <f t="shared" si="0"/>
        <v>0</v>
      </c>
      <c r="K16" s="715">
        <f t="shared" si="0"/>
        <v>154.88366363848178</v>
      </c>
      <c r="L16" s="715">
        <f t="shared" si="0"/>
        <v>0</v>
      </c>
      <c r="M16" s="715">
        <f t="shared" ca="1" si="0"/>
        <v>0</v>
      </c>
      <c r="N16" s="715">
        <f t="shared" si="0"/>
        <v>0</v>
      </c>
      <c r="O16" s="715">
        <f t="shared" ca="1" si="0"/>
        <v>10126.607012830795</v>
      </c>
      <c r="P16" s="715">
        <f t="shared" si="0"/>
        <v>315.07354818677953</v>
      </c>
      <c r="Q16" s="715">
        <f t="shared" si="0"/>
        <v>378.96121861280062</v>
      </c>
      <c r="R16" s="715">
        <f t="shared" ca="1" si="0"/>
        <v>416973.86683925579</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3.4438328907582827</v>
      </c>
      <c r="D19" s="679">
        <f>transport!C54</f>
        <v>0</v>
      </c>
      <c r="E19" s="679">
        <f>transport!D54</f>
        <v>0</v>
      </c>
      <c r="F19" s="679">
        <f>transport!E54</f>
        <v>0</v>
      </c>
      <c r="G19" s="679">
        <f>transport!F54</f>
        <v>0</v>
      </c>
      <c r="H19" s="679">
        <f>transport!G54</f>
        <v>249.5108797860519</v>
      </c>
      <c r="I19" s="679">
        <f>transport!H54</f>
        <v>0</v>
      </c>
      <c r="J19" s="679">
        <f>transport!I54</f>
        <v>0</v>
      </c>
      <c r="K19" s="679">
        <f>transport!J54</f>
        <v>0</v>
      </c>
      <c r="L19" s="679">
        <f>transport!K54</f>
        <v>0</v>
      </c>
      <c r="M19" s="679">
        <f>transport!L54</f>
        <v>0</v>
      </c>
      <c r="N19" s="679">
        <f>transport!M54</f>
        <v>14.11307840436041</v>
      </c>
      <c r="O19" s="679">
        <f>transport!N54</f>
        <v>0</v>
      </c>
      <c r="P19" s="679">
        <f>transport!O54</f>
        <v>0</v>
      </c>
      <c r="Q19" s="680">
        <f>transport!P54</f>
        <v>0</v>
      </c>
      <c r="R19" s="682">
        <f>SUM(C19:Q19)</f>
        <v>267.06779108117058</v>
      </c>
      <c r="S19" s="67"/>
    </row>
    <row r="20" spans="1:19" s="442" customFormat="1">
      <c r="A20" s="800" t="s">
        <v>295</v>
      </c>
      <c r="B20" s="805"/>
      <c r="C20" s="679">
        <f>transport!B14</f>
        <v>34.867365919892528</v>
      </c>
      <c r="D20" s="679">
        <f>transport!C14</f>
        <v>0</v>
      </c>
      <c r="E20" s="679">
        <f>transport!D14</f>
        <v>62.326793073613473</v>
      </c>
      <c r="F20" s="679">
        <f>transport!E14</f>
        <v>53.969577349950484</v>
      </c>
      <c r="G20" s="679">
        <f>transport!F14</f>
        <v>0</v>
      </c>
      <c r="H20" s="679">
        <f>transport!G14</f>
        <v>24148.434971136685</v>
      </c>
      <c r="I20" s="679">
        <f>transport!H14</f>
        <v>5537.0154732380561</v>
      </c>
      <c r="J20" s="679">
        <f>transport!I14</f>
        <v>0</v>
      </c>
      <c r="K20" s="679">
        <f>transport!J14</f>
        <v>0</v>
      </c>
      <c r="L20" s="679">
        <f>transport!K14</f>
        <v>0</v>
      </c>
      <c r="M20" s="679">
        <f>transport!L14</f>
        <v>0</v>
      </c>
      <c r="N20" s="679">
        <f>transport!M14</f>
        <v>1758.5665198105</v>
      </c>
      <c r="O20" s="679">
        <f>transport!N14</f>
        <v>0</v>
      </c>
      <c r="P20" s="679">
        <f>transport!O14</f>
        <v>0</v>
      </c>
      <c r="Q20" s="680">
        <f>transport!P14</f>
        <v>0</v>
      </c>
      <c r="R20" s="682">
        <f>SUM(C20:Q20)</f>
        <v>31595.180700528701</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38.311198810650808</v>
      </c>
      <c r="D22" s="803">
        <f t="shared" ref="D22:R22" si="1">SUM(D18:D21)</f>
        <v>0</v>
      </c>
      <c r="E22" s="803">
        <f t="shared" si="1"/>
        <v>62.326793073613473</v>
      </c>
      <c r="F22" s="803">
        <f t="shared" si="1"/>
        <v>53.969577349950484</v>
      </c>
      <c r="G22" s="803">
        <f t="shared" si="1"/>
        <v>0</v>
      </c>
      <c r="H22" s="803">
        <f t="shared" si="1"/>
        <v>24397.945850922737</v>
      </c>
      <c r="I22" s="803">
        <f t="shared" si="1"/>
        <v>5537.0154732380561</v>
      </c>
      <c r="J22" s="803">
        <f t="shared" si="1"/>
        <v>0</v>
      </c>
      <c r="K22" s="803">
        <f t="shared" si="1"/>
        <v>0</v>
      </c>
      <c r="L22" s="803">
        <f t="shared" si="1"/>
        <v>0</v>
      </c>
      <c r="M22" s="803">
        <f t="shared" si="1"/>
        <v>0</v>
      </c>
      <c r="N22" s="803">
        <f t="shared" si="1"/>
        <v>1772.6795982148606</v>
      </c>
      <c r="O22" s="803">
        <f t="shared" si="1"/>
        <v>0</v>
      </c>
      <c r="P22" s="803">
        <f t="shared" si="1"/>
        <v>0</v>
      </c>
      <c r="Q22" s="803">
        <f t="shared" si="1"/>
        <v>0</v>
      </c>
      <c r="R22" s="803">
        <f t="shared" si="1"/>
        <v>31862.248491609873</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6443.2990520000003</v>
      </c>
      <c r="D24" s="679">
        <f>+landbouw!C8</f>
        <v>0</v>
      </c>
      <c r="E24" s="679">
        <f>+landbouw!D8</f>
        <v>403.76478018799997</v>
      </c>
      <c r="F24" s="679">
        <f>+landbouw!E8</f>
        <v>201.09323867501709</v>
      </c>
      <c r="G24" s="679">
        <f>+landbouw!F8</f>
        <v>22771.332619182343</v>
      </c>
      <c r="H24" s="679">
        <f>+landbouw!G8</f>
        <v>0</v>
      </c>
      <c r="I24" s="679">
        <f>+landbouw!H8</f>
        <v>0</v>
      </c>
      <c r="J24" s="679">
        <f>+landbouw!I8</f>
        <v>0</v>
      </c>
      <c r="K24" s="679">
        <f>+landbouw!J8</f>
        <v>1775.1735727133189</v>
      </c>
      <c r="L24" s="679">
        <f>+landbouw!K8</f>
        <v>0</v>
      </c>
      <c r="M24" s="679">
        <f>+landbouw!L8</f>
        <v>0</v>
      </c>
      <c r="N24" s="679">
        <f>+landbouw!M8</f>
        <v>0</v>
      </c>
      <c r="O24" s="679">
        <f>+landbouw!N8</f>
        <v>0</v>
      </c>
      <c r="P24" s="679">
        <f>+landbouw!O8</f>
        <v>0</v>
      </c>
      <c r="Q24" s="680">
        <f>+landbouw!P8</f>
        <v>0</v>
      </c>
      <c r="R24" s="682">
        <f>SUM(C24:Q24)</f>
        <v>31594.663262758681</v>
      </c>
      <c r="S24" s="67"/>
    </row>
    <row r="25" spans="1:19" s="442" customFormat="1" ht="15" thickBot="1">
      <c r="A25" s="822" t="s">
        <v>708</v>
      </c>
      <c r="B25" s="941"/>
      <c r="C25" s="942">
        <f>IF(Onbekend_ele_kWh="---",0,Onbekend_ele_kWh)/1000+IF(REST_rest_ele_kWh="---",0,REST_rest_ele_kWh)/1000</f>
        <v>499.132451</v>
      </c>
      <c r="D25" s="942"/>
      <c r="E25" s="942">
        <f>IF(onbekend_gas_kWh="---",0,onbekend_gas_kWh)/1000+IF(REST_rest_gas_kWh="---",0,REST_rest_gas_kWh)/1000</f>
        <v>706.95927000000006</v>
      </c>
      <c r="F25" s="942"/>
      <c r="G25" s="942"/>
      <c r="H25" s="942"/>
      <c r="I25" s="942"/>
      <c r="J25" s="942"/>
      <c r="K25" s="942"/>
      <c r="L25" s="942"/>
      <c r="M25" s="942"/>
      <c r="N25" s="942"/>
      <c r="O25" s="942"/>
      <c r="P25" s="942"/>
      <c r="Q25" s="943"/>
      <c r="R25" s="682">
        <f>SUM(C25:Q25)</f>
        <v>1206.091721</v>
      </c>
      <c r="S25" s="67"/>
    </row>
    <row r="26" spans="1:19" s="442" customFormat="1" ht="15.75" thickBot="1">
      <c r="A26" s="687" t="s">
        <v>709</v>
      </c>
      <c r="B26" s="808"/>
      <c r="C26" s="803">
        <f>SUM(C24:C25)</f>
        <v>6942.4315030000007</v>
      </c>
      <c r="D26" s="803">
        <f t="shared" ref="D26:R26" si="2">SUM(D24:D25)</f>
        <v>0</v>
      </c>
      <c r="E26" s="803">
        <f t="shared" si="2"/>
        <v>1110.7240501880001</v>
      </c>
      <c r="F26" s="803">
        <f t="shared" si="2"/>
        <v>201.09323867501709</v>
      </c>
      <c r="G26" s="803">
        <f t="shared" si="2"/>
        <v>22771.332619182343</v>
      </c>
      <c r="H26" s="803">
        <f t="shared" si="2"/>
        <v>0</v>
      </c>
      <c r="I26" s="803">
        <f t="shared" si="2"/>
        <v>0</v>
      </c>
      <c r="J26" s="803">
        <f t="shared" si="2"/>
        <v>0</v>
      </c>
      <c r="K26" s="803">
        <f t="shared" si="2"/>
        <v>1775.1735727133189</v>
      </c>
      <c r="L26" s="803">
        <f t="shared" si="2"/>
        <v>0</v>
      </c>
      <c r="M26" s="803">
        <f t="shared" si="2"/>
        <v>0</v>
      </c>
      <c r="N26" s="803">
        <f t="shared" si="2"/>
        <v>0</v>
      </c>
      <c r="O26" s="803">
        <f t="shared" si="2"/>
        <v>0</v>
      </c>
      <c r="P26" s="803">
        <f t="shared" si="2"/>
        <v>0</v>
      </c>
      <c r="Q26" s="803">
        <f t="shared" si="2"/>
        <v>0</v>
      </c>
      <c r="R26" s="803">
        <f t="shared" si="2"/>
        <v>32800.754983758678</v>
      </c>
      <c r="S26" s="67"/>
    </row>
    <row r="27" spans="1:19" s="442" customFormat="1" ht="17.25" thickTop="1" thickBot="1">
      <c r="A27" s="688" t="s">
        <v>109</v>
      </c>
      <c r="B27" s="795"/>
      <c r="C27" s="689">
        <f ca="1">C22+C16+C26</f>
        <v>111376.86985377265</v>
      </c>
      <c r="D27" s="689">
        <f t="shared" ref="D27:R27" ca="1" si="3">D22+D16+D26</f>
        <v>0</v>
      </c>
      <c r="E27" s="689">
        <f t="shared" ca="1" si="3"/>
        <v>270796.92375805357</v>
      </c>
      <c r="F27" s="689">
        <f t="shared" si="3"/>
        <v>2357.2297293800925</v>
      </c>
      <c r="G27" s="689">
        <f t="shared" ca="1" si="3"/>
        <v>52647.507035060211</v>
      </c>
      <c r="H27" s="689">
        <f t="shared" si="3"/>
        <v>24397.945850922737</v>
      </c>
      <c r="I27" s="689">
        <f t="shared" si="3"/>
        <v>5537.0154732380561</v>
      </c>
      <c r="J27" s="689">
        <f t="shared" si="3"/>
        <v>0</v>
      </c>
      <c r="K27" s="689">
        <f t="shared" si="3"/>
        <v>1930.0572363518006</v>
      </c>
      <c r="L27" s="689">
        <f t="shared" si="3"/>
        <v>0</v>
      </c>
      <c r="M27" s="689">
        <f t="shared" ca="1" si="3"/>
        <v>0</v>
      </c>
      <c r="N27" s="689">
        <f t="shared" si="3"/>
        <v>1772.6795982148606</v>
      </c>
      <c r="O27" s="689">
        <f t="shared" ca="1" si="3"/>
        <v>10126.607012830795</v>
      </c>
      <c r="P27" s="689">
        <f t="shared" si="3"/>
        <v>315.07354818677953</v>
      </c>
      <c r="Q27" s="689">
        <f t="shared" si="3"/>
        <v>378.96121861280062</v>
      </c>
      <c r="R27" s="689">
        <f t="shared" ca="1" si="3"/>
        <v>481636.87031462434</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1834.0164174916615</v>
      </c>
      <c r="D40" s="679">
        <f ca="1">tertiair!C20</f>
        <v>0</v>
      </c>
      <c r="E40" s="679">
        <f ca="1">tertiair!D20</f>
        <v>1621.209102147184</v>
      </c>
      <c r="F40" s="679">
        <f>tertiair!E20</f>
        <v>21.300734444943629</v>
      </c>
      <c r="G40" s="679">
        <f ca="1">tertiair!F20</f>
        <v>249.25948242111795</v>
      </c>
      <c r="H40" s="679">
        <f>tertiair!G20</f>
        <v>0</v>
      </c>
      <c r="I40" s="679">
        <f>tertiair!H20</f>
        <v>0</v>
      </c>
      <c r="J40" s="679">
        <f>tertiair!I20</f>
        <v>0</v>
      </c>
      <c r="K40" s="679">
        <f>tertiair!J20</f>
        <v>6.849373504838302E-3</v>
      </c>
      <c r="L40" s="679">
        <f>tertiair!K20</f>
        <v>0</v>
      </c>
      <c r="M40" s="679">
        <f ca="1">tertiair!L20</f>
        <v>0</v>
      </c>
      <c r="N40" s="679">
        <f>tertiair!M20</f>
        <v>0</v>
      </c>
      <c r="O40" s="679">
        <f ca="1">tertiair!N20</f>
        <v>0</v>
      </c>
      <c r="P40" s="679">
        <f>tertiair!O20</f>
        <v>0</v>
      </c>
      <c r="Q40" s="762">
        <f>tertiair!P20</f>
        <v>0</v>
      </c>
      <c r="R40" s="841">
        <f t="shared" ca="1" si="4"/>
        <v>3725.792585878412</v>
      </c>
    </row>
    <row r="41" spans="1:18">
      <c r="A41" s="813" t="s">
        <v>213</v>
      </c>
      <c r="B41" s="820"/>
      <c r="C41" s="679">
        <f ca="1">huishoudens!B12</f>
        <v>2876.4801663659118</v>
      </c>
      <c r="D41" s="679">
        <f ca="1">huishoudens!C12</f>
        <v>0</v>
      </c>
      <c r="E41" s="679">
        <f>huishoudens!D12</f>
        <v>4534.2562887573604</v>
      </c>
      <c r="F41" s="679">
        <f>huishoudens!E12</f>
        <v>328.97372782389914</v>
      </c>
      <c r="G41" s="679">
        <f>huishoudens!F12</f>
        <v>6238.0315059948734</v>
      </c>
      <c r="H41" s="679">
        <f>huishoudens!G12</f>
        <v>0</v>
      </c>
      <c r="I41" s="679">
        <f>huishoudens!H12</f>
        <v>0</v>
      </c>
      <c r="J41" s="679">
        <f>huishoudens!I12</f>
        <v>0</v>
      </c>
      <c r="K41" s="679">
        <f>huishoudens!J12</f>
        <v>33.040876174046311</v>
      </c>
      <c r="L41" s="679">
        <f>huishoudens!K12</f>
        <v>0</v>
      </c>
      <c r="M41" s="679">
        <f>huishoudens!L12</f>
        <v>0</v>
      </c>
      <c r="N41" s="679">
        <f>huishoudens!M12</f>
        <v>0</v>
      </c>
      <c r="O41" s="679">
        <f>huishoudens!N12</f>
        <v>0</v>
      </c>
      <c r="P41" s="679">
        <f>huishoudens!O12</f>
        <v>0</v>
      </c>
      <c r="Q41" s="762">
        <f>huishoudens!P12</f>
        <v>0</v>
      </c>
      <c r="R41" s="841">
        <f t="shared" ca="1" si="4"/>
        <v>14010.782565116091</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17595.223783639471</v>
      </c>
      <c r="D43" s="679">
        <f ca="1">industrie!C22</f>
        <v>0</v>
      </c>
      <c r="E43" s="679">
        <f>industrie!D22</f>
        <v>48308.556937883441</v>
      </c>
      <c r="F43" s="679">
        <f>industrie!E22</f>
        <v>126.9174270627706</v>
      </c>
      <c r="G43" s="679">
        <f>industrie!F22</f>
        <v>1489.6475806233993</v>
      </c>
      <c r="H43" s="679">
        <f>industrie!G22</f>
        <v>0</v>
      </c>
      <c r="I43" s="679">
        <f>industrie!H22</f>
        <v>0</v>
      </c>
      <c r="J43" s="679">
        <f>industrie!I22</f>
        <v>0</v>
      </c>
      <c r="K43" s="679">
        <f>industrie!J22</f>
        <v>21.781091380471395</v>
      </c>
      <c r="L43" s="679">
        <f>industrie!K22</f>
        <v>0</v>
      </c>
      <c r="M43" s="679">
        <f>industrie!L22</f>
        <v>0</v>
      </c>
      <c r="N43" s="679">
        <f>industrie!M22</f>
        <v>0</v>
      </c>
      <c r="O43" s="679">
        <f>industrie!N22</f>
        <v>0</v>
      </c>
      <c r="P43" s="679">
        <f>industrie!O22</f>
        <v>0</v>
      </c>
      <c r="Q43" s="762">
        <f>industrie!P22</f>
        <v>0</v>
      </c>
      <c r="R43" s="840">
        <f t="shared" ca="1" si="4"/>
        <v>67542.126820589547</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22305.720367497044</v>
      </c>
      <c r="D46" s="715">
        <f t="shared" ref="D46:Q46" ca="1" si="5">SUM(D39:D45)</f>
        <v>0</v>
      </c>
      <c r="E46" s="715">
        <f t="shared" ca="1" si="5"/>
        <v>54464.022328787985</v>
      </c>
      <c r="F46" s="715">
        <f t="shared" si="5"/>
        <v>477.19188933161331</v>
      </c>
      <c r="G46" s="715">
        <f t="shared" ca="1" si="5"/>
        <v>7976.938569039391</v>
      </c>
      <c r="H46" s="715">
        <f t="shared" si="5"/>
        <v>0</v>
      </c>
      <c r="I46" s="715">
        <f t="shared" si="5"/>
        <v>0</v>
      </c>
      <c r="J46" s="715">
        <f t="shared" si="5"/>
        <v>0</v>
      </c>
      <c r="K46" s="715">
        <f t="shared" si="5"/>
        <v>54.82881692802254</v>
      </c>
      <c r="L46" s="715">
        <f t="shared" si="5"/>
        <v>0</v>
      </c>
      <c r="M46" s="715">
        <f t="shared" ca="1" si="5"/>
        <v>0</v>
      </c>
      <c r="N46" s="715">
        <f t="shared" si="5"/>
        <v>0</v>
      </c>
      <c r="O46" s="715">
        <f t="shared" ca="1" si="5"/>
        <v>0</v>
      </c>
      <c r="P46" s="715">
        <f t="shared" si="5"/>
        <v>0</v>
      </c>
      <c r="Q46" s="715">
        <f t="shared" si="5"/>
        <v>0</v>
      </c>
      <c r="R46" s="715">
        <f ca="1">SUM(R39:R45)</f>
        <v>85278.701971584058</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0.73582397689739931</v>
      </c>
      <c r="D49" s="679">
        <f ca="1">transport!C58</f>
        <v>0</v>
      </c>
      <c r="E49" s="679">
        <f>transport!D58</f>
        <v>0</v>
      </c>
      <c r="F49" s="679">
        <f>transport!E58</f>
        <v>0</v>
      </c>
      <c r="G49" s="679">
        <f>transport!F58</f>
        <v>0</v>
      </c>
      <c r="H49" s="679">
        <f>transport!G58</f>
        <v>66.619404902875857</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67.35522887977325</v>
      </c>
    </row>
    <row r="50" spans="1:18">
      <c r="A50" s="816" t="s">
        <v>295</v>
      </c>
      <c r="B50" s="826"/>
      <c r="C50" s="685">
        <f ca="1">transport!B18</f>
        <v>7.449909641075247</v>
      </c>
      <c r="D50" s="685">
        <f>transport!C18</f>
        <v>0</v>
      </c>
      <c r="E50" s="685">
        <f>transport!D18</f>
        <v>12.590012200869923</v>
      </c>
      <c r="F50" s="685">
        <f>transport!E18</f>
        <v>12.25109405843876</v>
      </c>
      <c r="G50" s="685">
        <f>transport!F18</f>
        <v>0</v>
      </c>
      <c r="H50" s="685">
        <f>transport!G18</f>
        <v>6447.6321372934954</v>
      </c>
      <c r="I50" s="685">
        <f>transport!H18</f>
        <v>1378.7168528362758</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7858.6400060301548</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8.1857336179726463</v>
      </c>
      <c r="D52" s="715">
        <f t="shared" ref="D52:Q52" ca="1" si="6">SUM(D48:D51)</f>
        <v>0</v>
      </c>
      <c r="E52" s="715">
        <f t="shared" si="6"/>
        <v>12.590012200869923</v>
      </c>
      <c r="F52" s="715">
        <f t="shared" si="6"/>
        <v>12.25109405843876</v>
      </c>
      <c r="G52" s="715">
        <f t="shared" si="6"/>
        <v>0</v>
      </c>
      <c r="H52" s="715">
        <f t="shared" si="6"/>
        <v>6514.2515421963708</v>
      </c>
      <c r="I52" s="715">
        <f t="shared" si="6"/>
        <v>1378.7168528362758</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7925.9952349099285</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1376.7026691408228</v>
      </c>
      <c r="D54" s="685">
        <f ca="1">+landbouw!C12</f>
        <v>0</v>
      </c>
      <c r="E54" s="685">
        <f>+landbouw!D12</f>
        <v>81.560485597975998</v>
      </c>
      <c r="F54" s="685">
        <f>+landbouw!E12</f>
        <v>45.648165179228883</v>
      </c>
      <c r="G54" s="685">
        <f>+landbouw!F12</f>
        <v>6079.9458093216863</v>
      </c>
      <c r="H54" s="685">
        <f>+landbouw!G12</f>
        <v>0</v>
      </c>
      <c r="I54" s="685">
        <f>+landbouw!H12</f>
        <v>0</v>
      </c>
      <c r="J54" s="685">
        <f>+landbouw!I12</f>
        <v>0</v>
      </c>
      <c r="K54" s="685">
        <f>+landbouw!J12</f>
        <v>628.41144474051487</v>
      </c>
      <c r="L54" s="685">
        <f>+landbouw!K12</f>
        <v>0</v>
      </c>
      <c r="M54" s="685">
        <f>+landbouw!L12</f>
        <v>0</v>
      </c>
      <c r="N54" s="685">
        <f>+landbouw!M12</f>
        <v>0</v>
      </c>
      <c r="O54" s="685">
        <f>+landbouw!N12</f>
        <v>0</v>
      </c>
      <c r="P54" s="685">
        <f>+landbouw!O12</f>
        <v>0</v>
      </c>
      <c r="Q54" s="686">
        <f>+landbouw!P12</f>
        <v>0</v>
      </c>
      <c r="R54" s="714">
        <f ca="1">SUM(C54:Q54)</f>
        <v>8212.2685739802291</v>
      </c>
    </row>
    <row r="55" spans="1:18" ht="15" thickBot="1">
      <c r="A55" s="816" t="s">
        <v>708</v>
      </c>
      <c r="B55" s="826"/>
      <c r="C55" s="685">
        <f ca="1">C25*'EF ele_warmte'!B12</f>
        <v>106.64676154263046</v>
      </c>
      <c r="D55" s="685"/>
      <c r="E55" s="685">
        <f>E25*EF_CO2_aardgas</f>
        <v>142.80577254000002</v>
      </c>
      <c r="F55" s="685"/>
      <c r="G55" s="685"/>
      <c r="H55" s="685"/>
      <c r="I55" s="685"/>
      <c r="J55" s="685"/>
      <c r="K55" s="685"/>
      <c r="L55" s="685"/>
      <c r="M55" s="685"/>
      <c r="N55" s="685"/>
      <c r="O55" s="685"/>
      <c r="P55" s="685"/>
      <c r="Q55" s="686"/>
      <c r="R55" s="714">
        <f ca="1">SUM(C55:Q55)</f>
        <v>249.45253408263048</v>
      </c>
    </row>
    <row r="56" spans="1:18" ht="15.75" thickBot="1">
      <c r="A56" s="814" t="s">
        <v>709</v>
      </c>
      <c r="B56" s="827"/>
      <c r="C56" s="715">
        <f ca="1">SUM(C54:C55)</f>
        <v>1483.3494306834532</v>
      </c>
      <c r="D56" s="715">
        <f t="shared" ref="D56:Q56" ca="1" si="7">SUM(D54:D55)</f>
        <v>0</v>
      </c>
      <c r="E56" s="715">
        <f t="shared" si="7"/>
        <v>224.36625813797602</v>
      </c>
      <c r="F56" s="715">
        <f t="shared" si="7"/>
        <v>45.648165179228883</v>
      </c>
      <c r="G56" s="715">
        <f t="shared" si="7"/>
        <v>6079.9458093216863</v>
      </c>
      <c r="H56" s="715">
        <f t="shared" si="7"/>
        <v>0</v>
      </c>
      <c r="I56" s="715">
        <f t="shared" si="7"/>
        <v>0</v>
      </c>
      <c r="J56" s="715">
        <f t="shared" si="7"/>
        <v>0</v>
      </c>
      <c r="K56" s="715">
        <f t="shared" si="7"/>
        <v>628.41144474051487</v>
      </c>
      <c r="L56" s="715">
        <f t="shared" si="7"/>
        <v>0</v>
      </c>
      <c r="M56" s="715">
        <f t="shared" si="7"/>
        <v>0</v>
      </c>
      <c r="N56" s="715">
        <f t="shared" si="7"/>
        <v>0</v>
      </c>
      <c r="O56" s="715">
        <f t="shared" si="7"/>
        <v>0</v>
      </c>
      <c r="P56" s="715">
        <f t="shared" si="7"/>
        <v>0</v>
      </c>
      <c r="Q56" s="716">
        <f t="shared" si="7"/>
        <v>0</v>
      </c>
      <c r="R56" s="717">
        <f ca="1">SUM(R54:R55)</f>
        <v>8461.7211080628604</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23797.25553179847</v>
      </c>
      <c r="D61" s="723">
        <f t="shared" ref="D61:Q61" ca="1" si="8">D46+D52+D56</f>
        <v>0</v>
      </c>
      <c r="E61" s="723">
        <f t="shared" ca="1" si="8"/>
        <v>54700.978599126829</v>
      </c>
      <c r="F61" s="723">
        <f t="shared" si="8"/>
        <v>535.0911485692809</v>
      </c>
      <c r="G61" s="723">
        <f t="shared" ca="1" si="8"/>
        <v>14056.884378361077</v>
      </c>
      <c r="H61" s="723">
        <f t="shared" si="8"/>
        <v>6514.2515421963708</v>
      </c>
      <c r="I61" s="723">
        <f t="shared" si="8"/>
        <v>1378.7168528362758</v>
      </c>
      <c r="J61" s="723">
        <f t="shared" si="8"/>
        <v>0</v>
      </c>
      <c r="K61" s="723">
        <f t="shared" si="8"/>
        <v>683.24026166853741</v>
      </c>
      <c r="L61" s="723">
        <f t="shared" si="8"/>
        <v>0</v>
      </c>
      <c r="M61" s="723">
        <f t="shared" ca="1" si="8"/>
        <v>0</v>
      </c>
      <c r="N61" s="723">
        <f t="shared" si="8"/>
        <v>0</v>
      </c>
      <c r="O61" s="723">
        <f t="shared" ca="1" si="8"/>
        <v>0</v>
      </c>
      <c r="P61" s="723">
        <f t="shared" si="8"/>
        <v>0</v>
      </c>
      <c r="Q61" s="723">
        <f t="shared" si="8"/>
        <v>0</v>
      </c>
      <c r="R61" s="723">
        <f ca="1">R46+R52+R56</f>
        <v>101666.41831455685</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0.21366425150071131</v>
      </c>
      <c r="D63" s="769">
        <f t="shared" ca="1" si="9"/>
        <v>0</v>
      </c>
      <c r="E63" s="967">
        <f t="shared" ca="1" si="9"/>
        <v>0.20200000000000004</v>
      </c>
      <c r="F63" s="769">
        <f t="shared" si="9"/>
        <v>0.22699999999999995</v>
      </c>
      <c r="G63" s="769">
        <f t="shared" ca="1" si="9"/>
        <v>0.26700000000000002</v>
      </c>
      <c r="H63" s="769">
        <f t="shared" si="9"/>
        <v>0.26700000000000002</v>
      </c>
      <c r="I63" s="769">
        <f t="shared" si="9"/>
        <v>0.24899999999999997</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3696.98056961667</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3696.98056961667</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13462.617850962008</v>
      </c>
      <c r="C4" s="446">
        <f>huishoudens!C8</f>
        <v>0</v>
      </c>
      <c r="D4" s="446">
        <f>huishoudens!D8</f>
        <v>22446.813310680001</v>
      </c>
      <c r="E4" s="446">
        <f>huishoudens!E8</f>
        <v>1449.2234705898641</v>
      </c>
      <c r="F4" s="446">
        <f>huishoudens!F8</f>
        <v>23363.413880130611</v>
      </c>
      <c r="G4" s="446">
        <f>huishoudens!G8</f>
        <v>0</v>
      </c>
      <c r="H4" s="446">
        <f>huishoudens!H8</f>
        <v>0</v>
      </c>
      <c r="I4" s="446">
        <f>huishoudens!I8</f>
        <v>0</v>
      </c>
      <c r="J4" s="446">
        <f>huishoudens!J8</f>
        <v>93.335808401260778</v>
      </c>
      <c r="K4" s="446">
        <f>huishoudens!K8</f>
        <v>0</v>
      </c>
      <c r="L4" s="446">
        <f>huishoudens!L8</f>
        <v>0</v>
      </c>
      <c r="M4" s="446">
        <f>huishoudens!M8</f>
        <v>0</v>
      </c>
      <c r="N4" s="446">
        <f>huishoudens!N8</f>
        <v>4717.9605208430721</v>
      </c>
      <c r="O4" s="446">
        <f>huishoudens!O8</f>
        <v>285.68998359173258</v>
      </c>
      <c r="P4" s="447">
        <f>huishoudens!P8</f>
        <v>273.88294199981061</v>
      </c>
      <c r="Q4" s="448">
        <f>SUM(B4:P4)</f>
        <v>66092.937767198353</v>
      </c>
    </row>
    <row r="5" spans="1:17">
      <c r="A5" s="445" t="s">
        <v>149</v>
      </c>
      <c r="B5" s="446">
        <f ca="1">tertiair!B16</f>
        <v>7877.5501999999997</v>
      </c>
      <c r="C5" s="446">
        <f ca="1">tertiair!C16</f>
        <v>0</v>
      </c>
      <c r="D5" s="446">
        <f ca="1">tertiair!D16</f>
        <v>8025.7876343919997</v>
      </c>
      <c r="E5" s="446">
        <f>tertiair!E16</f>
        <v>93.835834559223031</v>
      </c>
      <c r="F5" s="446">
        <f ca="1">tertiair!F16</f>
        <v>933.55611393677134</v>
      </c>
      <c r="G5" s="446">
        <f>tertiair!G16</f>
        <v>0</v>
      </c>
      <c r="H5" s="446">
        <f>tertiair!H16</f>
        <v>0</v>
      </c>
      <c r="I5" s="446">
        <f>tertiair!I16</f>
        <v>0</v>
      </c>
      <c r="J5" s="446">
        <f>tertiair!J16</f>
        <v>1.9348512725531928E-2</v>
      </c>
      <c r="K5" s="446">
        <f>tertiair!K16</f>
        <v>0</v>
      </c>
      <c r="L5" s="446">
        <f ca="1">tertiair!L16</f>
        <v>0</v>
      </c>
      <c r="M5" s="446">
        <f>tertiair!M16</f>
        <v>0</v>
      </c>
      <c r="N5" s="446">
        <f ca="1">tertiair!N16</f>
        <v>759.66480399850229</v>
      </c>
      <c r="O5" s="446">
        <f>tertiair!O16</f>
        <v>29.383564595046927</v>
      </c>
      <c r="P5" s="447">
        <f>tertiair!P16</f>
        <v>105.07827661299004</v>
      </c>
      <c r="Q5" s="445">
        <f t="shared" ref="Q5:Q14" ca="1" si="0">SUM(B5:P5)</f>
        <v>17824.875776607252</v>
      </c>
    </row>
    <row r="6" spans="1:17">
      <c r="A6" s="445" t="s">
        <v>187</v>
      </c>
      <c r="B6" s="446">
        <f>'openbare verlichting'!B8</f>
        <v>706.08699999999999</v>
      </c>
      <c r="C6" s="446"/>
      <c r="D6" s="446"/>
      <c r="E6" s="446"/>
      <c r="F6" s="446"/>
      <c r="G6" s="446"/>
      <c r="H6" s="446"/>
      <c r="I6" s="446"/>
      <c r="J6" s="446"/>
      <c r="K6" s="446"/>
      <c r="L6" s="446"/>
      <c r="M6" s="446"/>
      <c r="N6" s="446"/>
      <c r="O6" s="446"/>
      <c r="P6" s="447"/>
      <c r="Q6" s="445">
        <f t="shared" si="0"/>
        <v>706.08699999999999</v>
      </c>
    </row>
    <row r="7" spans="1:17">
      <c r="A7" s="445" t="s">
        <v>105</v>
      </c>
      <c r="B7" s="446">
        <f>landbouw!B8</f>
        <v>6443.2990520000003</v>
      </c>
      <c r="C7" s="446">
        <f>landbouw!C8</f>
        <v>0</v>
      </c>
      <c r="D7" s="446">
        <f>landbouw!D8</f>
        <v>403.76478018799997</v>
      </c>
      <c r="E7" s="446">
        <f>landbouw!E8</f>
        <v>201.09323867501709</v>
      </c>
      <c r="F7" s="446">
        <f>landbouw!F8</f>
        <v>22771.332619182343</v>
      </c>
      <c r="G7" s="446">
        <f>landbouw!G8</f>
        <v>0</v>
      </c>
      <c r="H7" s="446">
        <f>landbouw!H8</f>
        <v>0</v>
      </c>
      <c r="I7" s="446">
        <f>landbouw!I8</f>
        <v>0</v>
      </c>
      <c r="J7" s="446">
        <f>landbouw!J8</f>
        <v>1775.1735727133189</v>
      </c>
      <c r="K7" s="446">
        <f>landbouw!K8</f>
        <v>0</v>
      </c>
      <c r="L7" s="446">
        <f>landbouw!L8</f>
        <v>0</v>
      </c>
      <c r="M7" s="446">
        <f>landbouw!M8</f>
        <v>0</v>
      </c>
      <c r="N7" s="446">
        <f>landbouw!N8</f>
        <v>0</v>
      </c>
      <c r="O7" s="446">
        <f>landbouw!O8</f>
        <v>0</v>
      </c>
      <c r="P7" s="447">
        <f>landbouw!P8</f>
        <v>0</v>
      </c>
      <c r="Q7" s="445">
        <f t="shared" si="0"/>
        <v>31594.663262758681</v>
      </c>
    </row>
    <row r="8" spans="1:17">
      <c r="A8" s="445" t="s">
        <v>612</v>
      </c>
      <c r="B8" s="446">
        <f>industrie!B18</f>
        <v>82349.872100999986</v>
      </c>
      <c r="C8" s="446">
        <f>industrie!C18</f>
        <v>0</v>
      </c>
      <c r="D8" s="446">
        <f>industrie!D18</f>
        <v>239151.27196971999</v>
      </c>
      <c r="E8" s="446">
        <f>industrie!E18</f>
        <v>559.10760820603787</v>
      </c>
      <c r="F8" s="446">
        <f>industrie!F18</f>
        <v>5579.2044218104838</v>
      </c>
      <c r="G8" s="446">
        <f>industrie!G18</f>
        <v>0</v>
      </c>
      <c r="H8" s="446">
        <f>industrie!H18</f>
        <v>0</v>
      </c>
      <c r="I8" s="446">
        <f>industrie!I18</f>
        <v>0</v>
      </c>
      <c r="J8" s="446">
        <f>industrie!J18</f>
        <v>61.528506724495472</v>
      </c>
      <c r="K8" s="446">
        <f>industrie!K18</f>
        <v>0</v>
      </c>
      <c r="L8" s="446">
        <f>industrie!L18</f>
        <v>0</v>
      </c>
      <c r="M8" s="446">
        <f>industrie!M18</f>
        <v>0</v>
      </c>
      <c r="N8" s="446">
        <f>industrie!N18</f>
        <v>4648.9816879892205</v>
      </c>
      <c r="O8" s="446">
        <f>industrie!O18</f>
        <v>0</v>
      </c>
      <c r="P8" s="447">
        <f>industrie!P18</f>
        <v>0</v>
      </c>
      <c r="Q8" s="445">
        <f t="shared" si="0"/>
        <v>332349.96629545017</v>
      </c>
    </row>
    <row r="9" spans="1:17" s="451" customFormat="1">
      <c r="A9" s="449" t="s">
        <v>538</v>
      </c>
      <c r="B9" s="450">
        <f>transport!B14</f>
        <v>34.867365919892528</v>
      </c>
      <c r="C9" s="450">
        <f>transport!C14</f>
        <v>0</v>
      </c>
      <c r="D9" s="450">
        <f>transport!D14</f>
        <v>62.326793073613473</v>
      </c>
      <c r="E9" s="450">
        <f>transport!E14</f>
        <v>53.969577349950484</v>
      </c>
      <c r="F9" s="450">
        <f>transport!F14</f>
        <v>0</v>
      </c>
      <c r="G9" s="450">
        <f>transport!G14</f>
        <v>24148.434971136685</v>
      </c>
      <c r="H9" s="450">
        <f>transport!H14</f>
        <v>5537.0154732380561</v>
      </c>
      <c r="I9" s="450">
        <f>transport!I14</f>
        <v>0</v>
      </c>
      <c r="J9" s="450">
        <f>transport!J14</f>
        <v>0</v>
      </c>
      <c r="K9" s="450">
        <f>transport!K14</f>
        <v>0</v>
      </c>
      <c r="L9" s="450">
        <f>transport!L14</f>
        <v>0</v>
      </c>
      <c r="M9" s="450">
        <f>transport!M14</f>
        <v>1758.5665198105</v>
      </c>
      <c r="N9" s="450">
        <f>transport!N14</f>
        <v>0</v>
      </c>
      <c r="O9" s="450">
        <f>transport!O14</f>
        <v>0</v>
      </c>
      <c r="P9" s="450">
        <f>transport!P14</f>
        <v>0</v>
      </c>
      <c r="Q9" s="449">
        <f>SUM(B9:P9)</f>
        <v>31595.180700528701</v>
      </c>
    </row>
    <row r="10" spans="1:17">
      <c r="A10" s="445" t="s">
        <v>528</v>
      </c>
      <c r="B10" s="446">
        <f>transport!B54</f>
        <v>3.4438328907582827</v>
      </c>
      <c r="C10" s="446">
        <f>transport!C54</f>
        <v>0</v>
      </c>
      <c r="D10" s="446">
        <f>transport!D54</f>
        <v>0</v>
      </c>
      <c r="E10" s="446">
        <f>transport!E54</f>
        <v>0</v>
      </c>
      <c r="F10" s="446">
        <f>transport!F54</f>
        <v>0</v>
      </c>
      <c r="G10" s="446">
        <f>transport!G54</f>
        <v>249.5108797860519</v>
      </c>
      <c r="H10" s="446">
        <f>transport!H54</f>
        <v>0</v>
      </c>
      <c r="I10" s="446">
        <f>transport!I54</f>
        <v>0</v>
      </c>
      <c r="J10" s="446">
        <f>transport!J54</f>
        <v>0</v>
      </c>
      <c r="K10" s="446">
        <f>transport!K54</f>
        <v>0</v>
      </c>
      <c r="L10" s="446">
        <f>transport!L54</f>
        <v>0</v>
      </c>
      <c r="M10" s="446">
        <f>transport!M54</f>
        <v>14.11307840436041</v>
      </c>
      <c r="N10" s="446">
        <f>transport!N54</f>
        <v>0</v>
      </c>
      <c r="O10" s="446">
        <f>transport!O54</f>
        <v>0</v>
      </c>
      <c r="P10" s="447">
        <f>transport!P54</f>
        <v>0</v>
      </c>
      <c r="Q10" s="445">
        <f t="shared" si="0"/>
        <v>267.06779108117058</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499.132451</v>
      </c>
      <c r="C14" s="453"/>
      <c r="D14" s="453">
        <f>'SEAP template'!E25</f>
        <v>706.95927000000006</v>
      </c>
      <c r="E14" s="453"/>
      <c r="F14" s="453"/>
      <c r="G14" s="453"/>
      <c r="H14" s="453"/>
      <c r="I14" s="453"/>
      <c r="J14" s="453"/>
      <c r="K14" s="453"/>
      <c r="L14" s="453"/>
      <c r="M14" s="453"/>
      <c r="N14" s="453"/>
      <c r="O14" s="453"/>
      <c r="P14" s="454"/>
      <c r="Q14" s="445">
        <f t="shared" si="0"/>
        <v>1206.091721</v>
      </c>
    </row>
    <row r="15" spans="1:17" s="457" customFormat="1">
      <c r="A15" s="455" t="s">
        <v>532</v>
      </c>
      <c r="B15" s="456">
        <f ca="1">SUM(B4:B14)</f>
        <v>111376.86985377265</v>
      </c>
      <c r="C15" s="456">
        <f t="shared" ref="C15:Q15" ca="1" si="1">SUM(C4:C14)</f>
        <v>0</v>
      </c>
      <c r="D15" s="456">
        <f t="shared" ca="1" si="1"/>
        <v>270796.92375805363</v>
      </c>
      <c r="E15" s="456">
        <f t="shared" si="1"/>
        <v>2357.229729380093</v>
      </c>
      <c r="F15" s="456">
        <f t="shared" ca="1" si="1"/>
        <v>52647.507035060211</v>
      </c>
      <c r="G15" s="456">
        <f t="shared" si="1"/>
        <v>24397.945850922737</v>
      </c>
      <c r="H15" s="456">
        <f t="shared" si="1"/>
        <v>5537.0154732380561</v>
      </c>
      <c r="I15" s="456">
        <f t="shared" si="1"/>
        <v>0</v>
      </c>
      <c r="J15" s="456">
        <f t="shared" si="1"/>
        <v>1930.0572363518006</v>
      </c>
      <c r="K15" s="456">
        <f t="shared" si="1"/>
        <v>0</v>
      </c>
      <c r="L15" s="456">
        <f t="shared" ca="1" si="1"/>
        <v>0</v>
      </c>
      <c r="M15" s="456">
        <f t="shared" si="1"/>
        <v>1772.6795982148606</v>
      </c>
      <c r="N15" s="456">
        <f t="shared" ca="1" si="1"/>
        <v>10126.607012830795</v>
      </c>
      <c r="O15" s="456">
        <f t="shared" si="1"/>
        <v>315.07354818677953</v>
      </c>
      <c r="P15" s="456">
        <f t="shared" si="1"/>
        <v>378.96121861280062</v>
      </c>
      <c r="Q15" s="456">
        <f t="shared" ca="1" si="1"/>
        <v>481636.87031462428</v>
      </c>
    </row>
    <row r="17" spans="1:17">
      <c r="A17" s="458" t="s">
        <v>533</v>
      </c>
      <c r="B17" s="774">
        <f ca="1">huishoudens!B10</f>
        <v>0.21366425150071131</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2876.4801663659118</v>
      </c>
      <c r="C22" s="446">
        <f t="shared" ref="C22:C32" ca="1" si="3">C4*$C$17</f>
        <v>0</v>
      </c>
      <c r="D22" s="446">
        <f t="shared" ref="D22:D32" si="4">D4*$D$17</f>
        <v>4534.2562887573604</v>
      </c>
      <c r="E22" s="446">
        <f t="shared" ref="E22:E32" si="5">E4*$E$17</f>
        <v>328.97372782389914</v>
      </c>
      <c r="F22" s="446">
        <f t="shared" ref="F22:F32" si="6">F4*$F$17</f>
        <v>6238.0315059948734</v>
      </c>
      <c r="G22" s="446">
        <f t="shared" ref="G22:G32" si="7">G4*$G$17</f>
        <v>0</v>
      </c>
      <c r="H22" s="446">
        <f t="shared" ref="H22:H32" si="8">H4*$H$17</f>
        <v>0</v>
      </c>
      <c r="I22" s="446">
        <f t="shared" ref="I22:I32" si="9">I4*$I$17</f>
        <v>0</v>
      </c>
      <c r="J22" s="446">
        <f t="shared" ref="J22:J32" si="10">J4*$J$17</f>
        <v>33.040876174046311</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14010.782565116091</v>
      </c>
    </row>
    <row r="23" spans="1:17">
      <c r="A23" s="445" t="s">
        <v>149</v>
      </c>
      <c r="B23" s="446">
        <f t="shared" ca="1" si="2"/>
        <v>1683.1508671422787</v>
      </c>
      <c r="C23" s="446">
        <f t="shared" ca="1" si="3"/>
        <v>0</v>
      </c>
      <c r="D23" s="446">
        <f t="shared" ca="1" si="4"/>
        <v>1621.209102147184</v>
      </c>
      <c r="E23" s="446">
        <f t="shared" si="5"/>
        <v>21.300734444943629</v>
      </c>
      <c r="F23" s="446">
        <f t="shared" ca="1" si="6"/>
        <v>249.25948242111795</v>
      </c>
      <c r="G23" s="446">
        <f t="shared" si="7"/>
        <v>0</v>
      </c>
      <c r="H23" s="446">
        <f t="shared" si="8"/>
        <v>0</v>
      </c>
      <c r="I23" s="446">
        <f t="shared" si="9"/>
        <v>0</v>
      </c>
      <c r="J23" s="446">
        <f t="shared" si="10"/>
        <v>6.849373504838302E-3</v>
      </c>
      <c r="K23" s="446">
        <f t="shared" si="11"/>
        <v>0</v>
      </c>
      <c r="L23" s="446">
        <f t="shared" ca="1" si="12"/>
        <v>0</v>
      </c>
      <c r="M23" s="446">
        <f t="shared" si="13"/>
        <v>0</v>
      </c>
      <c r="N23" s="446">
        <f t="shared" ca="1" si="14"/>
        <v>0</v>
      </c>
      <c r="O23" s="446">
        <f t="shared" si="15"/>
        <v>0</v>
      </c>
      <c r="P23" s="447">
        <f t="shared" si="16"/>
        <v>0</v>
      </c>
      <c r="Q23" s="445">
        <f t="shared" ref="Q23:Q31" ca="1" si="17">SUM(B23:P23)</f>
        <v>3574.9270355290291</v>
      </c>
    </row>
    <row r="24" spans="1:17">
      <c r="A24" s="445" t="s">
        <v>187</v>
      </c>
      <c r="B24" s="446">
        <f t="shared" ca="1" si="2"/>
        <v>150.86555034938274</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150.86555034938274</v>
      </c>
    </row>
    <row r="25" spans="1:17">
      <c r="A25" s="445" t="s">
        <v>105</v>
      </c>
      <c r="B25" s="446">
        <f t="shared" ca="1" si="2"/>
        <v>1376.7026691408228</v>
      </c>
      <c r="C25" s="446">
        <f t="shared" ca="1" si="3"/>
        <v>0</v>
      </c>
      <c r="D25" s="446">
        <f t="shared" si="4"/>
        <v>81.560485597975998</v>
      </c>
      <c r="E25" s="446">
        <f t="shared" si="5"/>
        <v>45.648165179228883</v>
      </c>
      <c r="F25" s="446">
        <f t="shared" si="6"/>
        <v>6079.9458093216863</v>
      </c>
      <c r="G25" s="446">
        <f t="shared" si="7"/>
        <v>0</v>
      </c>
      <c r="H25" s="446">
        <f t="shared" si="8"/>
        <v>0</v>
      </c>
      <c r="I25" s="446">
        <f t="shared" si="9"/>
        <v>0</v>
      </c>
      <c r="J25" s="446">
        <f t="shared" si="10"/>
        <v>628.41144474051487</v>
      </c>
      <c r="K25" s="446">
        <f t="shared" si="11"/>
        <v>0</v>
      </c>
      <c r="L25" s="446">
        <f t="shared" si="12"/>
        <v>0</v>
      </c>
      <c r="M25" s="446">
        <f t="shared" si="13"/>
        <v>0</v>
      </c>
      <c r="N25" s="446">
        <f t="shared" si="14"/>
        <v>0</v>
      </c>
      <c r="O25" s="446">
        <f t="shared" si="15"/>
        <v>0</v>
      </c>
      <c r="P25" s="447">
        <f t="shared" si="16"/>
        <v>0</v>
      </c>
      <c r="Q25" s="445">
        <f t="shared" ca="1" si="17"/>
        <v>8212.2685739802291</v>
      </c>
    </row>
    <row r="26" spans="1:17">
      <c r="A26" s="445" t="s">
        <v>612</v>
      </c>
      <c r="B26" s="446">
        <f t="shared" ca="1" si="2"/>
        <v>17595.223783639471</v>
      </c>
      <c r="C26" s="446">
        <f t="shared" ca="1" si="3"/>
        <v>0</v>
      </c>
      <c r="D26" s="446">
        <f t="shared" si="4"/>
        <v>48308.556937883441</v>
      </c>
      <c r="E26" s="446">
        <f t="shared" si="5"/>
        <v>126.9174270627706</v>
      </c>
      <c r="F26" s="446">
        <f t="shared" si="6"/>
        <v>1489.6475806233993</v>
      </c>
      <c r="G26" s="446">
        <f t="shared" si="7"/>
        <v>0</v>
      </c>
      <c r="H26" s="446">
        <f t="shared" si="8"/>
        <v>0</v>
      </c>
      <c r="I26" s="446">
        <f t="shared" si="9"/>
        <v>0</v>
      </c>
      <c r="J26" s="446">
        <f t="shared" si="10"/>
        <v>21.781091380471395</v>
      </c>
      <c r="K26" s="446">
        <f t="shared" si="11"/>
        <v>0</v>
      </c>
      <c r="L26" s="446">
        <f t="shared" si="12"/>
        <v>0</v>
      </c>
      <c r="M26" s="446">
        <f t="shared" si="13"/>
        <v>0</v>
      </c>
      <c r="N26" s="446">
        <f t="shared" si="14"/>
        <v>0</v>
      </c>
      <c r="O26" s="446">
        <f t="shared" si="15"/>
        <v>0</v>
      </c>
      <c r="P26" s="447">
        <f t="shared" si="16"/>
        <v>0</v>
      </c>
      <c r="Q26" s="445">
        <f t="shared" ca="1" si="17"/>
        <v>67542.126820589547</v>
      </c>
    </row>
    <row r="27" spans="1:17" s="451" customFormat="1">
      <c r="A27" s="449" t="s">
        <v>538</v>
      </c>
      <c r="B27" s="768">
        <f t="shared" ca="1" si="2"/>
        <v>7.449909641075247</v>
      </c>
      <c r="C27" s="450">
        <f t="shared" ca="1" si="3"/>
        <v>0</v>
      </c>
      <c r="D27" s="450">
        <f t="shared" si="4"/>
        <v>12.590012200869923</v>
      </c>
      <c r="E27" s="450">
        <f t="shared" si="5"/>
        <v>12.25109405843876</v>
      </c>
      <c r="F27" s="450">
        <f t="shared" si="6"/>
        <v>0</v>
      </c>
      <c r="G27" s="450">
        <f t="shared" si="7"/>
        <v>6447.6321372934954</v>
      </c>
      <c r="H27" s="450">
        <f t="shared" si="8"/>
        <v>1378.7168528362758</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7858.6400060301548</v>
      </c>
    </row>
    <row r="28" spans="1:17" ht="16.5" customHeight="1">
      <c r="A28" s="445" t="s">
        <v>528</v>
      </c>
      <c r="B28" s="446">
        <f t="shared" ca="1" si="2"/>
        <v>0.73582397689739931</v>
      </c>
      <c r="C28" s="446">
        <f t="shared" ca="1" si="3"/>
        <v>0</v>
      </c>
      <c r="D28" s="446">
        <f t="shared" si="4"/>
        <v>0</v>
      </c>
      <c r="E28" s="446">
        <f t="shared" si="5"/>
        <v>0</v>
      </c>
      <c r="F28" s="446">
        <f t="shared" si="6"/>
        <v>0</v>
      </c>
      <c r="G28" s="446">
        <f t="shared" si="7"/>
        <v>66.619404902875857</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67.35522887977325</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106.64676154263046</v>
      </c>
      <c r="C32" s="446">
        <f t="shared" ca="1" si="3"/>
        <v>0</v>
      </c>
      <c r="D32" s="446">
        <f t="shared" si="4"/>
        <v>142.80577254000002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249.45253408263048</v>
      </c>
    </row>
    <row r="33" spans="1:17" s="457" customFormat="1">
      <c r="A33" s="455" t="s">
        <v>532</v>
      </c>
      <c r="B33" s="456">
        <f ca="1">SUM(B22:B32)</f>
        <v>23797.255531798473</v>
      </c>
      <c r="C33" s="456">
        <f t="shared" ref="C33:Q33" ca="1" si="19">SUM(C22:C32)</f>
        <v>0</v>
      </c>
      <c r="D33" s="456">
        <f t="shared" ca="1" si="19"/>
        <v>54700.978599126829</v>
      </c>
      <c r="E33" s="456">
        <f t="shared" si="19"/>
        <v>535.09114856928102</v>
      </c>
      <c r="F33" s="456">
        <f t="shared" ca="1" si="19"/>
        <v>14056.884378361077</v>
      </c>
      <c r="G33" s="456">
        <f t="shared" si="19"/>
        <v>6514.2515421963708</v>
      </c>
      <c r="H33" s="456">
        <f t="shared" si="19"/>
        <v>1378.7168528362758</v>
      </c>
      <c r="I33" s="456">
        <f t="shared" si="19"/>
        <v>0</v>
      </c>
      <c r="J33" s="456">
        <f t="shared" si="19"/>
        <v>683.24026166853741</v>
      </c>
      <c r="K33" s="456">
        <f t="shared" si="19"/>
        <v>0</v>
      </c>
      <c r="L33" s="456">
        <f t="shared" ca="1" si="19"/>
        <v>0</v>
      </c>
      <c r="M33" s="456">
        <f t="shared" si="19"/>
        <v>0</v>
      </c>
      <c r="N33" s="456">
        <f t="shared" ca="1" si="19"/>
        <v>0</v>
      </c>
      <c r="O33" s="456">
        <f t="shared" si="19"/>
        <v>0</v>
      </c>
      <c r="P33" s="456">
        <f t="shared" si="19"/>
        <v>0</v>
      </c>
      <c r="Q33" s="456">
        <f t="shared" ca="1" si="19"/>
        <v>101666.41831455685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3696.98056961667</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3696.98056961667</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0.21366425150071131</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0.21366425150071131</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0.21366425150071131</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0.21366425150071131</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3286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7779.04</v>
      </c>
      <c r="C14" s="326"/>
      <c r="D14" s="326"/>
      <c r="E14" s="326"/>
      <c r="F14" s="326"/>
    </row>
    <row r="15" spans="1:6">
      <c r="A15" s="1296" t="s">
        <v>177</v>
      </c>
      <c r="B15" s="1297">
        <v>118</v>
      </c>
      <c r="C15" s="326"/>
      <c r="D15" s="326"/>
      <c r="E15" s="326"/>
      <c r="F15" s="326"/>
    </row>
    <row r="16" spans="1:6">
      <c r="A16" s="1296" t="s">
        <v>6</v>
      </c>
      <c r="B16" s="1297">
        <v>3936</v>
      </c>
      <c r="C16" s="326"/>
      <c r="D16" s="326"/>
      <c r="E16" s="326"/>
      <c r="F16" s="326"/>
    </row>
    <row r="17" spans="1:6">
      <c r="A17" s="1296" t="s">
        <v>7</v>
      </c>
      <c r="B17" s="1297">
        <v>2480</v>
      </c>
      <c r="C17" s="326"/>
      <c r="D17" s="326"/>
      <c r="E17" s="326"/>
      <c r="F17" s="326"/>
    </row>
    <row r="18" spans="1:6">
      <c r="A18" s="1296" t="s">
        <v>8</v>
      </c>
      <c r="B18" s="1297">
        <v>3918</v>
      </c>
      <c r="C18" s="326"/>
      <c r="D18" s="326"/>
      <c r="E18" s="326"/>
      <c r="F18" s="326"/>
    </row>
    <row r="19" spans="1:6">
      <c r="A19" s="1296" t="s">
        <v>9</v>
      </c>
      <c r="B19" s="1297">
        <v>4034</v>
      </c>
      <c r="C19" s="326"/>
      <c r="D19" s="326"/>
      <c r="E19" s="326"/>
      <c r="F19" s="326"/>
    </row>
    <row r="20" spans="1:6">
      <c r="A20" s="1296" t="s">
        <v>10</v>
      </c>
      <c r="B20" s="1297">
        <v>2215</v>
      </c>
      <c r="C20" s="326"/>
      <c r="D20" s="326"/>
      <c r="E20" s="326"/>
      <c r="F20" s="326"/>
    </row>
    <row r="21" spans="1:6">
      <c r="A21" s="1296" t="s">
        <v>11</v>
      </c>
      <c r="B21" s="1297">
        <v>26076</v>
      </c>
      <c r="C21" s="326"/>
      <c r="D21" s="326"/>
      <c r="E21" s="326"/>
      <c r="F21" s="326"/>
    </row>
    <row r="22" spans="1:6">
      <c r="A22" s="1296" t="s">
        <v>12</v>
      </c>
      <c r="B22" s="1297">
        <v>64039</v>
      </c>
      <c r="C22" s="326"/>
      <c r="D22" s="326"/>
      <c r="E22" s="326"/>
      <c r="F22" s="326"/>
    </row>
    <row r="23" spans="1:6">
      <c r="A23" s="1296" t="s">
        <v>13</v>
      </c>
      <c r="B23" s="1297">
        <v>801</v>
      </c>
      <c r="C23" s="326"/>
      <c r="D23" s="326"/>
      <c r="E23" s="326"/>
      <c r="F23" s="326"/>
    </row>
    <row r="24" spans="1:6">
      <c r="A24" s="1296" t="s">
        <v>14</v>
      </c>
      <c r="B24" s="1297">
        <v>49</v>
      </c>
      <c r="C24" s="326"/>
      <c r="D24" s="326"/>
      <c r="E24" s="326"/>
      <c r="F24" s="326"/>
    </row>
    <row r="25" spans="1:6">
      <c r="A25" s="1296" t="s">
        <v>15</v>
      </c>
      <c r="B25" s="1297">
        <v>5699</v>
      </c>
      <c r="C25" s="326"/>
      <c r="D25" s="326"/>
      <c r="E25" s="326"/>
      <c r="F25" s="326"/>
    </row>
    <row r="26" spans="1:6">
      <c r="A26" s="1296" t="s">
        <v>16</v>
      </c>
      <c r="B26" s="1297">
        <v>616</v>
      </c>
      <c r="C26" s="326"/>
      <c r="D26" s="326"/>
      <c r="E26" s="326"/>
      <c r="F26" s="326"/>
    </row>
    <row r="27" spans="1:6">
      <c r="A27" s="1296" t="s">
        <v>17</v>
      </c>
      <c r="B27" s="1297">
        <v>14</v>
      </c>
      <c r="C27" s="326"/>
      <c r="D27" s="326"/>
      <c r="E27" s="326"/>
      <c r="F27" s="326"/>
    </row>
    <row r="28" spans="1:6">
      <c r="A28" s="1296" t="s">
        <v>18</v>
      </c>
      <c r="B28" s="1298">
        <v>385283</v>
      </c>
      <c r="C28" s="326"/>
      <c r="D28" s="326"/>
      <c r="E28" s="326"/>
      <c r="F28" s="326"/>
    </row>
    <row r="29" spans="1:6">
      <c r="A29" s="1296" t="s">
        <v>689</v>
      </c>
      <c r="B29" s="1298">
        <v>195</v>
      </c>
      <c r="C29" s="326"/>
      <c r="D29" s="326"/>
      <c r="E29" s="326"/>
      <c r="F29" s="326"/>
    </row>
    <row r="30" spans="1:6">
      <c r="A30" s="1291" t="s">
        <v>690</v>
      </c>
      <c r="B30" s="1299">
        <v>29</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3434.2730000000001</v>
      </c>
      <c r="E38" s="1297">
        <v>4</v>
      </c>
      <c r="F38" s="1297">
        <v>17063.092000000001</v>
      </c>
    </row>
    <row r="39" spans="1:6">
      <c r="A39" s="1296" t="s">
        <v>29</v>
      </c>
      <c r="B39" s="1296" t="s">
        <v>30</v>
      </c>
      <c r="C39" s="1297">
        <v>1663</v>
      </c>
      <c r="D39" s="1297">
        <v>24885602.34</v>
      </c>
      <c r="E39" s="1297">
        <v>3020</v>
      </c>
      <c r="F39" s="1297">
        <v>10752278.27</v>
      </c>
    </row>
    <row r="40" spans="1:6">
      <c r="A40" s="1296" t="s">
        <v>29</v>
      </c>
      <c r="B40" s="1296" t="s">
        <v>28</v>
      </c>
      <c r="C40" s="1297">
        <v>0</v>
      </c>
      <c r="D40" s="1297">
        <v>0</v>
      </c>
      <c r="E40" s="1297">
        <v>0</v>
      </c>
      <c r="F40" s="1297">
        <v>0</v>
      </c>
    </row>
    <row r="41" spans="1:6">
      <c r="A41" s="1296" t="s">
        <v>31</v>
      </c>
      <c r="B41" s="1296" t="s">
        <v>32</v>
      </c>
      <c r="C41" s="1297">
        <v>12</v>
      </c>
      <c r="D41" s="1297">
        <v>158790.26</v>
      </c>
      <c r="E41" s="1297">
        <v>49</v>
      </c>
      <c r="F41" s="1297">
        <v>270624.935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34</v>
      </c>
      <c r="D48" s="1297">
        <v>264975657.59999999</v>
      </c>
      <c r="E48" s="1297">
        <v>58</v>
      </c>
      <c r="F48" s="1297">
        <v>7447877.5659999996</v>
      </c>
    </row>
    <row r="49" spans="1:6">
      <c r="A49" s="1296" t="s">
        <v>31</v>
      </c>
      <c r="B49" s="1296" t="s">
        <v>39</v>
      </c>
      <c r="C49" s="1297">
        <v>0</v>
      </c>
      <c r="D49" s="1297">
        <v>0</v>
      </c>
      <c r="E49" s="1297">
        <v>0</v>
      </c>
      <c r="F49" s="1297">
        <v>0</v>
      </c>
    </row>
    <row r="50" spans="1:6">
      <c r="A50" s="1296" t="s">
        <v>31</v>
      </c>
      <c r="B50" s="1296" t="s">
        <v>40</v>
      </c>
      <c r="C50" s="1297">
        <v>0</v>
      </c>
      <c r="D50" s="1297">
        <v>0</v>
      </c>
      <c r="E50" s="1297">
        <v>8</v>
      </c>
      <c r="F50" s="1297">
        <v>74631369.599999994</v>
      </c>
    </row>
    <row r="51" spans="1:6">
      <c r="A51" s="1296" t="s">
        <v>41</v>
      </c>
      <c r="B51" s="1296" t="s">
        <v>42</v>
      </c>
      <c r="C51" s="1297">
        <v>10</v>
      </c>
      <c r="D51" s="1297">
        <v>296821.85200000001</v>
      </c>
      <c r="E51" s="1297">
        <v>199</v>
      </c>
      <c r="F51" s="1297">
        <v>5337567.7630000003</v>
      </c>
    </row>
    <row r="52" spans="1:6">
      <c r="A52" s="1296" t="s">
        <v>41</v>
      </c>
      <c r="B52" s="1296" t="s">
        <v>28</v>
      </c>
      <c r="C52" s="1297">
        <v>8</v>
      </c>
      <c r="D52" s="1297">
        <v>150810.94200000001</v>
      </c>
      <c r="E52" s="1297">
        <v>33</v>
      </c>
      <c r="F52" s="1297">
        <v>1105731.2890000001</v>
      </c>
    </row>
    <row r="53" spans="1:6">
      <c r="A53" s="1296" t="s">
        <v>43</v>
      </c>
      <c r="B53" s="1296" t="s">
        <v>44</v>
      </c>
      <c r="C53" s="1297">
        <v>56</v>
      </c>
      <c r="D53" s="1297">
        <v>706959.27</v>
      </c>
      <c r="E53" s="1297">
        <v>150</v>
      </c>
      <c r="F53" s="1297">
        <v>499132.451</v>
      </c>
    </row>
    <row r="54" spans="1:6">
      <c r="A54" s="1296" t="s">
        <v>45</v>
      </c>
      <c r="B54" s="1296" t="s">
        <v>46</v>
      </c>
      <c r="C54" s="1297">
        <v>0</v>
      </c>
      <c r="D54" s="1297">
        <v>0</v>
      </c>
      <c r="E54" s="1297">
        <v>1</v>
      </c>
      <c r="F54" s="1297">
        <v>706087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32</v>
      </c>
      <c r="D57" s="1297">
        <v>1125863.848</v>
      </c>
      <c r="E57" s="1297">
        <v>71</v>
      </c>
      <c r="F57" s="1297">
        <v>679518.08799999999</v>
      </c>
    </row>
    <row r="58" spans="1:6">
      <c r="A58" s="1296" t="s">
        <v>48</v>
      </c>
      <c r="B58" s="1296" t="s">
        <v>50</v>
      </c>
      <c r="C58" s="1297">
        <v>3</v>
      </c>
      <c r="D58" s="1297">
        <v>125144.95600000001</v>
      </c>
      <c r="E58" s="1297">
        <v>12</v>
      </c>
      <c r="F58" s="1297">
        <v>86661.233999999997</v>
      </c>
    </row>
    <row r="59" spans="1:6">
      <c r="A59" s="1296" t="s">
        <v>48</v>
      </c>
      <c r="B59" s="1296" t="s">
        <v>51</v>
      </c>
      <c r="C59" s="1297">
        <v>3</v>
      </c>
      <c r="D59" s="1297">
        <v>32303.847000000002</v>
      </c>
      <c r="E59" s="1297">
        <v>29</v>
      </c>
      <c r="F59" s="1297">
        <v>535576.83799999999</v>
      </c>
    </row>
    <row r="60" spans="1:6">
      <c r="A60" s="1296" t="s">
        <v>48</v>
      </c>
      <c r="B60" s="1296" t="s">
        <v>52</v>
      </c>
      <c r="C60" s="1297">
        <v>37</v>
      </c>
      <c r="D60" s="1297">
        <v>1340223.1240000001</v>
      </c>
      <c r="E60" s="1297">
        <v>85</v>
      </c>
      <c r="F60" s="1297">
        <v>2051067.03</v>
      </c>
    </row>
    <row r="61" spans="1:6">
      <c r="A61" s="1296" t="s">
        <v>48</v>
      </c>
      <c r="B61" s="1296" t="s">
        <v>53</v>
      </c>
      <c r="C61" s="1297">
        <v>8</v>
      </c>
      <c r="D61" s="1297">
        <v>853405.56700000004</v>
      </c>
      <c r="E61" s="1297">
        <v>36</v>
      </c>
      <c r="F61" s="1297">
        <v>447924.37900000002</v>
      </c>
    </row>
    <row r="62" spans="1:6">
      <c r="A62" s="1296" t="s">
        <v>48</v>
      </c>
      <c r="B62" s="1296" t="s">
        <v>54</v>
      </c>
      <c r="C62" s="1297">
        <v>0</v>
      </c>
      <c r="D62" s="1297">
        <v>0</v>
      </c>
      <c r="E62" s="1297">
        <v>0</v>
      </c>
      <c r="F62" s="1297">
        <v>0</v>
      </c>
    </row>
    <row r="63" spans="1:6">
      <c r="A63" s="1296" t="s">
        <v>48</v>
      </c>
      <c r="B63" s="1296" t="s">
        <v>28</v>
      </c>
      <c r="C63" s="1297">
        <v>141</v>
      </c>
      <c r="D63" s="1297">
        <v>5420827.6540000001</v>
      </c>
      <c r="E63" s="1297">
        <v>255</v>
      </c>
      <c r="F63" s="1297">
        <v>4076802.6310000001</v>
      </c>
    </row>
    <row r="64" spans="1:6">
      <c r="A64" s="1296" t="s">
        <v>55</v>
      </c>
      <c r="B64" s="1296" t="s">
        <v>56</v>
      </c>
      <c r="C64" s="1297">
        <v>0</v>
      </c>
      <c r="D64" s="1297">
        <v>0</v>
      </c>
      <c r="E64" s="1297">
        <v>0</v>
      </c>
      <c r="F64" s="1297">
        <v>0</v>
      </c>
    </row>
    <row r="65" spans="1:6">
      <c r="A65" s="1296" t="s">
        <v>55</v>
      </c>
      <c r="B65" s="1296" t="s">
        <v>28</v>
      </c>
      <c r="C65" s="1297">
        <v>1</v>
      </c>
      <c r="D65" s="1297">
        <v>8486.6919999999991</v>
      </c>
      <c r="E65" s="1297">
        <v>10</v>
      </c>
      <c r="F65" s="1297">
        <v>26053.249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4</v>
      </c>
      <c r="F68" s="1299">
        <v>298111.92599999998</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29454754</v>
      </c>
      <c r="E73" s="444"/>
      <c r="F73" s="326"/>
    </row>
    <row r="74" spans="1:6">
      <c r="A74" s="1296" t="s">
        <v>63</v>
      </c>
      <c r="B74" s="1296" t="s">
        <v>633</v>
      </c>
      <c r="C74" s="1309" t="s">
        <v>635</v>
      </c>
      <c r="D74" s="1297">
        <v>2632307</v>
      </c>
      <c r="E74" s="444"/>
      <c r="F74" s="326"/>
    </row>
    <row r="75" spans="1:6">
      <c r="A75" s="1296" t="s">
        <v>64</v>
      </c>
      <c r="B75" s="1296" t="s">
        <v>632</v>
      </c>
      <c r="C75" s="1309" t="s">
        <v>636</v>
      </c>
      <c r="D75" s="1297">
        <v>6773676</v>
      </c>
      <c r="E75" s="444"/>
      <c r="F75" s="326"/>
    </row>
    <row r="76" spans="1:6">
      <c r="A76" s="1296" t="s">
        <v>64</v>
      </c>
      <c r="B76" s="1296" t="s">
        <v>633</v>
      </c>
      <c r="C76" s="1309" t="s">
        <v>637</v>
      </c>
      <c r="D76" s="1297">
        <v>206738</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73182</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2710.3395809620092</v>
      </c>
      <c r="C91" s="326"/>
      <c r="D91" s="326"/>
      <c r="E91" s="326"/>
      <c r="F91" s="326"/>
    </row>
    <row r="92" spans="1:6">
      <c r="A92" s="1291" t="s">
        <v>68</v>
      </c>
      <c r="B92" s="1292">
        <v>986.64098865466076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1025</v>
      </c>
      <c r="C97" s="326"/>
      <c r="D97" s="326"/>
      <c r="E97" s="326"/>
      <c r="F97" s="326"/>
    </row>
    <row r="98" spans="1:6">
      <c r="A98" s="1296" t="s">
        <v>71</v>
      </c>
      <c r="B98" s="1297">
        <v>3</v>
      </c>
      <c r="C98" s="326"/>
      <c r="D98" s="326"/>
      <c r="E98" s="326"/>
      <c r="F98" s="326"/>
    </row>
    <row r="99" spans="1:6">
      <c r="A99" s="1296" t="s">
        <v>72</v>
      </c>
      <c r="B99" s="1297">
        <v>202</v>
      </c>
      <c r="C99" s="326"/>
      <c r="D99" s="326"/>
      <c r="E99" s="326"/>
      <c r="F99" s="326"/>
    </row>
    <row r="100" spans="1:6">
      <c r="A100" s="1296" t="s">
        <v>73</v>
      </c>
      <c r="B100" s="1297">
        <v>175</v>
      </c>
      <c r="C100" s="326"/>
      <c r="D100" s="326"/>
      <c r="E100" s="326"/>
      <c r="F100" s="326"/>
    </row>
    <row r="101" spans="1:6">
      <c r="A101" s="1296" t="s">
        <v>74</v>
      </c>
      <c r="B101" s="1297">
        <v>136</v>
      </c>
      <c r="C101" s="326"/>
      <c r="D101" s="326"/>
      <c r="E101" s="326"/>
      <c r="F101" s="326"/>
    </row>
    <row r="102" spans="1:6">
      <c r="A102" s="1296" t="s">
        <v>75</v>
      </c>
      <c r="B102" s="1297">
        <v>56</v>
      </c>
      <c r="C102" s="326"/>
      <c r="D102" s="326"/>
      <c r="E102" s="326"/>
      <c r="F102" s="326"/>
    </row>
    <row r="103" spans="1:6">
      <c r="A103" s="1296" t="s">
        <v>76</v>
      </c>
      <c r="B103" s="1297">
        <v>271</v>
      </c>
      <c r="C103" s="326"/>
      <c r="D103" s="326"/>
      <c r="E103" s="326"/>
      <c r="F103" s="326"/>
    </row>
    <row r="104" spans="1:6">
      <c r="A104" s="1296" t="s">
        <v>77</v>
      </c>
      <c r="B104" s="1297">
        <v>1200</v>
      </c>
      <c r="C104" s="326"/>
      <c r="D104" s="326"/>
      <c r="E104" s="326"/>
      <c r="F104" s="326"/>
    </row>
    <row r="105" spans="1:6">
      <c r="A105" s="1291" t="s">
        <v>78</v>
      </c>
      <c r="B105" s="1299">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8</v>
      </c>
      <c r="C123" s="1297">
        <v>8</v>
      </c>
      <c r="D123" s="326"/>
      <c r="E123" s="326"/>
      <c r="F123" s="326"/>
    </row>
    <row r="124" spans="1:6">
      <c r="A124" s="1296" t="s">
        <v>88</v>
      </c>
      <c r="B124" s="1297">
        <v>0</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135</v>
      </c>
      <c r="C129" s="326"/>
      <c r="D129" s="326"/>
      <c r="E129" s="326"/>
      <c r="F129" s="326"/>
    </row>
    <row r="130" spans="1:6">
      <c r="A130" s="1296" t="s">
        <v>283</v>
      </c>
      <c r="B130" s="1297">
        <v>6</v>
      </c>
      <c r="C130" s="326"/>
      <c r="D130" s="326"/>
      <c r="E130" s="326"/>
      <c r="F130" s="326"/>
    </row>
    <row r="131" spans="1:6">
      <c r="A131" s="1296" t="s">
        <v>284</v>
      </c>
      <c r="B131" s="1297">
        <v>2</v>
      </c>
      <c r="C131" s="326"/>
      <c r="D131" s="326"/>
      <c r="E131" s="326"/>
      <c r="F131" s="326"/>
    </row>
    <row r="132" spans="1:6">
      <c r="A132" s="1291" t="s">
        <v>285</v>
      </c>
      <c r="B132" s="1292">
        <v>18</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111376.86985377265</v>
      </c>
      <c r="C3" s="43" t="s">
        <v>163</v>
      </c>
      <c r="D3" s="43"/>
      <c r="E3" s="154"/>
      <c r="F3" s="43"/>
      <c r="G3" s="43"/>
      <c r="H3" s="43"/>
      <c r="I3" s="43"/>
      <c r="J3" s="43"/>
      <c r="K3" s="96"/>
    </row>
    <row r="4" spans="1:11">
      <c r="A4" s="352" t="s">
        <v>164</v>
      </c>
      <c r="B4" s="49">
        <f>IF(ISERROR('SEAP template'!B78+'SEAP template'!C78),0,'SEAP template'!B78+'SEAP template'!C78)</f>
        <v>3696.98056961667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0.21366425150071131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706.08699999999999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706.08699999999999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0.21366425150071131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150.86555034938274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10752.278269999999</v>
      </c>
      <c r="C5" s="17">
        <f>IF(ISERROR('Eigen informatie GS &amp; warmtenet'!B59),0,'Eigen informatie GS &amp; warmtenet'!B59)</f>
        <v>0</v>
      </c>
      <c r="D5" s="30">
        <f>(SUM(HH_hh_gas_kWh,HH_rest_gas_kWh)/1000)*0.902</f>
        <v>22446.813310680001</v>
      </c>
      <c r="E5" s="17">
        <f>B32*B41</f>
        <v>1449.2234705898641</v>
      </c>
      <c r="F5" s="17">
        <f>B36*B45</f>
        <v>23363.413880130611</v>
      </c>
      <c r="G5" s="18"/>
      <c r="H5" s="17"/>
      <c r="I5" s="17"/>
      <c r="J5" s="17">
        <f>B35*B44+C35*C44</f>
        <v>93.335808401260778</v>
      </c>
      <c r="K5" s="17"/>
      <c r="L5" s="17"/>
      <c r="M5" s="17"/>
      <c r="N5" s="17">
        <f>B34*B43+C34*C43</f>
        <v>4717.9605208430721</v>
      </c>
      <c r="O5" s="17">
        <f>B52*B53*B54</f>
        <v>285.68998359173258</v>
      </c>
      <c r="P5" s="17">
        <f>B60*B61*B62/1000-B60*B61*B62/1000/B63</f>
        <v>273.88294199981061</v>
      </c>
    </row>
    <row r="6" spans="1:16">
      <c r="A6" s="16" t="s">
        <v>598</v>
      </c>
      <c r="B6" s="776">
        <f>kWh_PV_kleiner_dan_10kW</f>
        <v>2710.3395809620092</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13462.617850962008</v>
      </c>
      <c r="C8" s="21">
        <f>C5</f>
        <v>0</v>
      </c>
      <c r="D8" s="21">
        <f>D5</f>
        <v>22446.813310680001</v>
      </c>
      <c r="E8" s="21">
        <f>E5</f>
        <v>1449.2234705898641</v>
      </c>
      <c r="F8" s="21">
        <f>F5</f>
        <v>23363.413880130611</v>
      </c>
      <c r="G8" s="21"/>
      <c r="H8" s="21"/>
      <c r="I8" s="21"/>
      <c r="J8" s="21">
        <f>J5</f>
        <v>93.335808401260778</v>
      </c>
      <c r="K8" s="21"/>
      <c r="L8" s="21">
        <f>L5</f>
        <v>0</v>
      </c>
      <c r="M8" s="21">
        <f>M5</f>
        <v>0</v>
      </c>
      <c r="N8" s="21">
        <f>N5</f>
        <v>4717.9605208430721</v>
      </c>
      <c r="O8" s="21">
        <f>O5</f>
        <v>285.68998359173258</v>
      </c>
      <c r="P8" s="21">
        <f>P5</f>
        <v>273.88294199981061</v>
      </c>
    </row>
    <row r="9" spans="1:16">
      <c r="B9" s="19"/>
      <c r="C9" s="19"/>
      <c r="D9" s="256"/>
      <c r="E9" s="19"/>
      <c r="F9" s="19"/>
      <c r="G9" s="19"/>
      <c r="H9" s="19"/>
      <c r="I9" s="19"/>
      <c r="J9" s="19"/>
      <c r="K9" s="19"/>
      <c r="L9" s="19"/>
      <c r="M9" s="19"/>
      <c r="N9" s="19"/>
      <c r="O9" s="19"/>
      <c r="P9" s="19"/>
    </row>
    <row r="10" spans="1:16">
      <c r="A10" s="24" t="s">
        <v>207</v>
      </c>
      <c r="B10" s="25">
        <f ca="1">'EF ele_warmte'!B12</f>
        <v>0.21366425150071131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2876.4801663659118</v>
      </c>
      <c r="C12" s="23">
        <f ca="1">C10*C8</f>
        <v>0</v>
      </c>
      <c r="D12" s="23">
        <f>D8*D10</f>
        <v>4534.2562887573604</v>
      </c>
      <c r="E12" s="23">
        <f>E10*E8</f>
        <v>328.97372782389914</v>
      </c>
      <c r="F12" s="23">
        <f>F10*F8</f>
        <v>6238.0315059948734</v>
      </c>
      <c r="G12" s="23"/>
      <c r="H12" s="23"/>
      <c r="I12" s="23"/>
      <c r="J12" s="23">
        <f>J10*J8</f>
        <v>33.040876174046311</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3286</v>
      </c>
      <c r="C26" s="36"/>
      <c r="D26" s="226"/>
    </row>
    <row r="27" spans="1:7" s="15" customFormat="1">
      <c r="A27" s="228" t="s">
        <v>800</v>
      </c>
      <c r="B27" s="37">
        <f>SUM(HH_hh_gas_aantal,HH_rest_gas_aantal)</f>
        <v>1663</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1579.85</v>
      </c>
      <c r="C31" s="166" t="s">
        <v>104</v>
      </c>
      <c r="D31" s="231"/>
      <c r="G31" s="15"/>
    </row>
    <row r="32" spans="1:7">
      <c r="A32" s="169" t="s">
        <v>72</v>
      </c>
      <c r="B32" s="166">
        <f>IF((B21*($B$26-($B$27-0.05*$B$27)-$B$60))&lt;0,0,B21*($B$26-($B$27-0.05*$B$27)-$B$60))</f>
        <v>26.672715085614385</v>
      </c>
      <c r="C32" s="166" t="s">
        <v>104</v>
      </c>
      <c r="D32" s="231"/>
      <c r="G32" s="15"/>
    </row>
    <row r="33" spans="1:7">
      <c r="A33" s="169" t="s">
        <v>73</v>
      </c>
      <c r="B33" s="166">
        <f>IF((B22*($B$26-($B$27-0.05*$B$27)-$B$60))&lt;0,0,B22*($B$26-($B$27-0.05*$B$27)-$B$60))</f>
        <v>433.11206709833948</v>
      </c>
      <c r="C33" s="166" t="s">
        <v>104</v>
      </c>
      <c r="D33" s="231"/>
      <c r="G33" s="15"/>
    </row>
    <row r="34" spans="1:7">
      <c r="A34" s="169" t="s">
        <v>74</v>
      </c>
      <c r="B34" s="166">
        <f>IF((B24*($B$26-($B$27-0.05*$B$27)-$B$60))&lt;0,0,B24*($B$26-($B$27-0.05*$B$27)-$B$60))</f>
        <v>83.033379369439118</v>
      </c>
      <c r="C34" s="166">
        <f>B26*C24</f>
        <v>673.32091820430412</v>
      </c>
      <c r="D34" s="231"/>
      <c r="G34" s="15"/>
    </row>
    <row r="35" spans="1:7">
      <c r="A35" s="169" t="s">
        <v>76</v>
      </c>
      <c r="B35" s="166">
        <f>IF((B19*($B$26-($B$27-0.05*$B$27)-$B$60))&lt;0,0,B19*($B$26-($B$27-0.05*$B$27)-$B$60))</f>
        <v>11.594565658223276</v>
      </c>
      <c r="C35" s="166">
        <f>B35/2</f>
        <v>5.7972828291116381</v>
      </c>
      <c r="D35" s="232"/>
      <c r="G35" s="15"/>
    </row>
    <row r="36" spans="1:7">
      <c r="A36" s="169" t="s">
        <v>77</v>
      </c>
      <c r="B36" s="166">
        <f>IF((B18*($B$26-($B$27-0.05*$B$27)-$B$60))&lt;0,0,B18*($B$26-($B$27-0.05*$B$27)-$B$60))</f>
        <v>1125.7372727883835</v>
      </c>
      <c r="C36" s="166" t="s">
        <v>104</v>
      </c>
      <c r="D36" s="232"/>
      <c r="G36" s="15"/>
    </row>
    <row r="37" spans="1:7">
      <c r="A37" s="169" t="s">
        <v>78</v>
      </c>
      <c r="B37" s="166">
        <f>B60</f>
        <v>26</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144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26</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7877.5501999999997</v>
      </c>
      <c r="C5" s="17">
        <f>IF(ISERROR('Eigen informatie GS &amp; warmtenet'!B60),0,'Eigen informatie GS &amp; warmtenet'!B60)</f>
        <v>0</v>
      </c>
      <c r="D5" s="30">
        <f>SUM(D6:D12)</f>
        <v>8025.7876343919997</v>
      </c>
      <c r="E5" s="17">
        <f>SUM(E6:E12)</f>
        <v>93.835834559223031</v>
      </c>
      <c r="F5" s="17">
        <f>SUM(F6:F12)</f>
        <v>933.55611393677134</v>
      </c>
      <c r="G5" s="18"/>
      <c r="H5" s="17"/>
      <c r="I5" s="17"/>
      <c r="J5" s="17">
        <f>SUM(J6:J12)</f>
        <v>1.9348512725531928E-2</v>
      </c>
      <c r="K5" s="17"/>
      <c r="L5" s="17"/>
      <c r="M5" s="17"/>
      <c r="N5" s="17">
        <f>SUM(N6:N12)</f>
        <v>759.66480399850229</v>
      </c>
      <c r="O5" s="17">
        <f>B38*B39*B40</f>
        <v>29.383564595046927</v>
      </c>
      <c r="P5" s="17">
        <f>B46*B47*B48/1000-B46*B47*B48/1000/B49</f>
        <v>105.07827661299004</v>
      </c>
      <c r="R5" s="32"/>
    </row>
    <row r="6" spans="1:18">
      <c r="A6" s="32" t="s">
        <v>53</v>
      </c>
      <c r="B6" s="37">
        <f>B26</f>
        <v>447.92437899999999</v>
      </c>
      <c r="C6" s="33"/>
      <c r="D6" s="37">
        <f>IF(ISERROR(TER_kantoor_gas_kWh/1000),0,TER_kantoor_gas_kWh/1000)*0.902</f>
        <v>769.771821434</v>
      </c>
      <c r="E6" s="33">
        <f>$C$26*'E Balans VL '!I12/100/3.6*1000000</f>
        <v>3.6043038619426904</v>
      </c>
      <c r="F6" s="33">
        <f>$C$26*('E Balans VL '!L12+'E Balans VL '!N12)/100/3.6*1000000</f>
        <v>54.763467346358858</v>
      </c>
      <c r="G6" s="34"/>
      <c r="H6" s="33"/>
      <c r="I6" s="33"/>
      <c r="J6" s="33">
        <f>$C$26*('E Balans VL '!D12+'E Balans VL '!E12)/100/3.6*1000000</f>
        <v>0</v>
      </c>
      <c r="K6" s="33"/>
      <c r="L6" s="33"/>
      <c r="M6" s="33"/>
      <c r="N6" s="33">
        <f>$C$26*'E Balans VL '!Y12/100/3.6*1000000</f>
        <v>0.24073729582425868</v>
      </c>
      <c r="O6" s="33"/>
      <c r="P6" s="33"/>
      <c r="R6" s="32"/>
    </row>
    <row r="7" spans="1:18">
      <c r="A7" s="32" t="s">
        <v>52</v>
      </c>
      <c r="B7" s="37">
        <f t="shared" ref="B7:B12" si="0">B27</f>
        <v>2051.0670300000002</v>
      </c>
      <c r="C7" s="33"/>
      <c r="D7" s="37">
        <f>IF(ISERROR(TER_horeca_gas_kWh/1000),0,TER_horeca_gas_kWh/1000)*0.902</f>
        <v>1208.8812578480001</v>
      </c>
      <c r="E7" s="33">
        <f>$C$27*'E Balans VL '!I9/100/3.6*1000000</f>
        <v>22.023423362103905</v>
      </c>
      <c r="F7" s="33">
        <f>$C$27*('E Balans VL '!L9+'E Balans VL '!N9)/100/3.6*1000000</f>
        <v>246.69362801487131</v>
      </c>
      <c r="G7" s="34"/>
      <c r="H7" s="33"/>
      <c r="I7" s="33"/>
      <c r="J7" s="33">
        <f>$C$27*('E Balans VL '!D9+'E Balans VL '!E9)/100/3.6*1000000</f>
        <v>0</v>
      </c>
      <c r="K7" s="33"/>
      <c r="L7" s="33"/>
      <c r="M7" s="33"/>
      <c r="N7" s="33">
        <f>$C$27*'E Balans VL '!Y9/100/3.6*1000000</f>
        <v>0.30749651809944695</v>
      </c>
      <c r="O7" s="33"/>
      <c r="P7" s="33"/>
      <c r="R7" s="32"/>
    </row>
    <row r="8" spans="1:18">
      <c r="A8" s="6" t="s">
        <v>51</v>
      </c>
      <c r="B8" s="37">
        <f t="shared" si="0"/>
        <v>535.57683799999995</v>
      </c>
      <c r="C8" s="33"/>
      <c r="D8" s="37">
        <f>IF(ISERROR(TER_handel_gas_kWh/1000),0,TER_handel_gas_kWh/1000)*0.902</f>
        <v>29.138069994000006</v>
      </c>
      <c r="E8" s="33">
        <f>$C$28*'E Balans VL '!I13/100/3.6*1000000</f>
        <v>14.373242679336393</v>
      </c>
      <c r="F8" s="33">
        <f>$C$28*('E Balans VL '!L13+'E Balans VL '!N13)/100/3.6*1000000</f>
        <v>51.110537248973607</v>
      </c>
      <c r="G8" s="34"/>
      <c r="H8" s="33"/>
      <c r="I8" s="33"/>
      <c r="J8" s="33">
        <f>$C$28*('E Balans VL '!D13+'E Balans VL '!E13)/100/3.6*1000000</f>
        <v>0</v>
      </c>
      <c r="K8" s="33"/>
      <c r="L8" s="33"/>
      <c r="M8" s="33"/>
      <c r="N8" s="33">
        <f>$C$28*'E Balans VL '!Y13/100/3.6*1000000</f>
        <v>0.21230874829830257</v>
      </c>
      <c r="O8" s="33"/>
      <c r="P8" s="33"/>
      <c r="R8" s="32"/>
    </row>
    <row r="9" spans="1:18">
      <c r="A9" s="32" t="s">
        <v>50</v>
      </c>
      <c r="B9" s="37">
        <f t="shared" si="0"/>
        <v>86.661233999999993</v>
      </c>
      <c r="C9" s="33"/>
      <c r="D9" s="37">
        <f>IF(ISERROR(TER_gezond_gas_kWh/1000),0,TER_gezond_gas_kWh/1000)*0.902</f>
        <v>112.880750312</v>
      </c>
      <c r="E9" s="33">
        <f>$C$29*'E Balans VL '!I10/100/3.6*1000000</f>
        <v>0.16243137063912841</v>
      </c>
      <c r="F9" s="33">
        <f>$C$29*('E Balans VL '!L10+'E Balans VL '!N10)/100/3.6*1000000</f>
        <v>7.1243441576324322</v>
      </c>
      <c r="G9" s="34"/>
      <c r="H9" s="33"/>
      <c r="I9" s="33"/>
      <c r="J9" s="33">
        <f>$C$29*('E Balans VL '!D10+'E Balans VL '!E10)/100/3.6*1000000</f>
        <v>0</v>
      </c>
      <c r="K9" s="33"/>
      <c r="L9" s="33"/>
      <c r="M9" s="33"/>
      <c r="N9" s="33">
        <f>$C$29*'E Balans VL '!Y10/100/3.6*1000000</f>
        <v>0.67428905909115688</v>
      </c>
      <c r="O9" s="33"/>
      <c r="P9" s="33"/>
      <c r="R9" s="32"/>
    </row>
    <row r="10" spans="1:18">
      <c r="A10" s="32" t="s">
        <v>49</v>
      </c>
      <c r="B10" s="37">
        <f t="shared" si="0"/>
        <v>679.51808800000003</v>
      </c>
      <c r="C10" s="33"/>
      <c r="D10" s="37">
        <f>IF(ISERROR(TER_ander_gas_kWh/1000),0,TER_ander_gas_kWh/1000)*0.902</f>
        <v>1015.529190896</v>
      </c>
      <c r="E10" s="33">
        <f>$C$30*'E Balans VL '!I14/100/3.6*1000000</f>
        <v>1.0474840181023968</v>
      </c>
      <c r="F10" s="33">
        <f>$C$30*('E Balans VL '!L14+'E Balans VL '!N14)/100/3.6*1000000</f>
        <v>105.49537075328176</v>
      </c>
      <c r="G10" s="34"/>
      <c r="H10" s="33"/>
      <c r="I10" s="33"/>
      <c r="J10" s="33">
        <f>$C$30*('E Balans VL '!D14+'E Balans VL '!E14)/100/3.6*1000000</f>
        <v>1.153553618042754E-2</v>
      </c>
      <c r="K10" s="33"/>
      <c r="L10" s="33"/>
      <c r="M10" s="33"/>
      <c r="N10" s="33">
        <f>$C$30*'E Balans VL '!Y14/100/3.6*1000000</f>
        <v>449.54738862955634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4076.802631</v>
      </c>
      <c r="C12" s="33"/>
      <c r="D12" s="37">
        <f>IF(ISERROR(TER_rest_gas_kWh/1000),0,TER_rest_gas_kWh/1000)*0.902</f>
        <v>4889.5865439079998</v>
      </c>
      <c r="E12" s="33">
        <f>$C$32*'E Balans VL '!I8/100/3.6*1000000</f>
        <v>52.624949267098522</v>
      </c>
      <c r="F12" s="33">
        <f>$C$32*('E Balans VL '!L8+'E Balans VL '!N8)/100/3.6*1000000</f>
        <v>468.36876641565334</v>
      </c>
      <c r="G12" s="34"/>
      <c r="H12" s="33"/>
      <c r="I12" s="33"/>
      <c r="J12" s="33">
        <f>$C$32*('E Balans VL '!D8+'E Balans VL '!E8)/100/3.6*1000000</f>
        <v>7.812976545104388E-3</v>
      </c>
      <c r="K12" s="33"/>
      <c r="L12" s="33"/>
      <c r="M12" s="33"/>
      <c r="N12" s="33">
        <f>$C$32*'E Balans VL '!Y8/100/3.6*1000000</f>
        <v>308.68258374763286</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7877.5501999999997</v>
      </c>
      <c r="C16" s="21">
        <f t="shared" ca="1" si="1"/>
        <v>0</v>
      </c>
      <c r="D16" s="21">
        <f t="shared" ca="1" si="1"/>
        <v>8025.7876343919997</v>
      </c>
      <c r="E16" s="21">
        <f t="shared" si="1"/>
        <v>93.835834559223031</v>
      </c>
      <c r="F16" s="21">
        <f t="shared" ca="1" si="1"/>
        <v>933.55611393677134</v>
      </c>
      <c r="G16" s="21">
        <f t="shared" si="1"/>
        <v>0</v>
      </c>
      <c r="H16" s="21">
        <f t="shared" si="1"/>
        <v>0</v>
      </c>
      <c r="I16" s="21">
        <f t="shared" si="1"/>
        <v>0</v>
      </c>
      <c r="J16" s="21">
        <f t="shared" si="1"/>
        <v>1.9348512725531928E-2</v>
      </c>
      <c r="K16" s="21">
        <f t="shared" si="1"/>
        <v>0</v>
      </c>
      <c r="L16" s="21">
        <f t="shared" ca="1" si="1"/>
        <v>0</v>
      </c>
      <c r="M16" s="21">
        <f t="shared" si="1"/>
        <v>0</v>
      </c>
      <c r="N16" s="21">
        <f t="shared" ca="1" si="1"/>
        <v>759.66480399850229</v>
      </c>
      <c r="O16" s="21">
        <f>O5</f>
        <v>29.383564595046927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0.21366425150071131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1683.1508671422787</v>
      </c>
      <c r="C20" s="23">
        <f t="shared" ref="C20:P20" ca="1" si="2">C16*C18</f>
        <v>0</v>
      </c>
      <c r="D20" s="23">
        <f t="shared" ca="1" si="2"/>
        <v>1621.209102147184</v>
      </c>
      <c r="E20" s="23">
        <f t="shared" si="2"/>
        <v>21.300734444943629</v>
      </c>
      <c r="F20" s="23">
        <f t="shared" ca="1" si="2"/>
        <v>249.25948242111795</v>
      </c>
      <c r="G20" s="23">
        <f t="shared" si="2"/>
        <v>0</v>
      </c>
      <c r="H20" s="23">
        <f t="shared" si="2"/>
        <v>0</v>
      </c>
      <c r="I20" s="23">
        <f t="shared" si="2"/>
        <v>0</v>
      </c>
      <c r="J20" s="23">
        <f t="shared" si="2"/>
        <v>6.849373504838302E-3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447.92437899999999</v>
      </c>
      <c r="C26" s="39">
        <f>IF(ISERROR(B26*3.6/1000000/'E Balans VL '!Z12*100),0,B26*3.6/1000000/'E Balans VL '!Z12*100)</f>
        <v>9.502305896737482E-3</v>
      </c>
      <c r="D26" s="235" t="s">
        <v>692</v>
      </c>
      <c r="F26" s="6"/>
    </row>
    <row r="27" spans="1:18">
      <c r="A27" s="229" t="s">
        <v>52</v>
      </c>
      <c r="B27" s="33">
        <f>IF(ISERROR(TER_horeca_ele_kWh/1000),0,TER_horeca_ele_kWh/1000)</f>
        <v>2051.0670300000002</v>
      </c>
      <c r="C27" s="39">
        <f>IF(ISERROR(B27*3.6/1000000/'E Balans VL '!Z9*100),0,B27*3.6/1000000/'E Balans VL '!Z9*100)</f>
        <v>0.15446351674973532</v>
      </c>
      <c r="D27" s="235" t="s">
        <v>692</v>
      </c>
      <c r="F27" s="6"/>
    </row>
    <row r="28" spans="1:18">
      <c r="A28" s="169" t="s">
        <v>51</v>
      </c>
      <c r="B28" s="33">
        <f>IF(ISERROR(TER_handel_ele_kWh/1000),0,TER_handel_ele_kWh/1000)</f>
        <v>535.57683799999995</v>
      </c>
      <c r="C28" s="39">
        <f>IF(ISERROR(B28*3.6/1000000/'E Balans VL '!Z13*100),0,B28*3.6/1000000/'E Balans VL '!Z13*100)</f>
        <v>1.5545897910341239E-2</v>
      </c>
      <c r="D28" s="235" t="s">
        <v>692</v>
      </c>
      <c r="F28" s="6"/>
    </row>
    <row r="29" spans="1:18">
      <c r="A29" s="229" t="s">
        <v>50</v>
      </c>
      <c r="B29" s="33">
        <f>IF(ISERROR(TER_gezond_ele_kWh/1000),0,TER_gezond_ele_kWh/1000)</f>
        <v>86.661233999999993</v>
      </c>
      <c r="C29" s="39">
        <f>IF(ISERROR(B29*3.6/1000000/'E Balans VL '!Z10*100),0,B29*3.6/1000000/'E Balans VL '!Z10*100)</f>
        <v>8.7398887966308042E-3</v>
      </c>
      <c r="D29" s="235" t="s">
        <v>692</v>
      </c>
      <c r="F29" s="6"/>
    </row>
    <row r="30" spans="1:18">
      <c r="A30" s="229" t="s">
        <v>49</v>
      </c>
      <c r="B30" s="33">
        <f>IF(ISERROR(TER_ander_ele_kWh/1000),0,TER_ander_ele_kWh/1000)</f>
        <v>679.51808800000003</v>
      </c>
      <c r="C30" s="39">
        <f>IF(ISERROR(B30*3.6/1000000/'E Balans VL '!Z14*100),0,B30*3.6/1000000/'E Balans VL '!Z14*100)</f>
        <v>4.9308307610881813E-2</v>
      </c>
      <c r="D30" s="235" t="s">
        <v>692</v>
      </c>
      <c r="F30" s="6"/>
    </row>
    <row r="31" spans="1:18">
      <c r="A31" s="229" t="s">
        <v>54</v>
      </c>
      <c r="B31" s="33">
        <f>IF(ISERROR(TER_onderwijs_ele_kWh/1000),0,TER_onderwijs_ele_kWh/1000)</f>
        <v>0</v>
      </c>
      <c r="C31" s="39">
        <f>IF(ISERROR(B31*3.6/1000000/'E Balans VL '!Z11*100),0,B31*3.6/1000000/'E Balans VL '!Z11*100)</f>
        <v>0</v>
      </c>
      <c r="D31" s="235" t="s">
        <v>692</v>
      </c>
    </row>
    <row r="32" spans="1:18">
      <c r="A32" s="229" t="s">
        <v>248</v>
      </c>
      <c r="B32" s="33">
        <f>IF(ISERROR(TER_rest_ele_kWh/1000),0,TER_rest_ele_kWh/1000)</f>
        <v>4076.802631</v>
      </c>
      <c r="C32" s="39">
        <f>IF(ISERROR(B32*3.6/1000000/'E Balans VL '!Z8*100),0,B32*3.6/1000000/'E Balans VL '!Z8*100)</f>
        <v>3.3396336747333881E-2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6</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82349.872100999986</v>
      </c>
      <c r="C5" s="17">
        <f>IF(ISERROR('Eigen informatie GS &amp; warmtenet'!B61),0,'Eigen informatie GS &amp; warmtenet'!B61)</f>
        <v>0</v>
      </c>
      <c r="D5" s="30">
        <f>SUM(D6:D15)</f>
        <v>239151.27196971999</v>
      </c>
      <c r="E5" s="17">
        <f>SUM(E6:E15)</f>
        <v>559.10760820603787</v>
      </c>
      <c r="F5" s="17">
        <f>SUM(F6:F15)</f>
        <v>5579.2044218104838</v>
      </c>
      <c r="G5" s="18"/>
      <c r="H5" s="17"/>
      <c r="I5" s="17"/>
      <c r="J5" s="17">
        <f>SUM(J6:J15)</f>
        <v>61.528506724495472</v>
      </c>
      <c r="K5" s="17"/>
      <c r="L5" s="17"/>
      <c r="M5" s="17"/>
      <c r="N5" s="17">
        <f>SUM(N6:N15)</f>
        <v>4648.9816879892205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270.62493499999999</v>
      </c>
      <c r="C9" s="33"/>
      <c r="D9" s="37">
        <f>IF( ISERROR(IND_andere_gas_kWh/1000),0,IND_andere_gas_kWh/1000)*0.902</f>
        <v>143.22881452000001</v>
      </c>
      <c r="E9" s="33">
        <f>C31*'E Balans VL '!I19/100/3.6*1000000</f>
        <v>74.99378819724086</v>
      </c>
      <c r="F9" s="33">
        <f>C31*'E Balans VL '!L19/100/3.6*1000000+C31*'E Balans VL '!N19/100/3.6*1000000</f>
        <v>224.29453095299181</v>
      </c>
      <c r="G9" s="34"/>
      <c r="H9" s="33"/>
      <c r="I9" s="33"/>
      <c r="J9" s="40">
        <f>C31*'E Balans VL '!D19/100/3.6*1000000+C31*'E Balans VL '!E19/100/3.6*1000000</f>
        <v>0</v>
      </c>
      <c r="K9" s="33"/>
      <c r="L9" s="33"/>
      <c r="M9" s="33"/>
      <c r="N9" s="33">
        <f>C31*'E Balans VL '!Y19/100/3.6*1000000</f>
        <v>19.644060179699135</v>
      </c>
      <c r="O9" s="33"/>
      <c r="P9" s="33"/>
      <c r="R9" s="32"/>
    </row>
    <row r="10" spans="1:18">
      <c r="A10" s="6" t="s">
        <v>40</v>
      </c>
      <c r="B10" s="37">
        <f t="shared" si="0"/>
        <v>74631.369599999991</v>
      </c>
      <c r="C10" s="33"/>
      <c r="D10" s="37">
        <f>IF( ISERROR(IND_voed_gas_kWh/1000),0,IND_voed_gas_kWh/1000)*0.902</f>
        <v>0</v>
      </c>
      <c r="E10" s="33">
        <f>C32*'E Balans VL '!I20/100/3.6*1000000</f>
        <v>132.12280345760962</v>
      </c>
      <c r="F10" s="33">
        <f>C32*'E Balans VL '!L20/100/3.6*1000000+C32*'E Balans VL '!N20/100/3.6*1000000</f>
        <v>4030.7554102954437</v>
      </c>
      <c r="G10" s="34"/>
      <c r="H10" s="33"/>
      <c r="I10" s="33"/>
      <c r="J10" s="40">
        <f>C32*'E Balans VL '!D20/100/3.6*1000000+C32*'E Balans VL '!E20/100/3.6*1000000</f>
        <v>0</v>
      </c>
      <c r="K10" s="33"/>
      <c r="L10" s="33"/>
      <c r="M10" s="33"/>
      <c r="N10" s="33">
        <f>C32*'E Balans VL '!Y20/100/3.6*1000000</f>
        <v>4336.6525406319288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7447.8775659999992</v>
      </c>
      <c r="C15" s="33"/>
      <c r="D15" s="37">
        <f>IF( ISERROR(IND_rest_gas_kWh/1000),0,IND_rest_gas_kWh/1000)*0.902</f>
        <v>239008.04315519999</v>
      </c>
      <c r="E15" s="33">
        <f>C37*'E Balans VL '!I15/100/3.6*1000000</f>
        <v>351.99101655118739</v>
      </c>
      <c r="F15" s="33">
        <f>C37*'E Balans VL '!L15/100/3.6*1000000+C37*'E Balans VL '!N15/100/3.6*1000000</f>
        <v>1324.1544805620488</v>
      </c>
      <c r="G15" s="34"/>
      <c r="H15" s="33"/>
      <c r="I15" s="33"/>
      <c r="J15" s="40">
        <f>C37*'E Balans VL '!D15/100/3.6*1000000+C37*'E Balans VL '!E15/100/3.6*1000000</f>
        <v>61.528506724495472</v>
      </c>
      <c r="K15" s="33"/>
      <c r="L15" s="33"/>
      <c r="M15" s="33"/>
      <c r="N15" s="33">
        <f>C37*'E Balans VL '!Y15/100/3.6*1000000</f>
        <v>292.6850871775921</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82349.872100999986</v>
      </c>
      <c r="C18" s="21">
        <f>C5+C16</f>
        <v>0</v>
      </c>
      <c r="D18" s="21">
        <f>MAX((D5+D16),0)</f>
        <v>239151.27196971999</v>
      </c>
      <c r="E18" s="21">
        <f>MAX((E5+E16),0)</f>
        <v>559.10760820603787</v>
      </c>
      <c r="F18" s="21">
        <f>MAX((F5+F16),0)</f>
        <v>5579.2044218104838</v>
      </c>
      <c r="G18" s="21"/>
      <c r="H18" s="21"/>
      <c r="I18" s="21"/>
      <c r="J18" s="21">
        <f>MAX((J5+J16),0)</f>
        <v>61.528506724495472</v>
      </c>
      <c r="K18" s="21"/>
      <c r="L18" s="21">
        <f>MAX((L5+L16),0)</f>
        <v>0</v>
      </c>
      <c r="M18" s="21"/>
      <c r="N18" s="21">
        <f>MAX((N5+N16),0)</f>
        <v>4648.9816879892205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0.21366425150071131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17595.223783639471</v>
      </c>
      <c r="C22" s="23">
        <f ca="1">C18*C20</f>
        <v>0</v>
      </c>
      <c r="D22" s="23">
        <f>D18*D20</f>
        <v>48308.556937883441</v>
      </c>
      <c r="E22" s="23">
        <f>E18*E20</f>
        <v>126.9174270627706</v>
      </c>
      <c r="F22" s="23">
        <f>F18*F20</f>
        <v>1489.6475806233993</v>
      </c>
      <c r="G22" s="23"/>
      <c r="H22" s="23"/>
      <c r="I22" s="23"/>
      <c r="J22" s="23">
        <f>J18*J20</f>
        <v>21.781091380471395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0</v>
      </c>
      <c r="C30" s="39">
        <f>IF(ISERROR(B30*3.6/1000000/'E Balans VL '!Z18*100),0,B30*3.6/1000000/'E Balans VL '!Z18*100)</f>
        <v>0</v>
      </c>
      <c r="D30" s="235" t="s">
        <v>692</v>
      </c>
    </row>
    <row r="31" spans="1:18">
      <c r="A31" s="6" t="s">
        <v>32</v>
      </c>
      <c r="B31" s="37">
        <f>IF( ISERROR(IND_ander_ele_kWh/1000),0,IND_ander_ele_kWh/1000)</f>
        <v>270.62493499999999</v>
      </c>
      <c r="C31" s="39">
        <f>IF(ISERROR(B31*3.6/1000000/'E Balans VL '!Z19*100),0,B31*3.6/1000000/'E Balans VL '!Z19*100)</f>
        <v>1.3611557033739114E-2</v>
      </c>
      <c r="D31" s="235" t="s">
        <v>692</v>
      </c>
    </row>
    <row r="32" spans="1:18">
      <c r="A32" s="169" t="s">
        <v>40</v>
      </c>
      <c r="B32" s="37">
        <f>IF( ISERROR(IND_voed_ele_kWh/1000),0,IND_voed_ele_kWh/1000)</f>
        <v>74631.369599999991</v>
      </c>
      <c r="C32" s="39">
        <f>IF(ISERROR(B32*3.6/1000000/'E Balans VL '!Z20*100),0,B32*3.6/1000000/'E Balans VL '!Z20*100)</f>
        <v>2.4856677872676354</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7447.8775659999992</v>
      </c>
      <c r="C37" s="39">
        <f>IF(ISERROR(B37*3.6/1000000/'E Balans VL '!Z15*100),0,B37*3.6/1000000/'E Balans VL '!Z15*100)</f>
        <v>5.8113812213114444E-2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6443.2990520000003</v>
      </c>
      <c r="C5" s="17">
        <f>'Eigen informatie GS &amp; warmtenet'!B62</f>
        <v>0</v>
      </c>
      <c r="D5" s="30">
        <f>IF(ISERROR(SUM(LB_lb_gas_kWh,LB_rest_gas_kWh)/1000),0,SUM(LB_lb_gas_kWh,LB_rest_gas_kWh)/1000)*0.902</f>
        <v>403.76478018799997</v>
      </c>
      <c r="E5" s="17">
        <f>B17*'E Balans VL '!I25/3.6*1000000/100</f>
        <v>201.09323867501709</v>
      </c>
      <c r="F5" s="17">
        <f>B17*('E Balans VL '!L25/3.6*1000000+'E Balans VL '!N25/3.6*1000000)/100</f>
        <v>22771.332619182343</v>
      </c>
      <c r="G5" s="18"/>
      <c r="H5" s="17"/>
      <c r="I5" s="17"/>
      <c r="J5" s="17">
        <f>('E Balans VL '!D25+'E Balans VL '!E25)/3.6*1000000*landbouw!B17/100</f>
        <v>1775.1735727133189</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6443.2990520000003</v>
      </c>
      <c r="C8" s="21">
        <f>C5+C6</f>
        <v>0</v>
      </c>
      <c r="D8" s="21">
        <f>MAX((D5+D6),0)</f>
        <v>403.76478018799997</v>
      </c>
      <c r="E8" s="21">
        <f>MAX((E5+E6),0)</f>
        <v>201.09323867501709</v>
      </c>
      <c r="F8" s="21">
        <f>MAX((F5+F6),0)</f>
        <v>22771.332619182343</v>
      </c>
      <c r="G8" s="21"/>
      <c r="H8" s="21"/>
      <c r="I8" s="21"/>
      <c r="J8" s="21">
        <f>MAX((J5+J6),0)</f>
        <v>1775.1735727133189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0.21366425150071131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1376.7026691408228</v>
      </c>
      <c r="C12" s="23">
        <f ca="1">C8*C10</f>
        <v>0</v>
      </c>
      <c r="D12" s="23">
        <f>D8*D10</f>
        <v>81.560485597975998</v>
      </c>
      <c r="E12" s="23">
        <f>E8*E10</f>
        <v>45.648165179228883</v>
      </c>
      <c r="F12" s="23">
        <f>F8*F10</f>
        <v>6079.9458093216863</v>
      </c>
      <c r="G12" s="23"/>
      <c r="H12" s="23"/>
      <c r="I12" s="23"/>
      <c r="J12" s="23">
        <f>J8*J10</f>
        <v>628.41144474051487</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0.95784259402261673</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1249.1956337073893</v>
      </c>
      <c r="C26" s="245">
        <f>B26*'GWP N2O_CH4'!B5</f>
        <v>26233.108307855175</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601.4128602557405</v>
      </c>
      <c r="C27" s="245">
        <f>B27*'GWP N2O_CH4'!B5</f>
        <v>12629.67006537055</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18.466618981402462</v>
      </c>
      <c r="C28" s="245">
        <f>B28*'GWP N2O_CH4'!B4</f>
        <v>5724.6518842347632</v>
      </c>
      <c r="D28" s="50"/>
    </row>
    <row r="29" spans="1:4">
      <c r="A29" s="41" t="s">
        <v>265</v>
      </c>
      <c r="B29" s="245">
        <f>B34*'ha_N2O bodem landbouw'!B4</f>
        <v>52.522978359248519</v>
      </c>
      <c r="C29" s="245">
        <f>B29*'GWP N2O_CH4'!B4</f>
        <v>16282.123291367041</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1.151734349922072E-2</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1.255225173116131E-4</v>
      </c>
      <c r="C5" s="431" t="s">
        <v>204</v>
      </c>
      <c r="D5" s="416">
        <f>SUM(D6:D11)</f>
        <v>2.2437645506500852E-4</v>
      </c>
      <c r="E5" s="416">
        <f>SUM(E6:E11)</f>
        <v>1.9429047845982174E-4</v>
      </c>
      <c r="F5" s="429" t="s">
        <v>204</v>
      </c>
      <c r="G5" s="416">
        <f>SUM(G6:G11)</f>
        <v>8.6934365896092075E-2</v>
      </c>
      <c r="H5" s="416">
        <f>SUM(H6:H11)</f>
        <v>1.9933255703657001E-2</v>
      </c>
      <c r="I5" s="431" t="s">
        <v>204</v>
      </c>
      <c r="J5" s="431" t="s">
        <v>204</v>
      </c>
      <c r="K5" s="431" t="s">
        <v>204</v>
      </c>
      <c r="L5" s="431" t="s">
        <v>204</v>
      </c>
      <c r="M5" s="416">
        <f>SUM(M6:M11)</f>
        <v>6.3308394713177995E-3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9.5561152598534153E-5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1.6131651752811511E-4</v>
      </c>
      <c r="E6" s="882">
        <f>vkm_GW_PW*SUMIFS(TableVerdeelsleutelVkm[LPG],TableVerdeelsleutelVkm[Voertuigtype],"Lichte voertuigen")*SUMIFS(TableECFTransport[EnergieConsumptieFactor (PJ per km)],TableECFTransport[Index],CONCATENATE($A6,"_LPG_LPG"))</f>
        <v>1.413572168769315E-4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4.4157249152694117E-2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1.4389460696756375E-2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3.4980396599652006E-3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6.5443547445902491E-7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2.4977971975521398E-2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3.47201817732777E-7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1.439789749988345E-3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2.9255530719709045E-5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6.3059937536893409E-5</v>
      </c>
      <c r="E8" s="419">
        <f>vkm_NGW_PW*SUMIFS(TableVerdeelsleutelVkm[LPG],TableVerdeelsleutelVkm[Voertuigtype],"Lichte voertuigen")*SUMIFS(TableECFTransport[EnergieConsumptieFactor (PJ per km)],TableECFTransport[Index],CONCATENATE($A8,"_LPG_LPG"))</f>
        <v>5.2933261582890253E-5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1.5277179272485585E-2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5.5434148909659139E-3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1.2476381099859771E-3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5.1398518910867879E-8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2.5219654953909632E-3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3.2914116979368878E-8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1.4537195137827774E-4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34.867365919892528</v>
      </c>
      <c r="C14" s="21"/>
      <c r="D14" s="21">
        <f t="shared" ref="D14:M14" si="0">((D5)*10^9/3600)+D12</f>
        <v>62.326793073613473</v>
      </c>
      <c r="E14" s="21">
        <f t="shared" si="0"/>
        <v>53.969577349950484</v>
      </c>
      <c r="F14" s="21"/>
      <c r="G14" s="21">
        <f t="shared" si="0"/>
        <v>24148.434971136685</v>
      </c>
      <c r="H14" s="21">
        <f t="shared" si="0"/>
        <v>5537.0154732380561</v>
      </c>
      <c r="I14" s="21"/>
      <c r="J14" s="21"/>
      <c r="K14" s="21"/>
      <c r="L14" s="21"/>
      <c r="M14" s="21">
        <f t="shared" si="0"/>
        <v>1758.5665198105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0.21366425150071131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7.449909641075247</v>
      </c>
      <c r="C18" s="23"/>
      <c r="D18" s="23">
        <f t="shared" ref="D18:M18" si="1">D14*D16</f>
        <v>12.590012200869923</v>
      </c>
      <c r="E18" s="23">
        <f t="shared" si="1"/>
        <v>12.25109405843876</v>
      </c>
      <c r="F18" s="23"/>
      <c r="G18" s="23">
        <f t="shared" si="1"/>
        <v>6447.6321372934954</v>
      </c>
      <c r="H18" s="23">
        <f t="shared" si="1"/>
        <v>1378.7168528362758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1.2397798406729818E-5</v>
      </c>
      <c r="C50" s="315">
        <f t="shared" ref="C50:P50" si="2">SUM(C51:C52)</f>
        <v>0</v>
      </c>
      <c r="D50" s="315">
        <f t="shared" si="2"/>
        <v>0</v>
      </c>
      <c r="E50" s="315">
        <f t="shared" si="2"/>
        <v>0</v>
      </c>
      <c r="F50" s="315">
        <f t="shared" si="2"/>
        <v>0</v>
      </c>
      <c r="G50" s="315">
        <f t="shared" si="2"/>
        <v>8.9823916722978688E-4</v>
      </c>
      <c r="H50" s="315">
        <f t="shared" si="2"/>
        <v>0</v>
      </c>
      <c r="I50" s="315">
        <f t="shared" si="2"/>
        <v>0</v>
      </c>
      <c r="J50" s="315">
        <f t="shared" si="2"/>
        <v>0</v>
      </c>
      <c r="K50" s="315">
        <f t="shared" si="2"/>
        <v>0</v>
      </c>
      <c r="L50" s="315">
        <f t="shared" si="2"/>
        <v>0</v>
      </c>
      <c r="M50" s="315">
        <f t="shared" si="2"/>
        <v>5.0807082255697476E-5</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1.2397798406729818E-5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8.9823916722978688E-4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5.0807082255697476E-5</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3.4438328907582827</v>
      </c>
      <c r="C54" s="21">
        <f t="shared" ref="C54:P54" si="3">(C50)*10^9/3600</f>
        <v>0</v>
      </c>
      <c r="D54" s="21">
        <f t="shared" si="3"/>
        <v>0</v>
      </c>
      <c r="E54" s="21">
        <f t="shared" si="3"/>
        <v>0</v>
      </c>
      <c r="F54" s="21">
        <f t="shared" si="3"/>
        <v>0</v>
      </c>
      <c r="G54" s="21">
        <f t="shared" si="3"/>
        <v>249.5108797860519</v>
      </c>
      <c r="H54" s="21">
        <f t="shared" si="3"/>
        <v>0</v>
      </c>
      <c r="I54" s="21">
        <f t="shared" si="3"/>
        <v>0</v>
      </c>
      <c r="J54" s="21">
        <f t="shared" si="3"/>
        <v>0</v>
      </c>
      <c r="K54" s="21">
        <f t="shared" si="3"/>
        <v>0</v>
      </c>
      <c r="L54" s="21">
        <f t="shared" si="3"/>
        <v>0</v>
      </c>
      <c r="M54" s="21">
        <f t="shared" si="3"/>
        <v>14.11307840436041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0.21366425150071131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0.73582397689739931</v>
      </c>
      <c r="C58" s="23">
        <f t="shared" ref="C58:P58" ca="1" si="4">C54*C56</f>
        <v>0</v>
      </c>
      <c r="D58" s="23">
        <f t="shared" si="4"/>
        <v>0</v>
      </c>
      <c r="E58" s="23">
        <f t="shared" si="4"/>
        <v>0</v>
      </c>
      <c r="F58" s="23">
        <f t="shared" si="4"/>
        <v>0</v>
      </c>
      <c r="G58" s="23">
        <f t="shared" si="4"/>
        <v>66.619404902875857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3696.98056961667</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3696.98056961667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2021-11-11T12:39:23Z</dcterms:modified>
</cp:coreProperties>
</file>