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E974937-AB15-40DA-A8D7-06214FA1EAF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<sst xmlns="http://schemas.openxmlformats.org/spreadsheetml/2006/main" count="2477" uniqueCount="903">
  <si>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</si>
  <si>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</si>
  <si>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</si>
  <si>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</si>
  <si>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</si>
  <si>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</si>
  <si>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</si>
  <si>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</si>
  <si>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</si>
  <si>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</si>
  <si>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</si>
  <si>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</si>
  <si>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</si>
  <si>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</si>
  <si>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</si>
  <si>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</si>
  <si>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</si>
  <si>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</si>
  <si>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</si>
  <si>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</si>
  <si>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</si>
  <si>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</si>
  <si>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</si>
  <si>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</si>
  <si>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</si>
  <si>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</si>
  <si>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</si>
  <si>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</si>
  <si>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</si>
  <si>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</si>
  <si>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</si>
  <si>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</si>
  <si>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</si>
  <si>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</si>
  <si>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</si>
  <si>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</si>
  <si>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</si>
  <si>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</si>
  <si>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</si>
  <si>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</si>
  <si>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</si>
  <si>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</si>
  <si>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</si>
  <si>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</si>
  <si>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</si>
  <si>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</si>
  <si>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</si>
  <si>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</si>
  <si>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</si>
  <si>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</si>
  <si>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</si>
  <si>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</si>
  <si>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</si>
  <si>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</si>
  <si>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</si>
  <si>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</si>
  <si>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</si>
  <si>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</si>
  <si>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</si>
  <si>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</si>
  <si>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</si>
  <si>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</si>
  <si>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</si>
  <si>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</si>
  <si>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</si>
  <si>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</si>
  <si>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</si>
  <si>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</si>
  <si>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</si>
  <si>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</si>
  <si>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</si>
  <si>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</si>
  <si>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</si>
  <si>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</si>
  <si>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</si>
  <si>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</si>
  <si>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</si>
  <si>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</si>
  <si>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</si>
  <si>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</si>
  <si>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</si>
  <si>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</si>
  <si>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</si>
  <si>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</si>
  <si>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</si>
  <si>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</si>
  <si>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</si>
  <si>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</si>
  <si>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</si>
  <si>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</si>
  <si>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</si>
  <si>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</si>
  <si>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</si>
  <si>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</si>
  <si>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</si>
  <si>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</si>
  <si>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</si>
  <si>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</si>
  <si>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</si>
  <si>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</si>
  <si>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</si>
  <si>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</si>
  <si>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</si>
  <si>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</si>
  <si>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</si>
  <si>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</si>
  <si>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</si>
  <si>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</si>
  <si>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</si>
  <si>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</si>
  <si>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</si>
  <si>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</si>
  <si>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</si>
  <si>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</si>
  <si>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</si>
  <si>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</si>
  <si>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</si>
  <si>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</si>
  <si>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</si>
  <si>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</si>
  <si>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</si>
  <si>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</si>
  <si>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</si>
  <si>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</si>
  <si>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</si>
  <si>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</si>
  <si>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</si>
  <si>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</si>
  <si>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</si>
  <si>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</si>
  <si>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</si>
  <si>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</si>
  <si>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</si>
  <si>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</si>
  <si>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</si>
  <si>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</si>
  <si>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</si>
  <si>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</si>
  <si>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</si>
  <si>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</si>
  <si>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</si>
  <si>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</si>
  <si>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</si>
  <si>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</si>
  <si>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</si>
  <si>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</si>
  <si>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</si>
  <si>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</si>
  <si>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</si>
  <si>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</si>
  <si>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</si>
  <si>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</si>
  <si>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</si>
  <si>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</si>
  <si>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</si>
  <si>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</si>
  <si>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</si>
  <si>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</si>
  <si>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</si>
  <si>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</si>
  <si>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</si>
  <si>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</si>
  <si>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</si>
  <si>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</si>
  <si>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</si>
  <si>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</si>
  <si>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</si>
  <si>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</si>
  <si>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</si>
  <si>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</si>
  <si>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</si>
  <si>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</si>
  <si>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</si>
  <si>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</si>
  <si>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</si>
  <si>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</si>
  <si>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</si>
  <si>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</si>
  <si>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</si>
  <si>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</si>
  <si>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</si>
  <si>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</si>
  <si>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</si>
  <si>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</si>
  <si>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</si>
  <si>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</si>
  <si>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</si>
  <si>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</si>
  <si>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</si>
  <si>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</si>
  <si>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</si>
  <si>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</si>
  <si>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</si>
  <si>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</si>
  <si>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</si>
  <si>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</si>
  <si>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</si>
  <si>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</si>
  <si>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</si>
  <si>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</si>
  <si>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</si>
  <si>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</si>
  <si>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</si>
  <si>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</si>
  <si>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</si>
  <si>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</si>
  <si>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</si>
  <si>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</si>
  <si>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</si>
  <si>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</si>
  <si>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</si>
  <si>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</si>
  <si>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</si>
  <si>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</si>
  <si>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</si>
  <si>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</si>
  <si>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</si>
  <si>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</si>
  <si>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</si>
  <si>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</si>
  <si>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</si>
  <si>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</si>
  <si>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</si>
  <si>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</si>
  <si>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</si>
  <si>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</si>
  <si>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</si>
  <si>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</si>
  <si>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</si>
  <si>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</si>
  <si>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</si>
  <si>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</si>
  <si>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</si>
  <si>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</si>
  <si>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</si>
  <si>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</si>
  <si>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</si>
  <si>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</si>
  <si>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</si>
  <si>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</si>
  <si>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</si>
  <si>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</si>
  <si>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</si>
  <si>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</si>
  <si>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</si>
  <si>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</si>
  <si>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</si>
  <si>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</si>
  <si>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</si>
  <si>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</si>
  <si>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</si>
  <si>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</si>
  <si>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</si>
  <si>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</si>
  <si>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</si>
  <si>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</si>
  <si>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</si>
  <si>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</si>
  <si>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</si>
  <si>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</si>
  <si>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</si>
  <si>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</si>
  <si>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</si>
  <si>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</si>
  <si>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</si>
  <si>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</si>
  <si>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</si>
  <si>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</si>
  <si>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</si>
  <si>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</si>
  <si>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</si>
  <si>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</si>
  <si>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</si>
  <si>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</si>
  <si>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</si>
  <si>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</si>
  <si>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</si>
  <si>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</si>
  <si>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</si>
  <si>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</si>
  <si>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</si>
  <si>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</si>
  <si>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</si>
  <si>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</si>
  <si>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</si>
  <si>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</si>
  <si>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</si>
  <si>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</si>
  <si>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</si>
  <si>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</si>
  <si>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</si>
  <si>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</si>
  <si>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</si>
  <si>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</si>
  <si>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</si>
  <si>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</si>
  <si>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</si>
  <si>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</si>
  <si>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</si>
  <si>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</si>
  <si>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</si>
  <si>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</si>
  <si>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</si>
  <si>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</si>
  <si>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</si>
  <si>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</si>
  <si>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</si>
  <si>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</si>
  <si>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</si>
  <si>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</si>
  <si>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</si>
  <si>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</si>
  <si>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</si>
  <si>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</si>
  <si>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</si>
  <si>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</si>
  <si>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</si>
  <si>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</si>
  <si>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</si>
  <si>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</si>
  <si>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</si>
  <si>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</si>
  <si>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</si>
  <si>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</si>
  <si>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</si>
  <si>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</si>
  <si>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</si>
  <si>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</si>
  <si>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</si>
  <si>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</si>
  <si>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</si>
  <si>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</si>
  <si>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</si>
  <si>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</si>
  <si>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</si>
  <si>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</si>
  <si>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</si>
  <si>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</si>
  <si>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</si>
  <si>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</si>
  <si>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</si>
  <si>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</si>
  <si>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</si>
  <si>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</si>
  <si>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</si>
  <si>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</si>
  <si>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</si>
  <si>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</si>
  <si>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</si>
  <si>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</si>
  <si>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</si>
  <si>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</si>
  <si>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</si>
  <si>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</si>
  <si>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</si>
  <si>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</si>
  <si>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</si>
  <si>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</si>
  <si>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</si>
  <si>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</si>
  <si>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</si>
  <si>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</si>
  <si>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</si>
  <si>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</si>
  <si>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</si>
  <si>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</si>
  <si>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</si>
  <si>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</si>
  <si>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</si>
  <si>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</si>
  <si>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</si>
  <si>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</si>
  <si>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</si>
  <si>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</si>
  <si>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</si>
  <si>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</si>
  <si>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</si>
  <si>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</si>
  <si>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</si>
  <si>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</si>
  <si>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</si>
  <si>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</si>
  <si>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</si>
  <si>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</si>
  <si>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</si>
  <si>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</si>
  <si>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</si>
  <si>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</si>
  <si>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</si>
  <si>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</si>
  <si>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</si>
  <si>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</si>
  <si>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</si>
  <si>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</si>
  <si>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</si>
  <si>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</si>
  <si>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</si>
  <si>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</si>
  <si>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</si>
  <si>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</si>
  <si>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</si>
  <si>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</si>
  <si>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</si>
  <si>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</si>
  <si>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</si>
  <si>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</si>
  <si>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</si>
  <si>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</si>
  <si>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</si>
  <si>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</si>
  <si>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</si>
  <si>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</si>
  <si>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</si>
  <si>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</si>
  <si>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</si>
  <si>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</si>
  <si>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</si>
  <si>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</si>
  <si>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</si>
  <si>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</si>
  <si>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</si>
  <si>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</si>
  <si>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</si>
  <si>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</si>
  <si>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</si>
  <si>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</si>
  <si>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</si>
  <si>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</si>
  <si>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</si>
  <si>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</si>
  <si>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</si>
  <si>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</si>
  <si>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</si>
  <si>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</si>
  <si>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</si>
  <si>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</si>
  <si>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</si>
  <si>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</si>
  <si>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</si>
  <si>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</si>
  <si>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</si>
  <si>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</si>
  <si>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</si>
  <si>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</si>
  <si>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</si>
  <si>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</si>
  <si>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</si>
  <si>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</si>
  <si>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</si>
  <si>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</si>
  <si>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</si>
  <si>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</si>
  <si>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</si>
  <si>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</si>
  <si>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</si>
  <si>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</si>
  <si>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</si>
  <si>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</si>
  <si>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</si>
  <si>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</si>
  <si>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</si>
  <si>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</si>
  <si>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</si>
  <si>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</si>
  <si>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</si>
  <si>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</si>
  <si>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</si>
  <si>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</si>
  <si>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</si>
  <si>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</si>
  <si>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</si>
  <si>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</si>
  <si>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</si>
  <si>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</si>
  <si>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</si>
  <si>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</si>
  <si>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</si>
  <si>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</si>
  <si>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</si>
  <si>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</si>
  <si>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</si>
  <si>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</si>
  <si>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</si>
  <si>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</si>
  <si>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</si>
  <si>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</si>
  <si>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</si>
  <si>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</si>
  <si>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</si>
  <si>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</si>
  <si>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</si>
  <si>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</si>
  <si>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</si>
  <si>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</si>
  <si>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</si>
  <si>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</si>
  <si>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</si>
  <si>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</si>
  <si>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</si>
  <si>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</si>
  <si>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</si>
  <si>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</si>
  <si>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</si>
  <si>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</si>
  <si>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</si>
  <si>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</si>
  <si>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</si>
  <si>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</si>
  <si>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</si>
  <si>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</si>
  <si>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</si>
  <si>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</si>
  <si>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</si>
  <si>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</si>
  <si>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</si>
  <si>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</si>
  <si>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</si>
  <si>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</si>
  <si>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</si>
  <si>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</si>
  <si>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</si>
  <si>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</si>
  <si>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</si>
  <si>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</si>
  <si>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</si>
  <si>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</si>
  <si>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</si>
  <si>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</si>
  <si>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</si>
  <si>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</si>
  <si>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</si>
  <si>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</si>
  <si>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</si>
  <si>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</si>
  <si>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</si>
  <si>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</si>
  <si>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</si>
  <si>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</si>
  <si>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</si>
  <si>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</si>
  <si>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</si>
  <si>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</si>
  <si>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</si>
  <si>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</si>
  <si>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</si>
  <si>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</si>
  <si>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</si>
  <si>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</si>
  <si>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</si>
  <si>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</si>
  <si>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</si>
  <si>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</si>
  <si>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</si>
  <si>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</si>
  <si>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</si>
  <si>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</si>
  <si>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</si>
  <si>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</si>
  <si>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</si>
  <si>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</si>
  <si>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</si>
  <si>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</si>
  <si>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</si>
  <si>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</si>
  <si>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</si>
  <si>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</si>
  <si>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</si>
  <si>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</si>
  <si>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</si>
  <si>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</si>
  <si>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</si>
  <si>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</si>
  <si>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</si>
  <si>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</si>
  <si>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</si>
  <si>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</si>
  <si>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</si>
  <si>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</si>
  <si>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</si>
  <si>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</si>
  <si>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</si>
  <si>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</si>
  <si>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</si>
  <si>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</si>
  <si>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</si>
  <si>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</si>
  <si>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</si>
  <si>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</si>
  <si>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</si>
  <si>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</si>
  <si>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</si>
  <si>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</si>
  <si>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</si>
  <si>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</si>
  <si>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</si>
  <si>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</si>
  <si>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</si>
  <si>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</si>
  <si>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</si>
  <si>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</si>
  <si>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</si>
  <si>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</si>
  <si>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</si>
  <si>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</si>
  <si>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</si>
  <si>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</si>
  <si>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</si>
  <si>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</si>
  <si>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</si>
  <si>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</si>
  <si>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</si>
  <si>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</si>
  <si>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</si>
  <si>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</si>
  <si>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</si>
  <si>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</si>
  <si>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</si>
  <si>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</si>
  <si>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</si>
  <si>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</si>
  <si>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</si>
  <si>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</si>
  <si>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</si>
  <si>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</si>
  <si>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</si>
  <si>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</si>
  <si>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</si>
  <si>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</si>
  <si>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</si>
  <si>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</si>
  <si>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</si>
  <si>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</si>
  <si>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</si>
  <si>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</si>
  <si>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</si>
  <si>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</si>
  <si>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</si>
  <si>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</si>
  <si>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</si>
  <si>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</si>
  <si>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</si>
  <si>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</si>
  <si>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</si>
  <si>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</si>
  <si>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</si>
  <si>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</si>
  <si>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</si>
  <si>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</si>
  <si>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</si>
  <si>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</si>
  <si>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</si>
  <si>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</si>
  <si>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</si>
  <si>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</si>
  <si>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</si>
  <si>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</si>
  <si>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</si>
  <si>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</si>
  <si>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</si>
  <si>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</si>
  <si>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</si>
  <si>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</si>
  <si>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</si>
  <si>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</si>
  <si>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</si>
  <si>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</si>
  <si>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</si>
  <si>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</si>
  <si>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</si>
  <si>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</si>
  <si>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</si>
  <si>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</si>
  <si>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</si>
  <si>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</si>
  <si>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</si>
  <si>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</si>
  <si>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</si>
  <si>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</si>
  <si>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</si>
  <si>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</si>
  <si>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</si>
  <si>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</si>
  <si>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</si>
  <si>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</si>
  <si>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</si>
  <si>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</si>
  <si>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</si>
  <si>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</si>
  <si>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</si>
  <si>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</si>
  <si>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</si>
  <si>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</si>
  <si>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</si>
  <si>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</si>
  <si>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</si>
  <si>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</si>
  <si>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</si>
  <si>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</si>
  <si>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</si>
  <si>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</si>
  <si>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</si>
  <si>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</si>
  <si>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</si>
  <si>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</si>
  <si>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</si>
  <si>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</si>
  <si>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</si>
  <si>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</si>
  <si>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</si>
  <si>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</si>
  <si>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</si>
  <si>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</si>
  <si>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</si>
  <si>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</si>
  <si>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</si>
  <si>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</si>
  <si>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</si>
  <si>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</si>
  <si>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</si>
  <si>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</si>
  <si>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</si>
  <si>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</si>
  <si>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</si>
  <si>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</si>
  <si>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</si>
  <si>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</si>
  <si>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</si>
  <si>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</si>
  <si>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</si>
  <si>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</si>
  <si>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</si>
  <si>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</si>
  <si>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</si>
  <si>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</si>
  <si>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</si>
  <si>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</si>
  <si>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</si>
  <si>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</si>
  <si>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</si>
  <si>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</si>
  <si>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</si>
  <si>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</si>
  <si>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</si>
  <si>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</si>
  <si>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</si>
  <si>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</si>
  <si>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</si>
  <si>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</si>
  <si>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</si>
  <si>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</si>
  <si>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</si>
  <si>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</si>
  <si>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</si>
  <si>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</si>
  <si>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</si>
  <si>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</si>
  <si>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</si>
  <si>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</si>
  <si>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</si>
  <si>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</si>
  <si>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</si>
  <si>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</si>
  <si>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</si>
  <si>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</si>
  <si>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</si>
  <si>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</si>
  <si>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</si>
  <si>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</si>
  <si>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</si>
  <si>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</si>
  <si>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</si>
  <si>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</si>
  <si>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</si>
  <si>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</si>
  <si>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</si>
  <si>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</si>
  <si>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</si>
  <si>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</si>
  <si>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</si>
  <si>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</si>
  <si>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</si>
  <si>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</si>
  <si>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</si>
  <si>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</si>
  <si>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</si>
  <si>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</si>
  <si>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</si>
  <si>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</si>
  <si>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</si>
  <si>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</si>
  <si>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</si>
  <si>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</si>
  <si>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</si>
  <si>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</si>
  <si>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</si>
  <si>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</si>
  <si>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</si>
  <si>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</si>
  <si>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</si>
  <si>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</si>
  <si>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</si>
  <si>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</si>
  <si>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</si>
  <si>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</si>
  <si>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</si>
  <si>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</si>
  <si>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</si>
  <si>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</si>
  <si>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</si>
  <si>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</si>
  <si>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</si>
  <si>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</si>
  <si>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</si>
  <si>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</si>
  <si>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</si>
  <si>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</si>
  <si>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</si>
  <si>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</si>
  <si>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</si>
  <si>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</si>
  <si>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</si>
  <si>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</si>
  <si>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</si>
  <si>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</si>
  <si>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</si>
  <si>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</si>
  <si>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</si>
  <si>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</si>
  <si>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</si>
  <si>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</si>
  <si>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</si>
  <si>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</si>
  <si>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</si>
  <si>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</si>
  <si>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</si>
  <si>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</si>
  <si>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</si>
  <si>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</si>
  <si>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</si>
  <si>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</si>
  <si>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</si>
  <si>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</si>
  <si>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</si>
  <si>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</si>
  <si>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</si>
  <si>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</si>
  <si>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</si>
  <si>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</si>
  <si>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</si>
  <si>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</si>
  <si>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</si>
  <si>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</si>
  <si>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</si>
  <si>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</si>
  <si>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</si>
  <si>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</si>
  <si>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</si>
  <si>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</si>
  <si>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</si>
  <si>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</si>
  <si>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</si>
  <si>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</si>
  <si>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</si>
  <si>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</si>
  <si>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</si>
  <si>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</si>
  <si>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</si>
  <si>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</si>
  <si>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</si>
  <si>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</si>
  <si>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</si>
  <si>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</si>
  <si>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</si>
  <si>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</si>
  <si>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</si>
  <si>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</si>
  <si>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</si>
  <si>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</si>
  <si>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</si>
  <si>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</si>
  <si>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</si>
  <si>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</si>
  <si>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</si>
  <si>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</si>
  <si>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</si>
  <si>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</si>
  <si>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</si>
  <si>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</si>
  <si>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</si>
  <si>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</si>
  <si>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</si>
  <si>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</si>
  <si>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</si>
  <si>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</si>
  <si>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</si>
  <si>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</si>
  <si>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</si>
  <si>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24130</t>
  </si>
  <si>
    <t>ZOUTLEEUW</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</si>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</sst>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1544367-4C57-4373-9824-F7DF9C7DE8E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72775.106085018575</c:v>
                </c:pt>
                <c:pt idx="1">
                  <c:v>43548.038304134607</c:v>
                </c:pt>
                <c:pt idx="2">
                  <c:v>572.46</c:v>
                </c:pt>
                <c:pt idx="3">
                  <c:v>11675.428837136515</c:v>
                </c:pt>
                <c:pt idx="4">
                  <c:v>1846.4497290685511</c:v>
                </c:pt>
                <c:pt idx="5">
                  <c:v>40100.084000154035</c:v>
                </c:pt>
                <c:pt idx="6">
                  <c:v>1070.1907300390478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72775.106085018575</c:v>
                </c:pt>
                <c:pt idx="1">
                  <c:v>43548.038304134607</c:v>
                </c:pt>
                <c:pt idx="2">
                  <c:v>572.46</c:v>
                </c:pt>
                <c:pt idx="3">
                  <c:v>11675.428837136515</c:v>
                </c:pt>
                <c:pt idx="4">
                  <c:v>1846.4497290685511</c:v>
                </c:pt>
                <c:pt idx="5">
                  <c:v>40100.084000154035</c:v>
                </c:pt>
                <c:pt idx="6">
                  <c:v>1070.1907300390478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14835.739564757392</c:v>
                </c:pt>
                <c:pt idx="1">
                  <c:v>4399.558818044381</c:v>
                </c:pt>
                <c:pt idx="2">
                  <c:v>78.728638496872577</c:v>
                </c:pt>
                <c:pt idx="3">
                  <c:v>2846.7025741432617</c:v>
                </c:pt>
                <c:pt idx="4">
                  <c:v>350.07801429904629</c:v>
                </c:pt>
                <c:pt idx="5">
                  <c:v>9948.6388856575431</c:v>
                </c:pt>
                <c:pt idx="6">
                  <c:v>268.85433312549304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14835.739564757392</c:v>
                </c:pt>
                <c:pt idx="1">
                  <c:v>4399.558818044381</c:v>
                </c:pt>
                <c:pt idx="2">
                  <c:v>78.728638496872577</c:v>
                </c:pt>
                <c:pt idx="3">
                  <c:v>2846.7025741432617</c:v>
                </c:pt>
                <c:pt idx="4">
                  <c:v>350.07801429904629</c:v>
                </c:pt>
                <c:pt idx="5">
                  <c:v>9948.6388856575431</c:v>
                </c:pt>
                <c:pt idx="6">
                  <c:v>268.85433312549304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24130</v>
      </c>
      <c r="B6" s="384"/>
      <c r="C6" s="385"/>
    </row>
    <row r="7" spans="1:7" s="382" customFormat="1" ht="15.75" customHeight="1">
      <c r="A7" s="386" t="str">
        <f>txtMunicipality</f>
        <v>ZOUTLEEUW</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22766.947263999999</v>
      </c>
      <c r="D10" s="679">
        <f ca="1">tertiair!C16</f>
        <v>15075</v>
      </c>
      <c r="E10" s="679">
        <f ca="1">tertiair!D16</f>
        <v>4721.6604209719999</v>
      </c>
      <c r="F10" s="679">
        <f>tertiair!E16</f>
        <v>205.50866401900336</v>
      </c>
      <c r="G10" s="679">
        <f ca="1">tertiair!F16</f>
        <v>1298.8049130553024</v>
      </c>
      <c r="H10" s="679">
        <f>tertiair!G16</f>
        <v>0</v>
      </c>
      <c r="I10" s="679">
        <f>tertiair!H16</f>
        <v>0</v>
      </c>
      <c r="J10" s="679">
        <f>tertiair!I16</f>
        <v>0</v>
      </c>
      <c r="K10" s="679">
        <f>tertiair!J16</f>
        <v>3.7903781806779654E-2</v>
      </c>
      <c r="L10" s="679">
        <f>tertiair!K16</f>
        <v>0</v>
      </c>
      <c r="M10" s="679">
        <f ca="1">tertiair!L16</f>
        <v>0</v>
      </c>
      <c r="N10" s="679">
        <f>tertiair!M16</f>
        <v>0</v>
      </c>
      <c r="O10" s="679">
        <f ca="1">tertiair!N16</f>
        <v>0</v>
      </c>
      <c r="P10" s="679">
        <f>tertiair!O16</f>
        <v>0</v>
      </c>
      <c r="Q10" s="680">
        <f>tertiair!P16</f>
        <v>52.539138306495019</v>
      </c>
      <c r="R10" s="682">
        <f ca="1">SUM(C10:Q10)</f>
        <v>44120.498304134613</v>
      </c>
      <c r="S10" s="67"/>
    </row>
    <row r="11" spans="1:19" s="442" customFormat="1">
      <c r="A11" s="800" t="s">
        <v>213</v>
      </c>
      <c r="B11" s="805"/>
      <c r="C11" s="679">
        <f>huishoudens!B8</f>
        <v>14640.745252198158</v>
      </c>
      <c r="D11" s="679">
        <f>huishoudens!C8</f>
        <v>0</v>
      </c>
      <c r="E11" s="679">
        <f>huishoudens!D8</f>
        <v>15695.731946399999</v>
      </c>
      <c r="F11" s="679">
        <f>huishoudens!E8</f>
        <v>2119.3001025142376</v>
      </c>
      <c r="G11" s="679">
        <f>huishoudens!F8</f>
        <v>34165.942269131272</v>
      </c>
      <c r="H11" s="679">
        <f>huishoudens!G8</f>
        <v>0</v>
      </c>
      <c r="I11" s="679">
        <f>huishoudens!H8</f>
        <v>0</v>
      </c>
      <c r="J11" s="679">
        <f>huishoudens!I8</f>
        <v>0</v>
      </c>
      <c r="K11" s="679">
        <f>huishoudens!J8</f>
        <v>136.49143305174994</v>
      </c>
      <c r="L11" s="679">
        <f>huishoudens!K8</f>
        <v>0</v>
      </c>
      <c r="M11" s="679">
        <f>huishoudens!L8</f>
        <v>0</v>
      </c>
      <c r="N11" s="679">
        <f>huishoudens!M8</f>
        <v>0</v>
      </c>
      <c r="O11" s="679">
        <f>huishoudens!N8</f>
        <v>5398.5106774856858</v>
      </c>
      <c r="P11" s="679">
        <f>huishoudens!O8</f>
        <v>186.49207262238099</v>
      </c>
      <c r="Q11" s="680">
        <f>huishoudens!P8</f>
        <v>431.89233161508594</v>
      </c>
      <c r="R11" s="682">
        <f>SUM(C11:Q11)</f>
        <v>72775.106085018575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674.88021399999991</v>
      </c>
      <c r="D13" s="679">
        <f>industrie!C18</f>
        <v>0</v>
      </c>
      <c r="E13" s="679">
        <f>industrie!D18</f>
        <v>605.49726600000008</v>
      </c>
      <c r="F13" s="679">
        <f>industrie!E18</f>
        <v>127.95738034936208</v>
      </c>
      <c r="G13" s="679">
        <f>industrie!F18</f>
        <v>393.52251073962663</v>
      </c>
      <c r="H13" s="679">
        <f>industrie!G18</f>
        <v>0</v>
      </c>
      <c r="I13" s="679">
        <f>industrie!H18</f>
        <v>0</v>
      </c>
      <c r="J13" s="679">
        <f>industrie!I18</f>
        <v>0</v>
      </c>
      <c r="K13" s="679">
        <f>industrie!J18</f>
        <v>2.3631631211934438</v>
      </c>
      <c r="L13" s="679">
        <f>industrie!K18</f>
        <v>0</v>
      </c>
      <c r="M13" s="679">
        <f>industrie!L18</f>
        <v>0</v>
      </c>
      <c r="N13" s="679">
        <f>industrie!M18</f>
        <v>0</v>
      </c>
      <c r="O13" s="679">
        <f>industrie!N18</f>
        <v>42.229194858368977</v>
      </c>
      <c r="P13" s="679">
        <f>industrie!O18</f>
        <v>0</v>
      </c>
      <c r="Q13" s="680">
        <f>industrie!P18</f>
        <v>0</v>
      </c>
      <c r="R13" s="682">
        <f>SUM(C13:Q13)</f>
        <v>1846.4497290685511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38082.572730198153</v>
      </c>
      <c r="D16" s="715">
        <f t="shared" ref="D16:R16" ca="1" si="0">SUM(D9:D15)</f>
        <v>15075</v>
      </c>
      <c r="E16" s="715">
        <f t="shared" ca="1" si="0"/>
        <v>21022.889633371997</v>
      </c>
      <c r="F16" s="715">
        <f t="shared" si="0"/>
        <v>2452.7661468826032</v>
      </c>
      <c r="G16" s="715">
        <f t="shared" ca="1" si="0"/>
        <v>35858.269692926202</v>
      </c>
      <c r="H16" s="715">
        <f t="shared" si="0"/>
        <v>0</v>
      </c>
      <c r="I16" s="715">
        <f t="shared" si="0"/>
        <v>0</v>
      </c>
      <c r="J16" s="715">
        <f t="shared" si="0"/>
        <v>0</v>
      </c>
      <c r="K16" s="715">
        <f t="shared" si="0"/>
        <v>138.89249995475018</v>
      </c>
      <c r="L16" s="715">
        <f t="shared" si="0"/>
        <v>0</v>
      </c>
      <c r="M16" s="715">
        <f t="shared" ca="1" si="0"/>
        <v>0</v>
      </c>
      <c r="N16" s="715">
        <f t="shared" si="0"/>
        <v>0</v>
      </c>
      <c r="O16" s="715">
        <f t="shared" ca="1" si="0"/>
        <v>5440.7398723440547</v>
      </c>
      <c r="P16" s="715">
        <f t="shared" si="0"/>
        <v>186.49207262238099</v>
      </c>
      <c r="Q16" s="715">
        <f t="shared" si="0"/>
        <v>484.43146992158097</v>
      </c>
      <c r="R16" s="715">
        <f t="shared" ca="1" si="0"/>
        <v>118742.05411822174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13.80008431781626</v>
      </c>
      <c r="D19" s="679">
        <f>transport!C54</f>
        <v>0</v>
      </c>
      <c r="E19" s="679">
        <f>transport!D54</f>
        <v>0</v>
      </c>
      <c r="F19" s="679">
        <f>transport!E54</f>
        <v>0</v>
      </c>
      <c r="G19" s="679">
        <f>transport!F54</f>
        <v>0</v>
      </c>
      <c r="H19" s="679">
        <f>transport!G54</f>
        <v>999.8368935090441</v>
      </c>
      <c r="I19" s="679">
        <f>transport!H54</f>
        <v>0</v>
      </c>
      <c r="J19" s="679">
        <f>transport!I54</f>
        <v>0</v>
      </c>
      <c r="K19" s="679">
        <f>transport!J54</f>
        <v>0</v>
      </c>
      <c r="L19" s="679">
        <f>transport!K54</f>
        <v>0</v>
      </c>
      <c r="M19" s="679">
        <f>transport!L54</f>
        <v>0</v>
      </c>
      <c r="N19" s="679">
        <f>transport!M54</f>
        <v>56.553752212187518</v>
      </c>
      <c r="O19" s="679">
        <f>transport!N54</f>
        <v>0</v>
      </c>
      <c r="P19" s="679">
        <f>transport!O54</f>
        <v>0</v>
      </c>
      <c r="Q19" s="680">
        <f>transport!P54</f>
        <v>0</v>
      </c>
      <c r="R19" s="682">
        <f>SUM(C19:Q19)</f>
        <v>1070.1907300390478</v>
      </c>
      <c r="S19" s="67"/>
    </row>
    <row r="20" spans="1:19" s="442" customFormat="1">
      <c r="A20" s="800" t="s">
        <v>295</v>
      </c>
      <c r="B20" s="805"/>
      <c r="C20" s="679">
        <f>transport!B14</f>
        <v>46.457034233596509</v>
      </c>
      <c r="D20" s="679">
        <f>transport!C14</f>
        <v>0</v>
      </c>
      <c r="E20" s="679">
        <f>transport!D14</f>
        <v>91.30565100427809</v>
      </c>
      <c r="F20" s="679">
        <f>transport!E14</f>
        <v>77.773991942581176</v>
      </c>
      <c r="G20" s="679">
        <f>transport!F14</f>
        <v>0</v>
      </c>
      <c r="H20" s="679">
        <f>transport!G14</f>
        <v>29579.302115703973</v>
      </c>
      <c r="I20" s="679">
        <f>transport!H14</f>
        <v>8066.1754701040045</v>
      </c>
      <c r="J20" s="679">
        <f>transport!I14</f>
        <v>0</v>
      </c>
      <c r="K20" s="679">
        <f>transport!J14</f>
        <v>0</v>
      </c>
      <c r="L20" s="679">
        <f>transport!K14</f>
        <v>0</v>
      </c>
      <c r="M20" s="679">
        <f>transport!L14</f>
        <v>0</v>
      </c>
      <c r="N20" s="679">
        <f>transport!M14</f>
        <v>2239.0697371655965</v>
      </c>
      <c r="O20" s="679">
        <f>transport!N14</f>
        <v>0</v>
      </c>
      <c r="P20" s="679">
        <f>transport!O14</f>
        <v>0</v>
      </c>
      <c r="Q20" s="680">
        <f>transport!P14</f>
        <v>0</v>
      </c>
      <c r="R20" s="682">
        <f>SUM(C20:Q20)</f>
        <v>40100.084000154035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60.257118551412773</v>
      </c>
      <c r="D22" s="803">
        <f t="shared" ref="D22:R22" si="1">SUM(D18:D21)</f>
        <v>0</v>
      </c>
      <c r="E22" s="803">
        <f t="shared" si="1"/>
        <v>91.30565100427809</v>
      </c>
      <c r="F22" s="803">
        <f t="shared" si="1"/>
        <v>77.773991942581176</v>
      </c>
      <c r="G22" s="803">
        <f t="shared" si="1"/>
        <v>0</v>
      </c>
      <c r="H22" s="803">
        <f t="shared" si="1"/>
        <v>30579.139009213017</v>
      </c>
      <c r="I22" s="803">
        <f t="shared" si="1"/>
        <v>8066.1754701040045</v>
      </c>
      <c r="J22" s="803">
        <f t="shared" si="1"/>
        <v>0</v>
      </c>
      <c r="K22" s="803">
        <f t="shared" si="1"/>
        <v>0</v>
      </c>
      <c r="L22" s="803">
        <f t="shared" si="1"/>
        <v>0</v>
      </c>
      <c r="M22" s="803">
        <f t="shared" si="1"/>
        <v>0</v>
      </c>
      <c r="N22" s="803">
        <f t="shared" si="1"/>
        <v>2295.6234893777842</v>
      </c>
      <c r="O22" s="803">
        <f t="shared" si="1"/>
        <v>0</v>
      </c>
      <c r="P22" s="803">
        <f t="shared" si="1"/>
        <v>0</v>
      </c>
      <c r="Q22" s="803">
        <f t="shared" si="1"/>
        <v>0</v>
      </c>
      <c r="R22" s="803">
        <f t="shared" si="1"/>
        <v>41170.274730193079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2348.5459999999998</v>
      </c>
      <c r="D24" s="679">
        <f>+landbouw!C8</f>
        <v>0</v>
      </c>
      <c r="E24" s="679">
        <f>+landbouw!D8</f>
        <v>306.52305200000001</v>
      </c>
      <c r="F24" s="679">
        <f>+landbouw!E8</f>
        <v>73.29734620507206</v>
      </c>
      <c r="G24" s="679">
        <f>+landbouw!F8</f>
        <v>8300.0217289076718</v>
      </c>
      <c r="H24" s="679">
        <f>+landbouw!G8</f>
        <v>0</v>
      </c>
      <c r="I24" s="679">
        <f>+landbouw!H8</f>
        <v>0</v>
      </c>
      <c r="J24" s="679">
        <f>+landbouw!I8</f>
        <v>0</v>
      </c>
      <c r="K24" s="679">
        <f>+landbouw!J8</f>
        <v>647.04071002377157</v>
      </c>
      <c r="L24" s="679">
        <f>+landbouw!K8</f>
        <v>0</v>
      </c>
      <c r="M24" s="679">
        <f>+landbouw!L8</f>
        <v>0</v>
      </c>
      <c r="N24" s="679">
        <f>+landbouw!M8</f>
        <v>0</v>
      </c>
      <c r="O24" s="679">
        <f>+landbouw!N8</f>
        <v>0</v>
      </c>
      <c r="P24" s="679">
        <f>+landbouw!O8</f>
        <v>0</v>
      </c>
      <c r="Q24" s="680">
        <f>+landbouw!P8</f>
        <v>0</v>
      </c>
      <c r="R24" s="682">
        <f>SUM(C24:Q24)</f>
        <v>11675.428837136515</v>
      </c>
      <c r="S24" s="67"/>
    </row>
    <row r="25" spans="1:19" s="442" customFormat="1" ht="15" thickBot="1">
      <c r="A25" s="822" t="s">
        <v>708</v>
      </c>
      <c r="B25" s="941"/>
      <c r="C25" s="942">
        <f>IF(Onbekend_ele_kWh="---",0,Onbekend_ele_kWh)/1000+IF(REST_rest_ele_kWh="---",0,REST_rest_ele_kWh)/1000</f>
        <v>303.11099999999999</v>
      </c>
      <c r="D25" s="942"/>
      <c r="E25" s="942">
        <f>IF(onbekend_gas_kWh="---",0,onbekend_gas_kWh)/1000+IF(REST_rest_gas_kWh="---",0,REST_rest_gas_kWh)/1000</f>
        <v>1531.9751429999999</v>
      </c>
      <c r="F25" s="942"/>
      <c r="G25" s="942"/>
      <c r="H25" s="942"/>
      <c r="I25" s="942"/>
      <c r="J25" s="942"/>
      <c r="K25" s="942"/>
      <c r="L25" s="942"/>
      <c r="M25" s="942"/>
      <c r="N25" s="942"/>
      <c r="O25" s="942"/>
      <c r="P25" s="942"/>
      <c r="Q25" s="943"/>
      <c r="R25" s="682">
        <f>SUM(C25:Q25)</f>
        <v>1835.086143</v>
      </c>
      <c r="S25" s="67"/>
    </row>
    <row r="26" spans="1:19" s="442" customFormat="1" ht="15.75" thickBot="1">
      <c r="A26" s="687" t="s">
        <v>709</v>
      </c>
      <c r="B26" s="808"/>
      <c r="C26" s="803">
        <f>SUM(C24:C25)</f>
        <v>2651.6569999999997</v>
      </c>
      <c r="D26" s="803">
        <f t="shared" ref="D26:R26" si="2">SUM(D24:D25)</f>
        <v>0</v>
      </c>
      <c r="E26" s="803">
        <f t="shared" si="2"/>
        <v>1838.4981949999999</v>
      </c>
      <c r="F26" s="803">
        <f t="shared" si="2"/>
        <v>73.29734620507206</v>
      </c>
      <c r="G26" s="803">
        <f t="shared" si="2"/>
        <v>8300.0217289076718</v>
      </c>
      <c r="H26" s="803">
        <f t="shared" si="2"/>
        <v>0</v>
      </c>
      <c r="I26" s="803">
        <f t="shared" si="2"/>
        <v>0</v>
      </c>
      <c r="J26" s="803">
        <f t="shared" si="2"/>
        <v>0</v>
      </c>
      <c r="K26" s="803">
        <f t="shared" si="2"/>
        <v>647.04071002377157</v>
      </c>
      <c r="L26" s="803">
        <f t="shared" si="2"/>
        <v>0</v>
      </c>
      <c r="M26" s="803">
        <f t="shared" si="2"/>
        <v>0</v>
      </c>
      <c r="N26" s="803">
        <f t="shared" si="2"/>
        <v>0</v>
      </c>
      <c r="O26" s="803">
        <f t="shared" si="2"/>
        <v>0</v>
      </c>
      <c r="P26" s="803">
        <f t="shared" si="2"/>
        <v>0</v>
      </c>
      <c r="Q26" s="803">
        <f t="shared" si="2"/>
        <v>0</v>
      </c>
      <c r="R26" s="803">
        <f t="shared" si="2"/>
        <v>13510.514980136515</v>
      </c>
      <c r="S26" s="67"/>
    </row>
    <row r="27" spans="1:19" s="442" customFormat="1" ht="17.25" thickTop="1" thickBot="1">
      <c r="A27" s="688" t="s">
        <v>109</v>
      </c>
      <c r="B27" s="795"/>
      <c r="C27" s="689">
        <f ca="1">C22+C16+C26</f>
        <v>40794.486848749562</v>
      </c>
      <c r="D27" s="689">
        <f t="shared" ref="D27:R27" ca="1" si="3">D22+D16+D26</f>
        <v>15075</v>
      </c>
      <c r="E27" s="689">
        <f t="shared" ca="1" si="3"/>
        <v>22952.693479376274</v>
      </c>
      <c r="F27" s="689">
        <f t="shared" si="3"/>
        <v>2603.8374850302566</v>
      </c>
      <c r="G27" s="689">
        <f t="shared" ca="1" si="3"/>
        <v>44158.29142183387</v>
      </c>
      <c r="H27" s="689">
        <f t="shared" si="3"/>
        <v>30579.139009213017</v>
      </c>
      <c r="I27" s="689">
        <f t="shared" si="3"/>
        <v>8066.1754701040045</v>
      </c>
      <c r="J27" s="689">
        <f t="shared" si="3"/>
        <v>0</v>
      </c>
      <c r="K27" s="689">
        <f t="shared" si="3"/>
        <v>785.93320997852175</v>
      </c>
      <c r="L27" s="689">
        <f t="shared" si="3"/>
        <v>0</v>
      </c>
      <c r="M27" s="689">
        <f t="shared" ca="1" si="3"/>
        <v>0</v>
      </c>
      <c r="N27" s="689">
        <f t="shared" si="3"/>
        <v>2295.6234893777842</v>
      </c>
      <c r="O27" s="689">
        <f t="shared" ca="1" si="3"/>
        <v>5440.7398723440547</v>
      </c>
      <c r="P27" s="689">
        <f t="shared" si="3"/>
        <v>186.49207262238099</v>
      </c>
      <c r="Q27" s="689">
        <f t="shared" si="3"/>
        <v>484.43146992158097</v>
      </c>
      <c r="R27" s="689">
        <f t="shared" ca="1" si="3"/>
        <v>173422.84382855133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3131.0672550480699</v>
      </c>
      <c r="D40" s="679">
        <f ca="1">tertiair!C20</f>
        <v>0</v>
      </c>
      <c r="E40" s="679">
        <f ca="1">tertiair!D20</f>
        <v>953.77540503634407</v>
      </c>
      <c r="F40" s="679">
        <f>tertiair!E20</f>
        <v>46.650466732313767</v>
      </c>
      <c r="G40" s="679">
        <f ca="1">tertiair!F20</f>
        <v>346.7809117857658</v>
      </c>
      <c r="H40" s="679">
        <f>tertiair!G20</f>
        <v>0</v>
      </c>
      <c r="I40" s="679">
        <f>tertiair!H20</f>
        <v>0</v>
      </c>
      <c r="J40" s="679">
        <f>tertiair!I20</f>
        <v>0</v>
      </c>
      <c r="K40" s="679">
        <f>tertiair!J20</f>
        <v>1.3417938759599997E-2</v>
      </c>
      <c r="L40" s="679">
        <f>tertiair!K20</f>
        <v>0</v>
      </c>
      <c r="M40" s="679">
        <f ca="1">tertiair!L20</f>
        <v>0</v>
      </c>
      <c r="N40" s="679">
        <f>tertiair!M20</f>
        <v>0</v>
      </c>
      <c r="O40" s="679">
        <f ca="1">tertiair!N20</f>
        <v>0</v>
      </c>
      <c r="P40" s="679">
        <f>tertiair!O20</f>
        <v>0</v>
      </c>
      <c r="Q40" s="762">
        <f>tertiair!P20</f>
        <v>0</v>
      </c>
      <c r="R40" s="841">
        <f t="shared" ca="1" si="4"/>
        <v>4478.2874565412531</v>
      </c>
    </row>
    <row r="41" spans="1:18">
      <c r="A41" s="813" t="s">
        <v>213</v>
      </c>
      <c r="B41" s="820"/>
      <c r="C41" s="679">
        <f ca="1">huishoudens!B12</f>
        <v>2013.4960351554907</v>
      </c>
      <c r="D41" s="679">
        <f ca="1">huishoudens!C12</f>
        <v>0</v>
      </c>
      <c r="E41" s="679">
        <f>huishoudens!D12</f>
        <v>3170.5378531728002</v>
      </c>
      <c r="F41" s="679">
        <f>huishoudens!E12</f>
        <v>481.08112327073195</v>
      </c>
      <c r="G41" s="679">
        <f>huishoudens!F12</f>
        <v>9122.3065858580503</v>
      </c>
      <c r="H41" s="679">
        <f>huishoudens!G12</f>
        <v>0</v>
      </c>
      <c r="I41" s="679">
        <f>huishoudens!H12</f>
        <v>0</v>
      </c>
      <c r="J41" s="679">
        <f>huishoudens!I12</f>
        <v>0</v>
      </c>
      <c r="K41" s="679">
        <f>huishoudens!J12</f>
        <v>48.317967300319474</v>
      </c>
      <c r="L41" s="679">
        <f>huishoudens!K12</f>
        <v>0</v>
      </c>
      <c r="M41" s="679">
        <f>huishoudens!L12</f>
        <v>0</v>
      </c>
      <c r="N41" s="679">
        <f>huishoudens!M12</f>
        <v>0</v>
      </c>
      <c r="O41" s="679">
        <f>huishoudens!N12</f>
        <v>0</v>
      </c>
      <c r="P41" s="679">
        <f>huishoudens!O12</f>
        <v>0</v>
      </c>
      <c r="Q41" s="762">
        <f>huishoudens!P12</f>
        <v>0</v>
      </c>
      <c r="R41" s="841">
        <f t="shared" ca="1" si="4"/>
        <v>14835.739564757392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92.814171115358278</v>
      </c>
      <c r="D43" s="679">
        <f ca="1">industrie!C22</f>
        <v>0</v>
      </c>
      <c r="E43" s="679">
        <f>industrie!D22</f>
        <v>122.31044773200003</v>
      </c>
      <c r="F43" s="679">
        <f>industrie!E22</f>
        <v>29.046325339305195</v>
      </c>
      <c r="G43" s="679">
        <f>industrie!F22</f>
        <v>105.07051036748031</v>
      </c>
      <c r="H43" s="679">
        <f>industrie!G22</f>
        <v>0</v>
      </c>
      <c r="I43" s="679">
        <f>industrie!H22</f>
        <v>0</v>
      </c>
      <c r="J43" s="679">
        <f>industrie!I22</f>
        <v>0</v>
      </c>
      <c r="K43" s="679">
        <f>industrie!J22</f>
        <v>0.83655974490247909</v>
      </c>
      <c r="L43" s="679">
        <f>industrie!K22</f>
        <v>0</v>
      </c>
      <c r="M43" s="679">
        <f>industrie!L22</f>
        <v>0</v>
      </c>
      <c r="N43" s="679">
        <f>industrie!M22</f>
        <v>0</v>
      </c>
      <c r="O43" s="679">
        <f>industrie!N22</f>
        <v>0</v>
      </c>
      <c r="P43" s="679">
        <f>industrie!O22</f>
        <v>0</v>
      </c>
      <c r="Q43" s="762">
        <f>industrie!P22</f>
        <v>0</v>
      </c>
      <c r="R43" s="840">
        <f t="shared" ca="1" si="4"/>
        <v>350.07801429904629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5237.3774613189189</v>
      </c>
      <c r="D46" s="715">
        <f t="shared" ref="D46:Q46" ca="1" si="5">SUM(D39:D45)</f>
        <v>0</v>
      </c>
      <c r="E46" s="715">
        <f t="shared" ca="1" si="5"/>
        <v>4246.6237059411442</v>
      </c>
      <c r="F46" s="715">
        <f t="shared" si="5"/>
        <v>556.77791534235098</v>
      </c>
      <c r="G46" s="715">
        <f t="shared" ca="1" si="5"/>
        <v>9574.1580080112963</v>
      </c>
      <c r="H46" s="715">
        <f t="shared" si="5"/>
        <v>0</v>
      </c>
      <c r="I46" s="715">
        <f t="shared" si="5"/>
        <v>0</v>
      </c>
      <c r="J46" s="715">
        <f t="shared" si="5"/>
        <v>0</v>
      </c>
      <c r="K46" s="715">
        <f t="shared" si="5"/>
        <v>49.167944983981556</v>
      </c>
      <c r="L46" s="715">
        <f t="shared" si="5"/>
        <v>0</v>
      </c>
      <c r="M46" s="715">
        <f t="shared" ca="1" si="5"/>
        <v>0</v>
      </c>
      <c r="N46" s="715">
        <f t="shared" si="5"/>
        <v>0</v>
      </c>
      <c r="O46" s="715">
        <f t="shared" ca="1" si="5"/>
        <v>0</v>
      </c>
      <c r="P46" s="715">
        <f t="shared" si="5"/>
        <v>0</v>
      </c>
      <c r="Q46" s="715">
        <f t="shared" si="5"/>
        <v>0</v>
      </c>
      <c r="R46" s="715">
        <f ca="1">SUM(R39:R45)</f>
        <v>19664.105035597691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1.8978825585782706</v>
      </c>
      <c r="D49" s="679">
        <f ca="1">transport!C58</f>
        <v>0</v>
      </c>
      <c r="E49" s="679">
        <f>transport!D58</f>
        <v>0</v>
      </c>
      <c r="F49" s="679">
        <f>transport!E58</f>
        <v>0</v>
      </c>
      <c r="G49" s="679">
        <f>transport!F58</f>
        <v>0</v>
      </c>
      <c r="H49" s="679">
        <f>transport!G58</f>
        <v>266.95645056691478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268.85433312549304</v>
      </c>
    </row>
    <row r="50" spans="1:18">
      <c r="A50" s="816" t="s">
        <v>295</v>
      </c>
      <c r="B50" s="826"/>
      <c r="C50" s="685">
        <f ca="1">transport!B18</f>
        <v>6.3890910348559782</v>
      </c>
      <c r="D50" s="685">
        <f>transport!C18</f>
        <v>0</v>
      </c>
      <c r="E50" s="685">
        <f>transport!D18</f>
        <v>18.443741502864174</v>
      </c>
      <c r="F50" s="685">
        <f>transport!E18</f>
        <v>17.654696170965927</v>
      </c>
      <c r="G50" s="685">
        <f>transport!F18</f>
        <v>0</v>
      </c>
      <c r="H50" s="685">
        <f>transport!G18</f>
        <v>7897.6736648929609</v>
      </c>
      <c r="I50" s="685">
        <f>transport!H18</f>
        <v>2008.477692055897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9948.6388856575431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8.286973593434249</v>
      </c>
      <c r="D52" s="715">
        <f t="shared" ref="D52:Q52" ca="1" si="6">SUM(D48:D51)</f>
        <v>0</v>
      </c>
      <c r="E52" s="715">
        <f t="shared" si="6"/>
        <v>18.443741502864174</v>
      </c>
      <c r="F52" s="715">
        <f t="shared" si="6"/>
        <v>17.654696170965927</v>
      </c>
      <c r="G52" s="715">
        <f t="shared" si="6"/>
        <v>0</v>
      </c>
      <c r="H52" s="715">
        <f t="shared" si="6"/>
        <v>8164.6301154598759</v>
      </c>
      <c r="I52" s="715">
        <f t="shared" si="6"/>
        <v>2008.477692055897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10217.493218783036</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322.98820708394663</v>
      </c>
      <c r="D54" s="685">
        <f ca="1">+landbouw!C12</f>
        <v>0</v>
      </c>
      <c r="E54" s="685">
        <f>+landbouw!D12</f>
        <v>61.917656504000007</v>
      </c>
      <c r="F54" s="685">
        <f>+landbouw!E12</f>
        <v>16.63849758855136</v>
      </c>
      <c r="G54" s="685">
        <f>+landbouw!F12</f>
        <v>2216.1058016183483</v>
      </c>
      <c r="H54" s="685">
        <f>+landbouw!G12</f>
        <v>0</v>
      </c>
      <c r="I54" s="685">
        <f>+landbouw!H12</f>
        <v>0</v>
      </c>
      <c r="J54" s="685">
        <f>+landbouw!I12</f>
        <v>0</v>
      </c>
      <c r="K54" s="685">
        <f>+landbouw!J12</f>
        <v>229.05241134841512</v>
      </c>
      <c r="L54" s="685">
        <f>+landbouw!K12</f>
        <v>0</v>
      </c>
      <c r="M54" s="685">
        <f>+landbouw!L12</f>
        <v>0</v>
      </c>
      <c r="N54" s="685">
        <f>+landbouw!M12</f>
        <v>0</v>
      </c>
      <c r="O54" s="685">
        <f>+landbouw!N12</f>
        <v>0</v>
      </c>
      <c r="P54" s="685">
        <f>+landbouw!O12</f>
        <v>0</v>
      </c>
      <c r="Q54" s="686">
        <f>+landbouw!P12</f>
        <v>0</v>
      </c>
      <c r="R54" s="714">
        <f ca="1">SUM(C54:Q54)</f>
        <v>2846.7025741432617</v>
      </c>
    </row>
    <row r="55" spans="1:18" ht="15" thickBot="1">
      <c r="A55" s="816" t="s">
        <v>708</v>
      </c>
      <c r="B55" s="826"/>
      <c r="C55" s="685">
        <f ca="1">C25*'EF ele_warmte'!B12</f>
        <v>41.685910532483568</v>
      </c>
      <c r="D55" s="685"/>
      <c r="E55" s="685">
        <f>E25*EF_CO2_aardgas</f>
        <v>309.45897888600001</v>
      </c>
      <c r="F55" s="685"/>
      <c r="G55" s="685"/>
      <c r="H55" s="685"/>
      <c r="I55" s="685"/>
      <c r="J55" s="685"/>
      <c r="K55" s="685"/>
      <c r="L55" s="685"/>
      <c r="M55" s="685"/>
      <c r="N55" s="685"/>
      <c r="O55" s="685"/>
      <c r="P55" s="685"/>
      <c r="Q55" s="686"/>
      <c r="R55" s="714">
        <f ca="1">SUM(C55:Q55)</f>
        <v>351.14488941848356</v>
      </c>
    </row>
    <row r="56" spans="1:18" ht="15.75" thickBot="1">
      <c r="A56" s="814" t="s">
        <v>709</v>
      </c>
      <c r="B56" s="827"/>
      <c r="C56" s="715">
        <f ca="1">SUM(C54:C55)</f>
        <v>364.67411761643018</v>
      </c>
      <c r="D56" s="715">
        <f t="shared" ref="D56:Q56" ca="1" si="7">SUM(D54:D55)</f>
        <v>0</v>
      </c>
      <c r="E56" s="715">
        <f t="shared" si="7"/>
        <v>371.37663539000005</v>
      </c>
      <c r="F56" s="715">
        <f t="shared" si="7"/>
        <v>16.63849758855136</v>
      </c>
      <c r="G56" s="715">
        <f t="shared" si="7"/>
        <v>2216.1058016183483</v>
      </c>
      <c r="H56" s="715">
        <f t="shared" si="7"/>
        <v>0</v>
      </c>
      <c r="I56" s="715">
        <f t="shared" si="7"/>
        <v>0</v>
      </c>
      <c r="J56" s="715">
        <f t="shared" si="7"/>
        <v>0</v>
      </c>
      <c r="K56" s="715">
        <f t="shared" si="7"/>
        <v>229.05241134841512</v>
      </c>
      <c r="L56" s="715">
        <f t="shared" si="7"/>
        <v>0</v>
      </c>
      <c r="M56" s="715">
        <f t="shared" si="7"/>
        <v>0</v>
      </c>
      <c r="N56" s="715">
        <f t="shared" si="7"/>
        <v>0</v>
      </c>
      <c r="O56" s="715">
        <f t="shared" si="7"/>
        <v>0</v>
      </c>
      <c r="P56" s="715">
        <f t="shared" si="7"/>
        <v>0</v>
      </c>
      <c r="Q56" s="716">
        <f t="shared" si="7"/>
        <v>0</v>
      </c>
      <c r="R56" s="717">
        <f ca="1">SUM(R54:R55)</f>
        <v>3197.8474635617454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5610.338552528784</v>
      </c>
      <c r="D61" s="723">
        <f t="shared" ref="D61:Q61" ca="1" si="8">D46+D52+D56</f>
        <v>0</v>
      </c>
      <c r="E61" s="723">
        <f t="shared" ca="1" si="8"/>
        <v>4636.4440828340084</v>
      </c>
      <c r="F61" s="723">
        <f t="shared" si="8"/>
        <v>591.07110910186827</v>
      </c>
      <c r="G61" s="723">
        <f t="shared" ca="1" si="8"/>
        <v>11790.263809629645</v>
      </c>
      <c r="H61" s="723">
        <f t="shared" si="8"/>
        <v>8164.6301154598759</v>
      </c>
      <c r="I61" s="723">
        <f t="shared" si="8"/>
        <v>2008.477692055897</v>
      </c>
      <c r="J61" s="723">
        <f t="shared" si="8"/>
        <v>0</v>
      </c>
      <c r="K61" s="723">
        <f t="shared" si="8"/>
        <v>278.2203563323967</v>
      </c>
      <c r="L61" s="723">
        <f t="shared" si="8"/>
        <v>0</v>
      </c>
      <c r="M61" s="723">
        <f t="shared" ca="1" si="8"/>
        <v>0</v>
      </c>
      <c r="N61" s="723">
        <f t="shared" si="8"/>
        <v>0</v>
      </c>
      <c r="O61" s="723">
        <f t="shared" ca="1" si="8"/>
        <v>0</v>
      </c>
      <c r="P61" s="723">
        <f t="shared" si="8"/>
        <v>0</v>
      </c>
      <c r="Q61" s="723">
        <f t="shared" si="8"/>
        <v>0</v>
      </c>
      <c r="R61" s="723">
        <f ca="1">R46+R52+R56</f>
        <v>33079.445717942472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0.13752688134869265</v>
      </c>
      <c r="D63" s="769">
        <f t="shared" ca="1" si="9"/>
        <v>0</v>
      </c>
      <c r="E63" s="967">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4855.8395522392357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10552.5</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12414.705882352942</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15408.339552239235</v>
      </c>
      <c r="C78" s="741">
        <f>SUM(C72:C77)</f>
        <v>0</v>
      </c>
      <c r="D78" s="742">
        <f t="shared" ref="D78:H78" si="10">SUM(D76:D77)</f>
        <v>0</v>
      </c>
      <c r="E78" s="742">
        <f t="shared" si="10"/>
        <v>0</v>
      </c>
      <c r="F78" s="742">
        <f t="shared" si="10"/>
        <v>0</v>
      </c>
      <c r="G78" s="742">
        <f t="shared" si="10"/>
        <v>0</v>
      </c>
      <c r="H78" s="742">
        <f t="shared" si="10"/>
        <v>0</v>
      </c>
      <c r="I78" s="742">
        <f>SUM(I76:I77)</f>
        <v>0</v>
      </c>
      <c r="J78" s="742">
        <f>SUM(J76:J77)</f>
        <v>12414.705882352942</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15075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17735.294117647063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15075</v>
      </c>
      <c r="C90" s="741">
        <f>SUM(C87:C89)</f>
        <v>0</v>
      </c>
      <c r="D90" s="741">
        <f t="shared" ref="D90:H90" si="12">SUM(D87:D89)</f>
        <v>0</v>
      </c>
      <c r="E90" s="741">
        <f t="shared" si="12"/>
        <v>0</v>
      </c>
      <c r="F90" s="741">
        <f t="shared" si="12"/>
        <v>0</v>
      </c>
      <c r="G90" s="741">
        <f t="shared" si="12"/>
        <v>0</v>
      </c>
      <c r="H90" s="741">
        <f t="shared" si="12"/>
        <v>0</v>
      </c>
      <c r="I90" s="741">
        <f>SUM(I87:I89)</f>
        <v>0</v>
      </c>
      <c r="J90" s="741">
        <f>SUM(J87:J89)</f>
        <v>17735.294117647063</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14640.745252198158</v>
      </c>
      <c r="C4" s="446">
        <f>huishoudens!C8</f>
        <v>0</v>
      </c>
      <c r="D4" s="446">
        <f>huishoudens!D8</f>
        <v>15695.731946399999</v>
      </c>
      <c r="E4" s="446">
        <f>huishoudens!E8</f>
        <v>2119.3001025142376</v>
      </c>
      <c r="F4" s="446">
        <f>huishoudens!F8</f>
        <v>34165.942269131272</v>
      </c>
      <c r="G4" s="446">
        <f>huishoudens!G8</f>
        <v>0</v>
      </c>
      <c r="H4" s="446">
        <f>huishoudens!H8</f>
        <v>0</v>
      </c>
      <c r="I4" s="446">
        <f>huishoudens!I8</f>
        <v>0</v>
      </c>
      <c r="J4" s="446">
        <f>huishoudens!J8</f>
        <v>136.49143305174994</v>
      </c>
      <c r="K4" s="446">
        <f>huishoudens!K8</f>
        <v>0</v>
      </c>
      <c r="L4" s="446">
        <f>huishoudens!L8</f>
        <v>0</v>
      </c>
      <c r="M4" s="446">
        <f>huishoudens!M8</f>
        <v>0</v>
      </c>
      <c r="N4" s="446">
        <f>huishoudens!N8</f>
        <v>5398.5106774856858</v>
      </c>
      <c r="O4" s="446">
        <f>huishoudens!O8</f>
        <v>186.49207262238099</v>
      </c>
      <c r="P4" s="447">
        <f>huishoudens!P8</f>
        <v>431.89233161508594</v>
      </c>
      <c r="Q4" s="448">
        <f>SUM(B4:P4)</f>
        <v>72775.106085018575</v>
      </c>
    </row>
    <row r="5" spans="1:17">
      <c r="A5" s="445" t="s">
        <v>149</v>
      </c>
      <c r="B5" s="446">
        <f ca="1">tertiair!B16</f>
        <v>22194.487263999999</v>
      </c>
      <c r="C5" s="446">
        <f ca="1">tertiair!C16</f>
        <v>15075</v>
      </c>
      <c r="D5" s="446">
        <f ca="1">tertiair!D16</f>
        <v>4721.6604209719999</v>
      </c>
      <c r="E5" s="446">
        <f>tertiair!E16</f>
        <v>205.50866401900336</v>
      </c>
      <c r="F5" s="446">
        <f ca="1">tertiair!F16</f>
        <v>1298.8049130553024</v>
      </c>
      <c r="G5" s="446">
        <f>tertiair!G16</f>
        <v>0</v>
      </c>
      <c r="H5" s="446">
        <f>tertiair!H16</f>
        <v>0</v>
      </c>
      <c r="I5" s="446">
        <f>tertiair!I16</f>
        <v>0</v>
      </c>
      <c r="J5" s="446">
        <f>tertiair!J16</f>
        <v>3.7903781806779654E-2</v>
      </c>
      <c r="K5" s="446">
        <f>tertiair!K16</f>
        <v>0</v>
      </c>
      <c r="L5" s="446">
        <f ca="1">tertiair!L16</f>
        <v>0</v>
      </c>
      <c r="M5" s="446">
        <f>tertiair!M16</f>
        <v>0</v>
      </c>
      <c r="N5" s="446">
        <f ca="1">tertiair!N16</f>
        <v>0</v>
      </c>
      <c r="O5" s="446">
        <f>tertiair!O16</f>
        <v>0</v>
      </c>
      <c r="P5" s="447">
        <f>tertiair!P16</f>
        <v>52.539138306495019</v>
      </c>
      <c r="Q5" s="445">
        <f t="shared" ref="Q5:Q14" ca="1" si="0">SUM(B5:P5)</f>
        <v>43548.038304134607</v>
      </c>
    </row>
    <row r="6" spans="1:17">
      <c r="A6" s="445" t="s">
        <v>187</v>
      </c>
      <c r="B6" s="446">
        <f>'openbare verlichting'!B8</f>
        <v>572.46</v>
      </c>
      <c r="C6" s="446"/>
      <c r="D6" s="446"/>
      <c r="E6" s="446"/>
      <c r="F6" s="446"/>
      <c r="G6" s="446"/>
      <c r="H6" s="446"/>
      <c r="I6" s="446"/>
      <c r="J6" s="446"/>
      <c r="K6" s="446"/>
      <c r="L6" s="446"/>
      <c r="M6" s="446"/>
      <c r="N6" s="446"/>
      <c r="O6" s="446"/>
      <c r="P6" s="447"/>
      <c r="Q6" s="445">
        <f t="shared" si="0"/>
        <v>572.46</v>
      </c>
    </row>
    <row r="7" spans="1:17">
      <c r="A7" s="445" t="s">
        <v>105</v>
      </c>
      <c r="B7" s="446">
        <f>landbouw!B8</f>
        <v>2348.5459999999998</v>
      </c>
      <c r="C7" s="446">
        <f>landbouw!C8</f>
        <v>0</v>
      </c>
      <c r="D7" s="446">
        <f>landbouw!D8</f>
        <v>306.52305200000001</v>
      </c>
      <c r="E7" s="446">
        <f>landbouw!E8</f>
        <v>73.29734620507206</v>
      </c>
      <c r="F7" s="446">
        <f>landbouw!F8</f>
        <v>8300.0217289076718</v>
      </c>
      <c r="G7" s="446">
        <f>landbouw!G8</f>
        <v>0</v>
      </c>
      <c r="H7" s="446">
        <f>landbouw!H8</f>
        <v>0</v>
      </c>
      <c r="I7" s="446">
        <f>landbouw!I8</f>
        <v>0</v>
      </c>
      <c r="J7" s="446">
        <f>landbouw!J8</f>
        <v>647.04071002377157</v>
      </c>
      <c r="K7" s="446">
        <f>landbouw!K8</f>
        <v>0</v>
      </c>
      <c r="L7" s="446">
        <f>landbouw!L8</f>
        <v>0</v>
      </c>
      <c r="M7" s="446">
        <f>landbouw!M8</f>
        <v>0</v>
      </c>
      <c r="N7" s="446">
        <f>landbouw!N8</f>
        <v>0</v>
      </c>
      <c r="O7" s="446">
        <f>landbouw!O8</f>
        <v>0</v>
      </c>
      <c r="P7" s="447">
        <f>landbouw!P8</f>
        <v>0</v>
      </c>
      <c r="Q7" s="445">
        <f t="shared" si="0"/>
        <v>11675.428837136515</v>
      </c>
    </row>
    <row r="8" spans="1:17">
      <c r="A8" s="445" t="s">
        <v>612</v>
      </c>
      <c r="B8" s="446">
        <f>industrie!B18</f>
        <v>674.88021399999991</v>
      </c>
      <c r="C8" s="446">
        <f>industrie!C18</f>
        <v>0</v>
      </c>
      <c r="D8" s="446">
        <f>industrie!D18</f>
        <v>605.49726600000008</v>
      </c>
      <c r="E8" s="446">
        <f>industrie!E18</f>
        <v>127.95738034936208</v>
      </c>
      <c r="F8" s="446">
        <f>industrie!F18</f>
        <v>393.52251073962663</v>
      </c>
      <c r="G8" s="446">
        <f>industrie!G18</f>
        <v>0</v>
      </c>
      <c r="H8" s="446">
        <f>industrie!H18</f>
        <v>0</v>
      </c>
      <c r="I8" s="446">
        <f>industrie!I18</f>
        <v>0</v>
      </c>
      <c r="J8" s="446">
        <f>industrie!J18</f>
        <v>2.3631631211934438</v>
      </c>
      <c r="K8" s="446">
        <f>industrie!K18</f>
        <v>0</v>
      </c>
      <c r="L8" s="446">
        <f>industrie!L18</f>
        <v>0</v>
      </c>
      <c r="M8" s="446">
        <f>industrie!M18</f>
        <v>0</v>
      </c>
      <c r="N8" s="446">
        <f>industrie!N18</f>
        <v>42.229194858368977</v>
      </c>
      <c r="O8" s="446">
        <f>industrie!O18</f>
        <v>0</v>
      </c>
      <c r="P8" s="447">
        <f>industrie!P18</f>
        <v>0</v>
      </c>
      <c r="Q8" s="445">
        <f t="shared" si="0"/>
        <v>1846.4497290685511</v>
      </c>
    </row>
    <row r="9" spans="1:17" s="451" customFormat="1">
      <c r="A9" s="449" t="s">
        <v>538</v>
      </c>
      <c r="B9" s="450">
        <f>transport!B14</f>
        <v>46.457034233596509</v>
      </c>
      <c r="C9" s="450">
        <f>transport!C14</f>
        <v>0</v>
      </c>
      <c r="D9" s="450">
        <f>transport!D14</f>
        <v>91.30565100427809</v>
      </c>
      <c r="E9" s="450">
        <f>transport!E14</f>
        <v>77.773991942581176</v>
      </c>
      <c r="F9" s="450">
        <f>transport!F14</f>
        <v>0</v>
      </c>
      <c r="G9" s="450">
        <f>transport!G14</f>
        <v>29579.302115703973</v>
      </c>
      <c r="H9" s="450">
        <f>transport!H14</f>
        <v>8066.1754701040045</v>
      </c>
      <c r="I9" s="450">
        <f>transport!I14</f>
        <v>0</v>
      </c>
      <c r="J9" s="450">
        <f>transport!J14</f>
        <v>0</v>
      </c>
      <c r="K9" s="450">
        <f>transport!K14</f>
        <v>0</v>
      </c>
      <c r="L9" s="450">
        <f>transport!L14</f>
        <v>0</v>
      </c>
      <c r="M9" s="450">
        <f>transport!M14</f>
        <v>2239.0697371655965</v>
      </c>
      <c r="N9" s="450">
        <f>transport!N14</f>
        <v>0</v>
      </c>
      <c r="O9" s="450">
        <f>transport!O14</f>
        <v>0</v>
      </c>
      <c r="P9" s="450">
        <f>transport!P14</f>
        <v>0</v>
      </c>
      <c r="Q9" s="449">
        <f>SUM(B9:P9)</f>
        <v>40100.084000154035</v>
      </c>
    </row>
    <row r="10" spans="1:17">
      <c r="A10" s="445" t="s">
        <v>528</v>
      </c>
      <c r="B10" s="446">
        <f>transport!B54</f>
        <v>13.80008431781626</v>
      </c>
      <c r="C10" s="446">
        <f>transport!C54</f>
        <v>0</v>
      </c>
      <c r="D10" s="446">
        <f>transport!D54</f>
        <v>0</v>
      </c>
      <c r="E10" s="446">
        <f>transport!E54</f>
        <v>0</v>
      </c>
      <c r="F10" s="446">
        <f>transport!F54</f>
        <v>0</v>
      </c>
      <c r="G10" s="446">
        <f>transport!G54</f>
        <v>999.8368935090441</v>
      </c>
      <c r="H10" s="446">
        <f>transport!H54</f>
        <v>0</v>
      </c>
      <c r="I10" s="446">
        <f>transport!I54</f>
        <v>0</v>
      </c>
      <c r="J10" s="446">
        <f>transport!J54</f>
        <v>0</v>
      </c>
      <c r="K10" s="446">
        <f>transport!K54</f>
        <v>0</v>
      </c>
      <c r="L10" s="446">
        <f>transport!L54</f>
        <v>0</v>
      </c>
      <c r="M10" s="446">
        <f>transport!M54</f>
        <v>56.553752212187518</v>
      </c>
      <c r="N10" s="446">
        <f>transport!N54</f>
        <v>0</v>
      </c>
      <c r="O10" s="446">
        <f>transport!O54</f>
        <v>0</v>
      </c>
      <c r="P10" s="447">
        <f>transport!P54</f>
        <v>0</v>
      </c>
      <c r="Q10" s="445">
        <f t="shared" si="0"/>
        <v>1070.1907300390478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303.11099999999999</v>
      </c>
      <c r="C14" s="453"/>
      <c r="D14" s="453">
        <f>'SEAP template'!E25</f>
        <v>1531.9751429999999</v>
      </c>
      <c r="E14" s="453"/>
      <c r="F14" s="453"/>
      <c r="G14" s="453"/>
      <c r="H14" s="453"/>
      <c r="I14" s="453"/>
      <c r="J14" s="453"/>
      <c r="K14" s="453"/>
      <c r="L14" s="453"/>
      <c r="M14" s="453"/>
      <c r="N14" s="453"/>
      <c r="O14" s="453"/>
      <c r="P14" s="454"/>
      <c r="Q14" s="445">
        <f t="shared" si="0"/>
        <v>1835.086143</v>
      </c>
    </row>
    <row r="15" spans="1:17" s="457" customFormat="1">
      <c r="A15" s="455" t="s">
        <v>532</v>
      </c>
      <c r="B15" s="456">
        <f ca="1">SUM(B4:B14)</f>
        <v>40794.486848749562</v>
      </c>
      <c r="C15" s="456">
        <f t="shared" ref="C15:Q15" ca="1" si="1">SUM(C4:C14)</f>
        <v>15075</v>
      </c>
      <c r="D15" s="456">
        <f t="shared" ca="1" si="1"/>
        <v>22952.693479376274</v>
      </c>
      <c r="E15" s="456">
        <f t="shared" si="1"/>
        <v>2603.8374850302566</v>
      </c>
      <c r="F15" s="456">
        <f t="shared" ca="1" si="1"/>
        <v>44158.29142183387</v>
      </c>
      <c r="G15" s="456">
        <f t="shared" si="1"/>
        <v>30579.139009213017</v>
      </c>
      <c r="H15" s="456">
        <f t="shared" si="1"/>
        <v>8066.1754701040045</v>
      </c>
      <c r="I15" s="456">
        <f t="shared" si="1"/>
        <v>0</v>
      </c>
      <c r="J15" s="456">
        <f t="shared" si="1"/>
        <v>785.93320997852175</v>
      </c>
      <c r="K15" s="456">
        <f t="shared" si="1"/>
        <v>0</v>
      </c>
      <c r="L15" s="456">
        <f t="shared" ca="1" si="1"/>
        <v>0</v>
      </c>
      <c r="M15" s="456">
        <f t="shared" si="1"/>
        <v>2295.6234893777842</v>
      </c>
      <c r="N15" s="456">
        <f t="shared" ca="1" si="1"/>
        <v>5440.7398723440547</v>
      </c>
      <c r="O15" s="456">
        <f t="shared" si="1"/>
        <v>186.49207262238099</v>
      </c>
      <c r="P15" s="456">
        <f t="shared" si="1"/>
        <v>484.43146992158097</v>
      </c>
      <c r="Q15" s="456">
        <f t="shared" ca="1" si="1"/>
        <v>173422.84382855133</v>
      </c>
    </row>
    <row r="17" spans="1:17">
      <c r="A17" s="458" t="s">
        <v>533</v>
      </c>
      <c r="B17" s="774">
        <f ca="1">huishoudens!B10</f>
        <v>0.13752688134869262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2013.4960351554907</v>
      </c>
      <c r="C22" s="446">
        <f t="shared" ref="C22:C32" ca="1" si="3">C4*$C$17</f>
        <v>0</v>
      </c>
      <c r="D22" s="446">
        <f t="shared" ref="D22:D32" si="4">D4*$D$17</f>
        <v>3170.5378531728002</v>
      </c>
      <c r="E22" s="446">
        <f t="shared" ref="E22:E32" si="5">E4*$E$17</f>
        <v>481.08112327073195</v>
      </c>
      <c r="F22" s="446">
        <f t="shared" ref="F22:F32" si="6">F4*$F$17</f>
        <v>9122.3065858580503</v>
      </c>
      <c r="G22" s="446">
        <f t="shared" ref="G22:G32" si="7">G4*$G$17</f>
        <v>0</v>
      </c>
      <c r="H22" s="446">
        <f t="shared" ref="H22:H32" si="8">H4*$H$17</f>
        <v>0</v>
      </c>
      <c r="I22" s="446">
        <f t="shared" ref="I22:I32" si="9">I4*$I$17</f>
        <v>0</v>
      </c>
      <c r="J22" s="446">
        <f t="shared" ref="J22:J32" si="10">J4*$J$17</f>
        <v>48.317967300319474</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14835.739564757392</v>
      </c>
    </row>
    <row r="23" spans="1:17">
      <c r="A23" s="445" t="s">
        <v>149</v>
      </c>
      <c r="B23" s="446">
        <f t="shared" ca="1" si="2"/>
        <v>3052.3386165511974</v>
      </c>
      <c r="C23" s="446">
        <f t="shared" ca="1" si="3"/>
        <v>0</v>
      </c>
      <c r="D23" s="446">
        <f t="shared" ca="1" si="4"/>
        <v>953.77540503634407</v>
      </c>
      <c r="E23" s="446">
        <f t="shared" si="5"/>
        <v>46.650466732313767</v>
      </c>
      <c r="F23" s="446">
        <f t="shared" ca="1" si="6"/>
        <v>346.7809117857658</v>
      </c>
      <c r="G23" s="446">
        <f t="shared" si="7"/>
        <v>0</v>
      </c>
      <c r="H23" s="446">
        <f t="shared" si="8"/>
        <v>0</v>
      </c>
      <c r="I23" s="446">
        <f t="shared" si="9"/>
        <v>0</v>
      </c>
      <c r="J23" s="446">
        <f t="shared" si="10"/>
        <v>1.3417938759599997E-2</v>
      </c>
      <c r="K23" s="446">
        <f t="shared" si="11"/>
        <v>0</v>
      </c>
      <c r="L23" s="446">
        <f t="shared" ca="1" si="12"/>
        <v>0</v>
      </c>
      <c r="M23" s="446">
        <f t="shared" si="13"/>
        <v>0</v>
      </c>
      <c r="N23" s="446">
        <f t="shared" ca="1" si="14"/>
        <v>0</v>
      </c>
      <c r="O23" s="446">
        <f t="shared" si="15"/>
        <v>0</v>
      </c>
      <c r="P23" s="447">
        <f t="shared" si="16"/>
        <v>0</v>
      </c>
      <c r="Q23" s="445">
        <f t="shared" ref="Q23:Q31" ca="1" si="17">SUM(B23:P23)</f>
        <v>4399.558818044381</v>
      </c>
    </row>
    <row r="24" spans="1:17">
      <c r="A24" s="445" t="s">
        <v>187</v>
      </c>
      <c r="B24" s="446">
        <f t="shared" ca="1" si="2"/>
        <v>78.728638496872577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78.728638496872577</v>
      </c>
    </row>
    <row r="25" spans="1:17">
      <c r="A25" s="445" t="s">
        <v>105</v>
      </c>
      <c r="B25" s="446">
        <f t="shared" ca="1" si="2"/>
        <v>322.98820708394663</v>
      </c>
      <c r="C25" s="446">
        <f t="shared" ca="1" si="3"/>
        <v>0</v>
      </c>
      <c r="D25" s="446">
        <f t="shared" si="4"/>
        <v>61.917656504000007</v>
      </c>
      <c r="E25" s="446">
        <f t="shared" si="5"/>
        <v>16.63849758855136</v>
      </c>
      <c r="F25" s="446">
        <f t="shared" si="6"/>
        <v>2216.1058016183483</v>
      </c>
      <c r="G25" s="446">
        <f t="shared" si="7"/>
        <v>0</v>
      </c>
      <c r="H25" s="446">
        <f t="shared" si="8"/>
        <v>0</v>
      </c>
      <c r="I25" s="446">
        <f t="shared" si="9"/>
        <v>0</v>
      </c>
      <c r="J25" s="446">
        <f t="shared" si="10"/>
        <v>229.05241134841512</v>
      </c>
      <c r="K25" s="446">
        <f t="shared" si="11"/>
        <v>0</v>
      </c>
      <c r="L25" s="446">
        <f t="shared" si="12"/>
        <v>0</v>
      </c>
      <c r="M25" s="446">
        <f t="shared" si="13"/>
        <v>0</v>
      </c>
      <c r="N25" s="446">
        <f t="shared" si="14"/>
        <v>0</v>
      </c>
      <c r="O25" s="446">
        <f t="shared" si="15"/>
        <v>0</v>
      </c>
      <c r="P25" s="447">
        <f t="shared" si="16"/>
        <v>0</v>
      </c>
      <c r="Q25" s="445">
        <f t="shared" ca="1" si="17"/>
        <v>2846.7025741432617</v>
      </c>
    </row>
    <row r="26" spans="1:17">
      <c r="A26" s="445" t="s">
        <v>612</v>
      </c>
      <c r="B26" s="446">
        <f t="shared" ca="1" si="2"/>
        <v>92.814171115358278</v>
      </c>
      <c r="C26" s="446">
        <f t="shared" ca="1" si="3"/>
        <v>0</v>
      </c>
      <c r="D26" s="446">
        <f t="shared" si="4"/>
        <v>122.31044773200003</v>
      </c>
      <c r="E26" s="446">
        <f t="shared" si="5"/>
        <v>29.046325339305195</v>
      </c>
      <c r="F26" s="446">
        <f t="shared" si="6"/>
        <v>105.07051036748031</v>
      </c>
      <c r="G26" s="446">
        <f t="shared" si="7"/>
        <v>0</v>
      </c>
      <c r="H26" s="446">
        <f t="shared" si="8"/>
        <v>0</v>
      </c>
      <c r="I26" s="446">
        <f t="shared" si="9"/>
        <v>0</v>
      </c>
      <c r="J26" s="446">
        <f t="shared" si="10"/>
        <v>0.83655974490247909</v>
      </c>
      <c r="K26" s="446">
        <f t="shared" si="11"/>
        <v>0</v>
      </c>
      <c r="L26" s="446">
        <f t="shared" si="12"/>
        <v>0</v>
      </c>
      <c r="M26" s="446">
        <f t="shared" si="13"/>
        <v>0</v>
      </c>
      <c r="N26" s="446">
        <f t="shared" si="14"/>
        <v>0</v>
      </c>
      <c r="O26" s="446">
        <f t="shared" si="15"/>
        <v>0</v>
      </c>
      <c r="P26" s="447">
        <f t="shared" si="16"/>
        <v>0</v>
      </c>
      <c r="Q26" s="445">
        <f t="shared" ca="1" si="17"/>
        <v>350.07801429904629</v>
      </c>
    </row>
    <row r="27" spans="1:17" s="451" customFormat="1">
      <c r="A27" s="449" t="s">
        <v>538</v>
      </c>
      <c r="B27" s="768">
        <f t="shared" ca="1" si="2"/>
        <v>6.3890910348559782</v>
      </c>
      <c r="C27" s="450">
        <f t="shared" ca="1" si="3"/>
        <v>0</v>
      </c>
      <c r="D27" s="450">
        <f t="shared" si="4"/>
        <v>18.443741502864174</v>
      </c>
      <c r="E27" s="450">
        <f t="shared" si="5"/>
        <v>17.654696170965927</v>
      </c>
      <c r="F27" s="450">
        <f t="shared" si="6"/>
        <v>0</v>
      </c>
      <c r="G27" s="450">
        <f t="shared" si="7"/>
        <v>7897.6736648929609</v>
      </c>
      <c r="H27" s="450">
        <f t="shared" si="8"/>
        <v>2008.477692055897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9948.6388856575431</v>
      </c>
    </row>
    <row r="28" spans="1:17" ht="16.5" customHeight="1">
      <c r="A28" s="445" t="s">
        <v>528</v>
      </c>
      <c r="B28" s="446">
        <f t="shared" ca="1" si="2"/>
        <v>1.8978825585782706</v>
      </c>
      <c r="C28" s="446">
        <f t="shared" ca="1" si="3"/>
        <v>0</v>
      </c>
      <c r="D28" s="446">
        <f t="shared" si="4"/>
        <v>0</v>
      </c>
      <c r="E28" s="446">
        <f t="shared" si="5"/>
        <v>0</v>
      </c>
      <c r="F28" s="446">
        <f t="shared" si="6"/>
        <v>0</v>
      </c>
      <c r="G28" s="446">
        <f t="shared" si="7"/>
        <v>266.95645056691478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268.85433312549304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41.685910532483568</v>
      </c>
      <c r="C32" s="446">
        <f t="shared" ca="1" si="3"/>
        <v>0</v>
      </c>
      <c r="D32" s="446">
        <f t="shared" si="4"/>
        <v>309.45897888600001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351.14488941848356</v>
      </c>
    </row>
    <row r="33" spans="1:17" s="457" customFormat="1">
      <c r="A33" s="455" t="s">
        <v>532</v>
      </c>
      <c r="B33" s="456">
        <f ca="1">SUM(B22:B32)</f>
        <v>5610.3385525287849</v>
      </c>
      <c r="C33" s="456">
        <f t="shared" ref="C33:Q33" ca="1" si="19">SUM(C22:C32)</f>
        <v>0</v>
      </c>
      <c r="D33" s="456">
        <f t="shared" ca="1" si="19"/>
        <v>4636.4440828340084</v>
      </c>
      <c r="E33" s="456">
        <f t="shared" si="19"/>
        <v>591.07110910186827</v>
      </c>
      <c r="F33" s="456">
        <f t="shared" ca="1" si="19"/>
        <v>11790.263809629645</v>
      </c>
      <c r="G33" s="456">
        <f t="shared" si="19"/>
        <v>8164.6301154598759</v>
      </c>
      <c r="H33" s="456">
        <f t="shared" si="19"/>
        <v>2008.477692055897</v>
      </c>
      <c r="I33" s="456">
        <f t="shared" si="19"/>
        <v>0</v>
      </c>
      <c r="J33" s="456">
        <f t="shared" si="19"/>
        <v>278.2203563323967</v>
      </c>
      <c r="K33" s="456">
        <f t="shared" si="19"/>
        <v>0</v>
      </c>
      <c r="L33" s="456">
        <f t="shared" ca="1" si="19"/>
        <v>0</v>
      </c>
      <c r="M33" s="456">
        <f t="shared" si="19"/>
        <v>0</v>
      </c>
      <c r="N33" s="456">
        <f t="shared" ca="1" si="19"/>
        <v>0</v>
      </c>
      <c r="O33" s="456">
        <f t="shared" si="19"/>
        <v>0</v>
      </c>
      <c r="P33" s="456">
        <f t="shared" si="19"/>
        <v>0</v>
      </c>
      <c r="Q33" s="456">
        <f t="shared" ca="1" si="19"/>
        <v>33079.445717942479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4855.8395522392357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10552.5</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12414.705882352942</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15408.339552239235</v>
      </c>
      <c r="C10" s="1021">
        <f>SUM(C4:C9)</f>
        <v>0</v>
      </c>
      <c r="D10" s="1021">
        <f t="shared" ref="D10:H10" si="0">SUM(D8:D9)</f>
        <v>0</v>
      </c>
      <c r="E10" s="1021">
        <f t="shared" si="0"/>
        <v>0</v>
      </c>
      <c r="F10" s="1021">
        <f t="shared" si="0"/>
        <v>0</v>
      </c>
      <c r="G10" s="1021">
        <f t="shared" si="0"/>
        <v>0</v>
      </c>
      <c r="H10" s="1021">
        <f t="shared" si="0"/>
        <v>0</v>
      </c>
      <c r="I10" s="1021">
        <f>SUM(I8:I9)</f>
        <v>0</v>
      </c>
      <c r="J10" s="1021">
        <f>SUM(J8:J9)</f>
        <v>12414.705882352942</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0.13752688134869262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15075</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17735.294117647063</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15075</v>
      </c>
      <c r="C20" s="1021">
        <f>SUM(C17:C19)</f>
        <v>0</v>
      </c>
      <c r="D20" s="1021">
        <f t="shared" ref="D20:H20" si="2">SUM(D17:D19)</f>
        <v>0</v>
      </c>
      <c r="E20" s="1021">
        <f t="shared" si="2"/>
        <v>0</v>
      </c>
      <c r="F20" s="1021">
        <f t="shared" si="2"/>
        <v>0</v>
      </c>
      <c r="G20" s="1021">
        <f t="shared" si="2"/>
        <v>0</v>
      </c>
      <c r="H20" s="1021">
        <f t="shared" si="2"/>
        <v>0</v>
      </c>
      <c r="I20" s="1021">
        <f>SUM(I17:I19)</f>
        <v>0</v>
      </c>
      <c r="J20" s="1021">
        <f>SUM(J17:J19)</f>
        <v>17735.294117647063</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0.13752688134869262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0.13752688134869262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0.13752688134869262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3021.07</v>
      </c>
      <c r="C14" s="326"/>
      <c r="D14" s="326"/>
      <c r="E14" s="326"/>
      <c r="F14" s="326"/>
    </row>
    <row r="15" spans="1:6">
      <c r="A15" s="1296" t="s">
        <v>177</v>
      </c>
      <c r="B15" s="1297">
        <v>1825</v>
      </c>
      <c r="C15" s="326"/>
      <c r="D15" s="326"/>
      <c r="E15" s="326"/>
      <c r="F15" s="326"/>
    </row>
    <row r="16" spans="1:6">
      <c r="A16" s="1296" t="s">
        <v>6</v>
      </c>
      <c r="B16" s="1297">
        <v>132</v>
      </c>
      <c r="C16" s="326"/>
      <c r="D16" s="326"/>
      <c r="E16" s="326"/>
      <c r="F16" s="326"/>
    </row>
    <row r="17" spans="1:6">
      <c r="A17" s="1296" t="s">
        <v>7</v>
      </c>
      <c r="B17" s="1297">
        <v>386</v>
      </c>
      <c r="C17" s="326"/>
      <c r="D17" s="326"/>
      <c r="E17" s="326"/>
      <c r="F17" s="326"/>
    </row>
    <row r="18" spans="1:6">
      <c r="A18" s="1296" t="s">
        <v>8</v>
      </c>
      <c r="B18" s="1297">
        <v>346</v>
      </c>
      <c r="C18" s="326"/>
      <c r="D18" s="326"/>
      <c r="E18" s="326"/>
      <c r="F18" s="326"/>
    </row>
    <row r="19" spans="1:6">
      <c r="A19" s="1296" t="s">
        <v>9</v>
      </c>
      <c r="B19" s="1297">
        <v>172</v>
      </c>
      <c r="C19" s="326"/>
      <c r="D19" s="326"/>
      <c r="E19" s="326"/>
      <c r="F19" s="326"/>
    </row>
    <row r="20" spans="1:6">
      <c r="A20" s="1296" t="s">
        <v>10</v>
      </c>
      <c r="B20" s="1297">
        <v>285</v>
      </c>
      <c r="C20" s="326"/>
      <c r="D20" s="326"/>
      <c r="E20" s="326"/>
      <c r="F20" s="326"/>
    </row>
    <row r="21" spans="1:6">
      <c r="A21" s="1296" t="s">
        <v>11</v>
      </c>
      <c r="B21" s="1297">
        <v>3832</v>
      </c>
      <c r="C21" s="326"/>
      <c r="D21" s="326"/>
      <c r="E21" s="326"/>
      <c r="F21" s="326"/>
    </row>
    <row r="22" spans="1:6">
      <c r="A22" s="1296" t="s">
        <v>12</v>
      </c>
      <c r="B22" s="1297">
        <v>5744</v>
      </c>
      <c r="C22" s="326"/>
      <c r="D22" s="326"/>
      <c r="E22" s="326"/>
      <c r="F22" s="326"/>
    </row>
    <row r="23" spans="1:6">
      <c r="A23" s="1296" t="s">
        <v>13</v>
      </c>
      <c r="B23" s="1297">
        <v>32</v>
      </c>
      <c r="C23" s="326"/>
      <c r="D23" s="326"/>
      <c r="E23" s="326"/>
      <c r="F23" s="326"/>
    </row>
    <row r="24" spans="1:6">
      <c r="A24" s="1296" t="s">
        <v>14</v>
      </c>
      <c r="B24" s="1297">
        <v>0</v>
      </c>
      <c r="C24" s="326"/>
      <c r="D24" s="326"/>
      <c r="E24" s="326"/>
      <c r="F24" s="326"/>
    </row>
    <row r="25" spans="1:6">
      <c r="A25" s="1296" t="s">
        <v>15</v>
      </c>
      <c r="B25" s="1297">
        <v>508</v>
      </c>
      <c r="C25" s="326"/>
      <c r="D25" s="326"/>
      <c r="E25" s="326"/>
      <c r="F25" s="326"/>
    </row>
    <row r="26" spans="1:6">
      <c r="A26" s="1296" t="s">
        <v>16</v>
      </c>
      <c r="B26" s="1297">
        <v>172</v>
      </c>
      <c r="C26" s="326"/>
      <c r="D26" s="326"/>
      <c r="E26" s="326"/>
      <c r="F26" s="326"/>
    </row>
    <row r="27" spans="1:6">
      <c r="A27" s="1296" t="s">
        <v>17</v>
      </c>
      <c r="B27" s="1297">
        <v>1</v>
      </c>
      <c r="C27" s="326"/>
      <c r="D27" s="326"/>
      <c r="E27" s="326"/>
      <c r="F27" s="326"/>
    </row>
    <row r="28" spans="1:6">
      <c r="A28" s="1296" t="s">
        <v>18</v>
      </c>
      <c r="B28" s="1298">
        <v>81729</v>
      </c>
      <c r="C28" s="326"/>
      <c r="D28" s="326"/>
      <c r="E28" s="326"/>
      <c r="F28" s="326"/>
    </row>
    <row r="29" spans="1:6">
      <c r="A29" s="1296" t="s">
        <v>689</v>
      </c>
      <c r="B29" s="1298">
        <v>327</v>
      </c>
      <c r="C29" s="326"/>
      <c r="D29" s="326"/>
      <c r="E29" s="326"/>
      <c r="F29" s="326"/>
    </row>
    <row r="30" spans="1:6">
      <c r="A30" s="1291" t="s">
        <v>690</v>
      </c>
      <c r="B30" s="1299">
        <v>34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9</v>
      </c>
      <c r="F36" s="1297">
        <v>116494</v>
      </c>
    </row>
    <row r="37" spans="1:6">
      <c r="A37" s="1296" t="s">
        <v>24</v>
      </c>
      <c r="B37" s="1296" t="s">
        <v>27</v>
      </c>
      <c r="C37" s="1297">
        <v>0</v>
      </c>
      <c r="D37" s="1297">
        <v>0</v>
      </c>
      <c r="E37" s="1297">
        <v>0</v>
      </c>
      <c r="F37" s="1297">
        <v>0</v>
      </c>
    </row>
    <row r="38" spans="1:6">
      <c r="A38" s="1296" t="s">
        <v>24</v>
      </c>
      <c r="B38" s="1296" t="s">
        <v>28</v>
      </c>
      <c r="C38" s="1297">
        <v>1</v>
      </c>
      <c r="D38" s="1297">
        <v>2865</v>
      </c>
      <c r="E38" s="1297">
        <v>0</v>
      </c>
      <c r="F38" s="1297">
        <v>0</v>
      </c>
    </row>
    <row r="39" spans="1:6">
      <c r="A39" s="1296" t="s">
        <v>29</v>
      </c>
      <c r="B39" s="1296" t="s">
        <v>30</v>
      </c>
      <c r="C39" s="1297">
        <v>1100</v>
      </c>
      <c r="D39" s="1297">
        <v>17401033.199999999</v>
      </c>
      <c r="E39" s="1297">
        <v>3379</v>
      </c>
      <c r="F39" s="1297">
        <v>11823730.449999999</v>
      </c>
    </row>
    <row r="40" spans="1:6">
      <c r="A40" s="1296" t="s">
        <v>29</v>
      </c>
      <c r="B40" s="1296" t="s">
        <v>28</v>
      </c>
      <c r="C40" s="1297">
        <v>0</v>
      </c>
      <c r="D40" s="1297">
        <v>0</v>
      </c>
      <c r="E40" s="1297">
        <v>0</v>
      </c>
      <c r="F40" s="1297">
        <v>0</v>
      </c>
    </row>
    <row r="41" spans="1:6">
      <c r="A41" s="1296" t="s">
        <v>31</v>
      </c>
      <c r="B41" s="1296" t="s">
        <v>32</v>
      </c>
      <c r="C41" s="1297">
        <v>28</v>
      </c>
      <c r="D41" s="1297">
        <v>559380</v>
      </c>
      <c r="E41" s="1297">
        <v>67</v>
      </c>
      <c r="F41" s="1297">
        <v>458311.21399999998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50577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20636</v>
      </c>
    </row>
    <row r="48" spans="1:6">
      <c r="A48" s="1296" t="s">
        <v>31</v>
      </c>
      <c r="B48" s="1296" t="s">
        <v>28</v>
      </c>
      <c r="C48" s="1297">
        <v>4</v>
      </c>
      <c r="D48" s="1297">
        <v>111903</v>
      </c>
      <c r="E48" s="1297">
        <v>1</v>
      </c>
      <c r="F48" s="1297">
        <v>6609</v>
      </c>
    </row>
    <row r="49" spans="1:6">
      <c r="A49" s="1296" t="s">
        <v>31</v>
      </c>
      <c r="B49" s="1296" t="s">
        <v>39</v>
      </c>
      <c r="C49" s="1297">
        <v>0</v>
      </c>
      <c r="D49" s="1297">
        <v>0</v>
      </c>
      <c r="E49" s="1297">
        <v>0</v>
      </c>
      <c r="F49" s="1297">
        <v>0</v>
      </c>
    </row>
    <row r="50" spans="1:6">
      <c r="A50" s="1296" t="s">
        <v>31</v>
      </c>
      <c r="B50" s="1296" t="s">
        <v>40</v>
      </c>
      <c r="C50" s="1297">
        <v>0</v>
      </c>
      <c r="D50" s="1297">
        <v>0</v>
      </c>
      <c r="E50" s="1297">
        <v>4</v>
      </c>
      <c r="F50" s="1297">
        <v>138747</v>
      </c>
    </row>
    <row r="51" spans="1:6">
      <c r="A51" s="1296" t="s">
        <v>41</v>
      </c>
      <c r="B51" s="1296" t="s">
        <v>42</v>
      </c>
      <c r="C51" s="1297">
        <v>11</v>
      </c>
      <c r="D51" s="1297">
        <v>339826</v>
      </c>
      <c r="E51" s="1297">
        <v>89</v>
      </c>
      <c r="F51" s="1297">
        <v>2348546</v>
      </c>
    </row>
    <row r="52" spans="1:6">
      <c r="A52" s="1296" t="s">
        <v>41</v>
      </c>
      <c r="B52" s="1296" t="s">
        <v>28</v>
      </c>
      <c r="C52" s="1297">
        <v>0</v>
      </c>
      <c r="D52" s="1297">
        <v>0</v>
      </c>
      <c r="E52" s="1297">
        <v>0</v>
      </c>
      <c r="F52" s="1297">
        <v>0</v>
      </c>
    </row>
    <row r="53" spans="1:6">
      <c r="A53" s="1296" t="s">
        <v>43</v>
      </c>
      <c r="B53" s="1296" t="s">
        <v>44</v>
      </c>
      <c r="C53" s="1297">
        <v>32</v>
      </c>
      <c r="D53" s="1297">
        <v>1531975.1429999999</v>
      </c>
      <c r="E53" s="1297">
        <v>75</v>
      </c>
      <c r="F53" s="1297">
        <v>303111</v>
      </c>
    </row>
    <row r="54" spans="1:6">
      <c r="A54" s="1296" t="s">
        <v>45</v>
      </c>
      <c r="B54" s="1296" t="s">
        <v>46</v>
      </c>
      <c r="C54" s="1297">
        <v>0</v>
      </c>
      <c r="D54" s="1297">
        <v>0</v>
      </c>
      <c r="E54" s="1297">
        <v>1</v>
      </c>
      <c r="F54" s="1297">
        <v>572460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v>
      </c>
      <c r="D57" s="1297">
        <v>212925</v>
      </c>
      <c r="E57" s="1297">
        <v>70</v>
      </c>
      <c r="F57" s="1297">
        <v>2231748.2859999998</v>
      </c>
    </row>
    <row r="58" spans="1:6">
      <c r="A58" s="1296" t="s">
        <v>48</v>
      </c>
      <c r="B58" s="1296" t="s">
        <v>50</v>
      </c>
      <c r="C58" s="1297">
        <v>7</v>
      </c>
      <c r="D58" s="1297">
        <v>945316.78599999996</v>
      </c>
      <c r="E58" s="1297">
        <v>17</v>
      </c>
      <c r="F58" s="1297">
        <v>525581</v>
      </c>
    </row>
    <row r="59" spans="1:6">
      <c r="A59" s="1296" t="s">
        <v>48</v>
      </c>
      <c r="B59" s="1296" t="s">
        <v>51</v>
      </c>
      <c r="C59" s="1297">
        <v>33</v>
      </c>
      <c r="D59" s="1297">
        <v>913528</v>
      </c>
      <c r="E59" s="1297">
        <v>107</v>
      </c>
      <c r="F59" s="1297">
        <v>6528828.7139999997</v>
      </c>
    </row>
    <row r="60" spans="1:6">
      <c r="A60" s="1296" t="s">
        <v>48</v>
      </c>
      <c r="B60" s="1296" t="s">
        <v>52</v>
      </c>
      <c r="C60" s="1297">
        <v>22</v>
      </c>
      <c r="D60" s="1297">
        <v>736398</v>
      </c>
      <c r="E60" s="1297">
        <v>31</v>
      </c>
      <c r="F60" s="1297">
        <v>658584</v>
      </c>
    </row>
    <row r="61" spans="1:6">
      <c r="A61" s="1296" t="s">
        <v>48</v>
      </c>
      <c r="B61" s="1296" t="s">
        <v>53</v>
      </c>
      <c r="C61" s="1297">
        <v>46</v>
      </c>
      <c r="D61" s="1297">
        <v>1530820</v>
      </c>
      <c r="E61" s="1297">
        <v>108</v>
      </c>
      <c r="F61" s="1297">
        <v>1396228.264</v>
      </c>
    </row>
    <row r="62" spans="1:6">
      <c r="A62" s="1296" t="s">
        <v>48</v>
      </c>
      <c r="B62" s="1296" t="s">
        <v>54</v>
      </c>
      <c r="C62" s="1297">
        <v>4</v>
      </c>
      <c r="D62" s="1297">
        <v>895669</v>
      </c>
      <c r="E62" s="1297">
        <v>11</v>
      </c>
      <c r="F62" s="1297">
        <v>291885</v>
      </c>
    </row>
    <row r="63" spans="1:6">
      <c r="A63" s="1296" t="s">
        <v>48</v>
      </c>
      <c r="B63" s="1296" t="s">
        <v>28</v>
      </c>
      <c r="C63" s="1297">
        <v>0</v>
      </c>
      <c r="D63" s="1297">
        <v>0</v>
      </c>
      <c r="E63" s="1297">
        <v>1</v>
      </c>
      <c r="F63" s="1297">
        <v>9132</v>
      </c>
    </row>
    <row r="64" spans="1:6">
      <c r="A64" s="1296" t="s">
        <v>55</v>
      </c>
      <c r="B64" s="1296" t="s">
        <v>56</v>
      </c>
      <c r="C64" s="1297">
        <v>0</v>
      </c>
      <c r="D64" s="1297">
        <v>0</v>
      </c>
      <c r="E64" s="1297">
        <v>0</v>
      </c>
      <c r="F64" s="1297">
        <v>0</v>
      </c>
    </row>
    <row r="65" spans="1:6">
      <c r="A65" s="1296" t="s">
        <v>55</v>
      </c>
      <c r="B65" s="1296" t="s">
        <v>28</v>
      </c>
      <c r="C65" s="1297">
        <v>0</v>
      </c>
      <c r="D65" s="1297">
        <v>0</v>
      </c>
      <c r="E65" s="1297">
        <v>4</v>
      </c>
      <c r="F65" s="1297">
        <v>107821.357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20167773</v>
      </c>
      <c r="E73" s="444"/>
      <c r="F73" s="326"/>
    </row>
    <row r="74" spans="1:6">
      <c r="A74" s="1296" t="s">
        <v>63</v>
      </c>
      <c r="B74" s="1296" t="s">
        <v>633</v>
      </c>
      <c r="C74" s="1309" t="s">
        <v>635</v>
      </c>
      <c r="D74" s="1297">
        <v>1563143</v>
      </c>
      <c r="E74" s="444"/>
      <c r="F74" s="326"/>
    </row>
    <row r="75" spans="1:6">
      <c r="A75" s="1296" t="s">
        <v>64</v>
      </c>
      <c r="B75" s="1296" t="s">
        <v>632</v>
      </c>
      <c r="C75" s="1309" t="s">
        <v>636</v>
      </c>
      <c r="D75" s="1297">
        <v>23443254</v>
      </c>
      <c r="E75" s="444"/>
      <c r="F75" s="326"/>
    </row>
    <row r="76" spans="1:6">
      <c r="A76" s="1296" t="s">
        <v>64</v>
      </c>
      <c r="B76" s="1296" t="s">
        <v>633</v>
      </c>
      <c r="C76" s="1309" t="s">
        <v>637</v>
      </c>
      <c r="D76" s="1297">
        <v>700465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293254</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2817.0148021981581</v>
      </c>
      <c r="C91" s="326"/>
      <c r="D91" s="326"/>
      <c r="E91" s="326"/>
      <c r="F91" s="326"/>
    </row>
    <row r="92" spans="1:6">
      <c r="A92" s="1291" t="s">
        <v>68</v>
      </c>
      <c r="B92" s="1292">
        <v>2038.8247500410773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248</v>
      </c>
      <c r="C97" s="326"/>
      <c r="D97" s="326"/>
      <c r="E97" s="326"/>
      <c r="F97" s="326"/>
    </row>
    <row r="98" spans="1:6">
      <c r="A98" s="1296" t="s">
        <v>71</v>
      </c>
      <c r="B98" s="1297">
        <v>0</v>
      </c>
      <c r="C98" s="326"/>
      <c r="D98" s="326"/>
      <c r="E98" s="326"/>
      <c r="F98" s="326"/>
    </row>
    <row r="99" spans="1:6">
      <c r="A99" s="1296" t="s">
        <v>72</v>
      </c>
      <c r="B99" s="1297">
        <v>43</v>
      </c>
      <c r="C99" s="326"/>
      <c r="D99" s="326"/>
      <c r="E99" s="326"/>
      <c r="F99" s="326"/>
    </row>
    <row r="100" spans="1:6">
      <c r="A100" s="1296" t="s">
        <v>73</v>
      </c>
      <c r="B100" s="1297">
        <v>67</v>
      </c>
      <c r="C100" s="326"/>
      <c r="D100" s="326"/>
      <c r="E100" s="326"/>
      <c r="F100" s="326"/>
    </row>
    <row r="101" spans="1:6">
      <c r="A101" s="1296" t="s">
        <v>74</v>
      </c>
      <c r="B101" s="1297">
        <v>56</v>
      </c>
      <c r="C101" s="326"/>
      <c r="D101" s="326"/>
      <c r="E101" s="326"/>
      <c r="F101" s="326"/>
    </row>
    <row r="102" spans="1:6">
      <c r="A102" s="1296" t="s">
        <v>75</v>
      </c>
      <c r="B102" s="1297">
        <v>47</v>
      </c>
      <c r="C102" s="326"/>
      <c r="D102" s="326"/>
      <c r="E102" s="326"/>
      <c r="F102" s="326"/>
    </row>
    <row r="103" spans="1:6">
      <c r="A103" s="1296" t="s">
        <v>76</v>
      </c>
      <c r="B103" s="1297">
        <v>114</v>
      </c>
      <c r="C103" s="326"/>
      <c r="D103" s="326"/>
      <c r="E103" s="326"/>
      <c r="F103" s="326"/>
    </row>
    <row r="104" spans="1:6">
      <c r="A104" s="1296" t="s">
        <v>77</v>
      </c>
      <c r="B104" s="1297">
        <v>2465</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26</v>
      </c>
      <c r="C123" s="1297">
        <v>15</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79</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15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40794.486848749562</v>
      </c>
      <c r="C3" s="43" t="s">
        <v>163</v>
      </c>
      <c r="D3" s="43"/>
      <c r="E3" s="154"/>
      <c r="F3" s="43"/>
      <c r="G3" s="43"/>
      <c r="H3" s="43"/>
      <c r="I3" s="43"/>
      <c r="J3" s="43"/>
      <c r="K3" s="96"/>
    </row>
    <row r="4" spans="1:11">
      <c r="A4" s="352" t="s">
        <v>164</v>
      </c>
      <c r="B4" s="49">
        <f>IF(ISERROR('SEAP template'!B78+'SEAP template'!C78),0,'SEAP template'!B78+'SEAP template'!C78)</f>
        <v>15408.339552239235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0.13752688134869262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15075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572.46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572.46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0.13752688134869262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78.728638496872577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11823.730449999999</v>
      </c>
      <c r="C5" s="17">
        <f>IF(ISERROR('Eigen informatie GS &amp; warmtenet'!B59),0,'Eigen informatie GS &amp; warmtenet'!B59)</f>
        <v>0</v>
      </c>
      <c r="D5" s="30">
        <f>(SUM(HH_hh_gas_kWh,HH_rest_gas_kWh)/1000)*0.902</f>
        <v>15695.731946399999</v>
      </c>
      <c r="E5" s="17">
        <f>B32*B41</f>
        <v>2119.3001025142376</v>
      </c>
      <c r="F5" s="17">
        <f>B36*B45</f>
        <v>34165.942269131272</v>
      </c>
      <c r="G5" s="18"/>
      <c r="H5" s="17"/>
      <c r="I5" s="17"/>
      <c r="J5" s="17">
        <f>B35*B44+C35*C44</f>
        <v>136.49143305174994</v>
      </c>
      <c r="K5" s="17"/>
      <c r="L5" s="17"/>
      <c r="M5" s="17"/>
      <c r="N5" s="17">
        <f>B34*B43+C34*C43</f>
        <v>5398.5106774856858</v>
      </c>
      <c r="O5" s="17">
        <f>B52*B53*B54</f>
        <v>186.49207262238099</v>
      </c>
      <c r="P5" s="17">
        <f>B60*B61*B62/1000-B60*B61*B62/1000/B63</f>
        <v>431.89233161508594</v>
      </c>
    </row>
    <row r="6" spans="1:16">
      <c r="A6" s="16" t="s">
        <v>598</v>
      </c>
      <c r="B6" s="776">
        <f>kWh_PV_kleiner_dan_10kW</f>
        <v>2817.0148021981581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14640.745252198158</v>
      </c>
      <c r="C8" s="21">
        <f>C5</f>
        <v>0</v>
      </c>
      <c r="D8" s="21">
        <f>D5</f>
        <v>15695.731946399999</v>
      </c>
      <c r="E8" s="21">
        <f>E5</f>
        <v>2119.3001025142376</v>
      </c>
      <c r="F8" s="21">
        <f>F5</f>
        <v>34165.942269131272</v>
      </c>
      <c r="G8" s="21"/>
      <c r="H8" s="21"/>
      <c r="I8" s="21"/>
      <c r="J8" s="21">
        <f>J5</f>
        <v>136.49143305174994</v>
      </c>
      <c r="K8" s="21"/>
      <c r="L8" s="21">
        <f>L5</f>
        <v>0</v>
      </c>
      <c r="M8" s="21">
        <f>M5</f>
        <v>0</v>
      </c>
      <c r="N8" s="21">
        <f>N5</f>
        <v>5398.5106774856858</v>
      </c>
      <c r="O8" s="21">
        <f>O5</f>
        <v>186.49207262238099</v>
      </c>
      <c r="P8" s="21">
        <f>P5</f>
        <v>431.89233161508594</v>
      </c>
    </row>
    <row r="9" spans="1:16">
      <c r="B9" s="19"/>
      <c r="C9" s="19"/>
      <c r="D9" s="256"/>
      <c r="E9" s="19"/>
      <c r="F9" s="19"/>
      <c r="G9" s="19"/>
      <c r="H9" s="19"/>
      <c r="I9" s="19"/>
      <c r="J9" s="19"/>
      <c r="K9" s="19"/>
      <c r="L9" s="19"/>
      <c r="M9" s="19"/>
      <c r="N9" s="19"/>
      <c r="O9" s="19"/>
      <c r="P9" s="19"/>
    </row>
    <row r="10" spans="1:16">
      <c r="A10" s="24" t="s">
        <v>207</v>
      </c>
      <c r="B10" s="25">
        <f ca="1">'EF ele_warmte'!B12</f>
        <v>0.13752688134869262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2013.4960351554907</v>
      </c>
      <c r="C12" s="23">
        <f ca="1">C10*C8</f>
        <v>0</v>
      </c>
      <c r="D12" s="23">
        <f>D8*D10</f>
        <v>3170.5378531728002</v>
      </c>
      <c r="E12" s="23">
        <f>E10*E8</f>
        <v>481.08112327073195</v>
      </c>
      <c r="F12" s="23">
        <f>F10*F8</f>
        <v>9122.3065858580503</v>
      </c>
      <c r="G12" s="23"/>
      <c r="H12" s="23"/>
      <c r="I12" s="23"/>
      <c r="J12" s="23">
        <f>J10*J8</f>
        <v>48.317967300319474</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3543</v>
      </c>
      <c r="C26" s="36"/>
      <c r="D26" s="226"/>
    </row>
    <row r="27" spans="1:7" s="15" customFormat="1">
      <c r="A27" s="228" t="s">
        <v>800</v>
      </c>
      <c r="B27" s="37">
        <f>SUM(HH_hh_gas_aantal,HH_rest_gas_aantal)</f>
        <v>1100</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1045</v>
      </c>
      <c r="C31" s="166" t="s">
        <v>104</v>
      </c>
      <c r="D31" s="231"/>
      <c r="G31" s="15"/>
    </row>
    <row r="32" spans="1:7">
      <c r="A32" s="169" t="s">
        <v>72</v>
      </c>
      <c r="B32" s="166">
        <f>IF((B21*($B$26-($B$27-0.05*$B$27)-$B$60))&lt;0,0,B21*($B$26-($B$27-0.05*$B$27)-$B$60))</f>
        <v>39.005363190997556</v>
      </c>
      <c r="C32" s="166" t="s">
        <v>104</v>
      </c>
      <c r="D32" s="231"/>
      <c r="G32" s="15"/>
    </row>
    <row r="33" spans="1:7">
      <c r="A33" s="169" t="s">
        <v>73</v>
      </c>
      <c r="B33" s="166">
        <f>IF((B22*($B$26-($B$27-0.05*$B$27)-$B$60))&lt;0,0,B22*($B$26-($B$27-0.05*$B$27)-$B$60))</f>
        <v>633.36984725210243</v>
      </c>
      <c r="C33" s="166" t="s">
        <v>104</v>
      </c>
      <c r="D33" s="231"/>
      <c r="G33" s="15"/>
    </row>
    <row r="34" spans="1:7">
      <c r="A34" s="169" t="s">
        <v>74</v>
      </c>
      <c r="B34" s="166">
        <f>IF((B24*($B$26-($B$27-0.05*$B$27)-$B$60))&lt;0,0,B24*($B$26-($B$27-0.05*$B$27)-$B$60))</f>
        <v>121.42547576746833</v>
      </c>
      <c r="C34" s="166">
        <f>B26*C24</f>
        <v>725.98174473458596</v>
      </c>
      <c r="D34" s="231"/>
      <c r="G34" s="15"/>
    </row>
    <row r="35" spans="1:7">
      <c r="A35" s="169" t="s">
        <v>76</v>
      </c>
      <c r="B35" s="166">
        <f>IF((B19*($B$26-($B$27-0.05*$B$27)-$B$60))&lt;0,0,B19*($B$26-($B$27-0.05*$B$27)-$B$60))</f>
        <v>16.955538387795485</v>
      </c>
      <c r="C35" s="166">
        <f>B35/2</f>
        <v>8.4777691938977426</v>
      </c>
      <c r="D35" s="232"/>
      <c r="G35" s="15"/>
    </row>
    <row r="36" spans="1:7">
      <c r="A36" s="169" t="s">
        <v>77</v>
      </c>
      <c r="B36" s="166">
        <f>IF((B18*($B$26-($B$27-0.05*$B$27)-$B$60))&lt;0,0,B18*($B$26-($B$27-0.05*$B$27)-$B$60))</f>
        <v>1646.2437754016357</v>
      </c>
      <c r="C36" s="166" t="s">
        <v>104</v>
      </c>
      <c r="D36" s="232"/>
      <c r="G36" s="15"/>
    </row>
    <row r="37" spans="1:7">
      <c r="A37" s="169" t="s">
        <v>78</v>
      </c>
      <c r="B37" s="166">
        <f>B60</f>
        <v>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11641.987263999999</v>
      </c>
      <c r="C5" s="17">
        <f>IF(ISERROR('Eigen informatie GS &amp; warmtenet'!B60),0,'Eigen informatie GS &amp; warmtenet'!B60)</f>
        <v>0</v>
      </c>
      <c r="D5" s="30">
        <f>SUM(D6:D12)</f>
        <v>4721.6604209719999</v>
      </c>
      <c r="E5" s="17">
        <f>SUM(E6:E12)</f>
        <v>205.50866401900336</v>
      </c>
      <c r="F5" s="17">
        <f>SUM(F6:F12)</f>
        <v>1298.8049130553024</v>
      </c>
      <c r="G5" s="18"/>
      <c r="H5" s="17"/>
      <c r="I5" s="17"/>
      <c r="J5" s="17">
        <f>SUM(J6:J12)</f>
        <v>3.7903781806779654E-2</v>
      </c>
      <c r="K5" s="17"/>
      <c r="L5" s="17"/>
      <c r="M5" s="17"/>
      <c r="N5" s="17">
        <f>SUM(N6:N12)</f>
        <v>1485.3203835402583</v>
      </c>
      <c r="O5" s="17">
        <f>B38*B39*B40</f>
        <v>0</v>
      </c>
      <c r="P5" s="17">
        <f>B46*B47*B48/1000-B46*B47*B48/1000/B49</f>
        <v>52.539138306495019</v>
      </c>
      <c r="R5" s="32"/>
    </row>
    <row r="6" spans="1:18">
      <c r="A6" s="32" t="s">
        <v>53</v>
      </c>
      <c r="B6" s="37">
        <f>B26</f>
        <v>1396.2282639999999</v>
      </c>
      <c r="C6" s="33"/>
      <c r="D6" s="37">
        <f>IF(ISERROR(TER_kantoor_gas_kWh/1000),0,TER_kantoor_gas_kWh/1000)*0.902</f>
        <v>1380.79964</v>
      </c>
      <c r="E6" s="33">
        <f>$C$26*'E Balans VL '!I12/100/3.6*1000000</f>
        <v>11.235001174358359</v>
      </c>
      <c r="F6" s="33">
        <f>$C$26*('E Balans VL '!L12+'E Balans VL '!N12)/100/3.6*1000000</f>
        <v>170.70359312509603</v>
      </c>
      <c r="G6" s="34"/>
      <c r="H6" s="33"/>
      <c r="I6" s="33"/>
      <c r="J6" s="33">
        <f>$C$26*('E Balans VL '!D12+'E Balans VL '!E12)/100/3.6*1000000</f>
        <v>0</v>
      </c>
      <c r="K6" s="33"/>
      <c r="L6" s="33"/>
      <c r="M6" s="33"/>
      <c r="N6" s="33">
        <f>$C$26*'E Balans VL '!Y12/100/3.6*1000000</f>
        <v>0.75040393509985559</v>
      </c>
      <c r="O6" s="33"/>
      <c r="P6" s="33"/>
      <c r="R6" s="32"/>
    </row>
    <row r="7" spans="1:18">
      <c r="A7" s="32" t="s">
        <v>52</v>
      </c>
      <c r="B7" s="37">
        <f t="shared" ref="B7:B12" si="0">B27</f>
        <v>658.58399999999995</v>
      </c>
      <c r="C7" s="33"/>
      <c r="D7" s="37">
        <f>IF(ISERROR(TER_horeca_gas_kWh/1000),0,TER_horeca_gas_kWh/1000)*0.902</f>
        <v>664.230996</v>
      </c>
      <c r="E7" s="33">
        <f>$C$27*'E Balans VL '!I9/100/3.6*1000000</f>
        <v>7.0715749604281992</v>
      </c>
      <c r="F7" s="33">
        <f>$C$27*('E Balans VL '!L9+'E Balans VL '!N9)/100/3.6*1000000</f>
        <v>79.211685398963269</v>
      </c>
      <c r="G7" s="34"/>
      <c r="H7" s="33"/>
      <c r="I7" s="33"/>
      <c r="J7" s="33">
        <f>$C$27*('E Balans VL '!D9+'E Balans VL '!E9)/100/3.6*1000000</f>
        <v>0</v>
      </c>
      <c r="K7" s="33"/>
      <c r="L7" s="33"/>
      <c r="M7" s="33"/>
      <c r="N7" s="33">
        <f>$C$27*'E Balans VL '!Y9/100/3.6*1000000</f>
        <v>9.873508954800278E-2</v>
      </c>
      <c r="O7" s="33"/>
      <c r="P7" s="33"/>
      <c r="R7" s="32"/>
    </row>
    <row r="8" spans="1:18">
      <c r="A8" s="6" t="s">
        <v>51</v>
      </c>
      <c r="B8" s="37">
        <f t="shared" si="0"/>
        <v>6528.8287139999993</v>
      </c>
      <c r="C8" s="33"/>
      <c r="D8" s="37">
        <f>IF(ISERROR(TER_handel_gas_kWh/1000),0,TER_handel_gas_kWh/1000)*0.902</f>
        <v>824.00225599999999</v>
      </c>
      <c r="E8" s="33">
        <f>$C$28*'E Balans VL '!I13/100/3.6*1000000</f>
        <v>175.21377486854971</v>
      </c>
      <c r="F8" s="33">
        <f>$C$28*('E Balans VL '!L13+'E Balans VL '!N13)/100/3.6*1000000</f>
        <v>623.05148300506858</v>
      </c>
      <c r="G8" s="34"/>
      <c r="H8" s="33"/>
      <c r="I8" s="33"/>
      <c r="J8" s="33">
        <f>$C$28*('E Balans VL '!D13+'E Balans VL '!E13)/100/3.6*1000000</f>
        <v>0</v>
      </c>
      <c r="K8" s="33"/>
      <c r="L8" s="33"/>
      <c r="M8" s="33"/>
      <c r="N8" s="33">
        <f>$C$28*'E Balans VL '!Y13/100/3.6*1000000</f>
        <v>2.588101937528815</v>
      </c>
      <c r="O8" s="33"/>
      <c r="P8" s="33"/>
      <c r="R8" s="32"/>
    </row>
    <row r="9" spans="1:18">
      <c r="A9" s="32" t="s">
        <v>50</v>
      </c>
      <c r="B9" s="37">
        <f t="shared" si="0"/>
        <v>525.58100000000002</v>
      </c>
      <c r="C9" s="33"/>
      <c r="D9" s="37">
        <f>IF(ISERROR(TER_gezond_gas_kWh/1000),0,TER_gezond_gas_kWh/1000)*0.902</f>
        <v>852.67574097199997</v>
      </c>
      <c r="E9" s="33">
        <f>$C$29*'E Balans VL '!I10/100/3.6*1000000</f>
        <v>0.9851099306050014</v>
      </c>
      <c r="F9" s="33">
        <f>$C$29*('E Balans VL '!L10+'E Balans VL '!N10)/100/3.6*1000000</f>
        <v>43.207553757111441</v>
      </c>
      <c r="G9" s="34"/>
      <c r="H9" s="33"/>
      <c r="I9" s="33"/>
      <c r="J9" s="33">
        <f>$C$29*('E Balans VL '!D10+'E Balans VL '!E10)/100/3.6*1000000</f>
        <v>0</v>
      </c>
      <c r="K9" s="33"/>
      <c r="L9" s="33"/>
      <c r="M9" s="33"/>
      <c r="N9" s="33">
        <f>$C$29*'E Balans VL '!Y10/100/3.6*1000000</f>
        <v>4.0894123197713697</v>
      </c>
      <c r="O9" s="33"/>
      <c r="P9" s="33"/>
      <c r="R9" s="32"/>
    </row>
    <row r="10" spans="1:18">
      <c r="A10" s="32" t="s">
        <v>49</v>
      </c>
      <c r="B10" s="37">
        <f t="shared" si="0"/>
        <v>2231.748286</v>
      </c>
      <c r="C10" s="33"/>
      <c r="D10" s="37">
        <f>IF(ISERROR(TER_ander_gas_kWh/1000),0,TER_ander_gas_kWh/1000)*0.902</f>
        <v>192.05835000000002</v>
      </c>
      <c r="E10" s="33">
        <f>$C$30*'E Balans VL '!I14/100/3.6*1000000</f>
        <v>3.4402625968249669</v>
      </c>
      <c r="F10" s="33">
        <f>$C$30*('E Balans VL '!L14+'E Balans VL '!N14)/100/3.6*1000000</f>
        <v>346.47953750948722</v>
      </c>
      <c r="G10" s="34"/>
      <c r="H10" s="33"/>
      <c r="I10" s="33"/>
      <c r="J10" s="33">
        <f>$C$30*('E Balans VL '!D14+'E Balans VL '!E14)/100/3.6*1000000</f>
        <v>3.7886280811939392E-2</v>
      </c>
      <c r="K10" s="33"/>
      <c r="L10" s="33"/>
      <c r="M10" s="33"/>
      <c r="N10" s="33">
        <f>$C$30*'E Balans VL '!Y14/100/3.6*1000000</f>
        <v>1476.453139021942</v>
      </c>
      <c r="O10" s="33"/>
      <c r="P10" s="33"/>
      <c r="R10" s="32"/>
    </row>
    <row r="11" spans="1:18">
      <c r="A11" s="32" t="s">
        <v>54</v>
      </c>
      <c r="B11" s="37">
        <f t="shared" si="0"/>
        <v>291.88499999999999</v>
      </c>
      <c r="C11" s="33"/>
      <c r="D11" s="37">
        <f>IF(ISERROR(TER_onderwijs_gas_kWh/1000),0,TER_onderwijs_gas_kWh/1000)*0.902</f>
        <v>807.89343800000006</v>
      </c>
      <c r="E11" s="33">
        <f>$C$31*'E Balans VL '!I11/100/3.6*1000000</f>
        <v>7.4450610910220458</v>
      </c>
      <c r="F11" s="33">
        <f>$C$31*('E Balans VL '!L11+'E Balans VL '!N11)/100/3.6*1000000</f>
        <v>35.101918576241836</v>
      </c>
      <c r="G11" s="34"/>
      <c r="H11" s="33"/>
      <c r="I11" s="33"/>
      <c r="J11" s="33">
        <f>$C$31*('E Balans VL '!D11+'E Balans VL '!E11)/100/3.6*1000000</f>
        <v>0</v>
      </c>
      <c r="K11" s="33"/>
      <c r="L11" s="33"/>
      <c r="M11" s="33"/>
      <c r="N11" s="33">
        <f>$C$31*'E Balans VL '!Y11/100/3.6*1000000</f>
        <v>0.64914511794463137</v>
      </c>
      <c r="O11" s="33"/>
      <c r="P11" s="33"/>
      <c r="R11" s="32"/>
    </row>
    <row r="12" spans="1:18">
      <c r="A12" s="32" t="s">
        <v>248</v>
      </c>
      <c r="B12" s="37">
        <f t="shared" si="0"/>
        <v>9.1319999999999997</v>
      </c>
      <c r="C12" s="33"/>
      <c r="D12" s="37">
        <f>IF(ISERROR(TER_rest_gas_kWh/1000),0,TER_rest_gas_kWh/1000)*0.902</f>
        <v>0</v>
      </c>
      <c r="E12" s="33">
        <f>$C$32*'E Balans VL '!I8/100/3.6*1000000</f>
        <v>0.11787939721508282</v>
      </c>
      <c r="F12" s="33">
        <f>$C$32*('E Balans VL '!L8+'E Balans VL '!N8)/100/3.6*1000000</f>
        <v>1.0491416833339822</v>
      </c>
      <c r="G12" s="34"/>
      <c r="H12" s="33"/>
      <c r="I12" s="33"/>
      <c r="J12" s="33">
        <f>$C$32*('E Balans VL '!D8+'E Balans VL '!E8)/100/3.6*1000000</f>
        <v>1.750099484026095E-5</v>
      </c>
      <c r="K12" s="33"/>
      <c r="L12" s="33"/>
      <c r="M12" s="33"/>
      <c r="N12" s="33">
        <f>$C$32*'E Balans VL '!Y8/100/3.6*1000000</f>
        <v>0.69144611842343173</v>
      </c>
      <c r="O12" s="33"/>
      <c r="P12" s="33"/>
      <c r="R12" s="32"/>
    </row>
    <row r="13" spans="1:18">
      <c r="A13" s="16" t="s">
        <v>465</v>
      </c>
      <c r="B13" s="245">
        <f ca="1">'lokale energieproductie'!N38+'lokale energieproductie'!N31</f>
        <v>10552.5</v>
      </c>
      <c r="C13" s="245">
        <f ca="1">'lokale energieproductie'!O38+'lokale energieproductie'!O31</f>
        <v>15075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-30150.000000000004</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22194.487263999999</v>
      </c>
      <c r="C16" s="21">
        <f t="shared" ca="1" si="1"/>
        <v>15075</v>
      </c>
      <c r="D16" s="21">
        <f t="shared" ca="1" si="1"/>
        <v>4721.6604209719999</v>
      </c>
      <c r="E16" s="21">
        <f t="shared" si="1"/>
        <v>205.50866401900336</v>
      </c>
      <c r="F16" s="21">
        <f t="shared" ca="1" si="1"/>
        <v>1298.8049130553024</v>
      </c>
      <c r="G16" s="21">
        <f t="shared" si="1"/>
        <v>0</v>
      </c>
      <c r="H16" s="21">
        <f t="shared" si="1"/>
        <v>0</v>
      </c>
      <c r="I16" s="21">
        <f t="shared" si="1"/>
        <v>0</v>
      </c>
      <c r="J16" s="21">
        <f t="shared" si="1"/>
        <v>3.7903781806779654E-2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0.13752688134869262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3052.3386165511974</v>
      </c>
      <c r="C20" s="23">
        <f t="shared" ref="C20:P20" ca="1" si="2">C16*C18</f>
        <v>0</v>
      </c>
      <c r="D20" s="23">
        <f t="shared" ca="1" si="2"/>
        <v>953.77540503634407</v>
      </c>
      <c r="E20" s="23">
        <f t="shared" si="2"/>
        <v>46.650466732313767</v>
      </c>
      <c r="F20" s="23">
        <f t="shared" ca="1" si="2"/>
        <v>346.7809117857658</v>
      </c>
      <c r="G20" s="23">
        <f t="shared" si="2"/>
        <v>0</v>
      </c>
      <c r="H20" s="23">
        <f t="shared" si="2"/>
        <v>0</v>
      </c>
      <c r="I20" s="23">
        <f t="shared" si="2"/>
        <v>0</v>
      </c>
      <c r="J20" s="23">
        <f t="shared" si="2"/>
        <v>1.3417938759599997E-2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1396.2282639999999</v>
      </c>
      <c r="C26" s="39">
        <f>IF(ISERROR(B26*3.6/1000000/'E Balans VL '!Z12*100),0,B26*3.6/1000000/'E Balans VL '!Z12*100)</f>
        <v>2.9619705218587214E-2</v>
      </c>
      <c r="D26" s="235" t="s">
        <v>692</v>
      </c>
      <c r="F26" s="6"/>
    </row>
    <row r="27" spans="1:18">
      <c r="A27" s="229" t="s">
        <v>52</v>
      </c>
      <c r="B27" s="33">
        <f>IF(ISERROR(TER_horeca_ele_kWh/1000),0,TER_horeca_ele_kWh/1000)</f>
        <v>658.58399999999995</v>
      </c>
      <c r="C27" s="39">
        <f>IF(ISERROR(B27*3.6/1000000/'E Balans VL '!Z9*100),0,B27*3.6/1000000/'E Balans VL '!Z9*100)</f>
        <v>4.9597209270682716E-2</v>
      </c>
      <c r="D27" s="235" t="s">
        <v>692</v>
      </c>
      <c r="F27" s="6"/>
    </row>
    <row r="28" spans="1:18">
      <c r="A28" s="169" t="s">
        <v>51</v>
      </c>
      <c r="B28" s="33">
        <f>IF(ISERROR(TER_handel_ele_kWh/1000),0,TER_handel_ele_kWh/1000)</f>
        <v>6528.8287139999993</v>
      </c>
      <c r="C28" s="39">
        <f>IF(ISERROR(B28*3.6/1000000/'E Balans VL '!Z13*100),0,B28*3.6/1000000/'E Balans VL '!Z13*100)</f>
        <v>0.18950876412237316</v>
      </c>
      <c r="D28" s="235" t="s">
        <v>692</v>
      </c>
      <c r="F28" s="6"/>
    </row>
    <row r="29" spans="1:18">
      <c r="A29" s="229" t="s">
        <v>50</v>
      </c>
      <c r="B29" s="33">
        <f>IF(ISERROR(TER_gezond_ele_kWh/1000),0,TER_gezond_ele_kWh/1000)</f>
        <v>525.58100000000002</v>
      </c>
      <c r="C29" s="39">
        <f>IF(ISERROR(B29*3.6/1000000/'E Balans VL '!Z10*100),0,B29*3.6/1000000/'E Balans VL '!Z10*100)</f>
        <v>5.3005470630870737E-2</v>
      </c>
      <c r="D29" s="235" t="s">
        <v>692</v>
      </c>
      <c r="F29" s="6"/>
    </row>
    <row r="30" spans="1:18">
      <c r="A30" s="229" t="s">
        <v>49</v>
      </c>
      <c r="B30" s="33">
        <f>IF(ISERROR(TER_ander_ele_kWh/1000),0,TER_ander_ele_kWh/1000)</f>
        <v>2231.748286</v>
      </c>
      <c r="C30" s="39">
        <f>IF(ISERROR(B30*3.6/1000000/'E Balans VL '!Z14*100),0,B30*3.6/1000000/'E Balans VL '!Z14*100)</f>
        <v>0.16194378477846527</v>
      </c>
      <c r="D30" s="235" t="s">
        <v>692</v>
      </c>
      <c r="F30" s="6"/>
    </row>
    <row r="31" spans="1:18">
      <c r="A31" s="229" t="s">
        <v>54</v>
      </c>
      <c r="B31" s="33">
        <f>IF(ISERROR(TER_onderwijs_ele_kWh/1000),0,TER_onderwijs_ele_kWh/1000)</f>
        <v>291.88499999999999</v>
      </c>
      <c r="C31" s="39">
        <f>IF(ISERROR(B31*3.6/1000000/'E Balans VL '!Z11*100),0,B31*3.6/1000000/'E Balans VL '!Z11*100)</f>
        <v>8.3199111110660404E-2</v>
      </c>
      <c r="D31" s="235" t="s">
        <v>692</v>
      </c>
    </row>
    <row r="32" spans="1:18">
      <c r="A32" s="229" t="s">
        <v>248</v>
      </c>
      <c r="B32" s="33">
        <f>IF(ISERROR(TER_rest_ele_kWh/1000),0,TER_rest_ele_kWh/1000)</f>
        <v>9.1319999999999997</v>
      </c>
      <c r="C32" s="39">
        <f>IF(ISERROR(B32*3.6/1000000/'E Balans VL '!Z8*100),0,B32*3.6/1000000/'E Balans VL '!Z8*100)</f>
        <v>7.480748389868595E-5</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674.88021399999991</v>
      </c>
      <c r="C5" s="17">
        <f>IF(ISERROR('Eigen informatie GS &amp; warmtenet'!B61),0,'Eigen informatie GS &amp; warmtenet'!B61)</f>
        <v>0</v>
      </c>
      <c r="D5" s="30">
        <f>SUM(D6:D15)</f>
        <v>605.49726600000008</v>
      </c>
      <c r="E5" s="17">
        <f>SUM(E6:E15)</f>
        <v>127.95738034936208</v>
      </c>
      <c r="F5" s="17">
        <f>SUM(F6:F15)</f>
        <v>393.52251073962663</v>
      </c>
      <c r="G5" s="18"/>
      <c r="H5" s="17"/>
      <c r="I5" s="17"/>
      <c r="J5" s="17">
        <f>SUM(J6:J15)</f>
        <v>2.3631631211934438</v>
      </c>
      <c r="K5" s="17"/>
      <c r="L5" s="17"/>
      <c r="M5" s="17"/>
      <c r="N5" s="17">
        <f>SUM(N6:N15)</f>
        <v>42.229194858368977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50.576999999999998</v>
      </c>
      <c r="C8" s="33"/>
      <c r="D8" s="37">
        <f>IF( ISERROR(IND_metaal_Gas_kWH/1000),0,IND_metaal_Gas_kWH/1000)*0.902</f>
        <v>0</v>
      </c>
      <c r="E8" s="33">
        <f>C30*'E Balans VL '!I18/100/3.6*1000000</f>
        <v>0.36487755674374844</v>
      </c>
      <c r="F8" s="33">
        <f>C30*'E Balans VL '!L18/100/3.6*1000000+C30*'E Balans VL '!N18/100/3.6*1000000</f>
        <v>4.7836516254470451</v>
      </c>
      <c r="G8" s="34"/>
      <c r="H8" s="33"/>
      <c r="I8" s="33"/>
      <c r="J8" s="40">
        <f>C30*'E Balans VL '!D18/100/3.6*1000000+C30*'E Balans VL '!E18/100/3.6*1000000</f>
        <v>5.0870640512967163E-2</v>
      </c>
      <c r="K8" s="33"/>
      <c r="L8" s="33"/>
      <c r="M8" s="33"/>
      <c r="N8" s="33">
        <f>C30*'E Balans VL '!Y18/100/3.6*1000000</f>
        <v>0.63942709353106497</v>
      </c>
      <c r="O8" s="33"/>
      <c r="P8" s="33"/>
      <c r="R8" s="32"/>
    </row>
    <row r="9" spans="1:18">
      <c r="A9" s="6" t="s">
        <v>32</v>
      </c>
      <c r="B9" s="37">
        <f t="shared" si="0"/>
        <v>458.31121399999995</v>
      </c>
      <c r="C9" s="33"/>
      <c r="D9" s="37">
        <f>IF( ISERROR(IND_andere_gas_kWh/1000),0,IND_andere_gas_kWh/1000)*0.902</f>
        <v>504.56076000000002</v>
      </c>
      <c r="E9" s="33">
        <f>C31*'E Balans VL '!I19/100/3.6*1000000</f>
        <v>127.00416578810938</v>
      </c>
      <c r="F9" s="33">
        <f>C31*'E Balans VL '!L19/100/3.6*1000000+C31*'E Balans VL '!N19/100/3.6*1000000</f>
        <v>379.84932458136655</v>
      </c>
      <c r="G9" s="34"/>
      <c r="H9" s="33"/>
      <c r="I9" s="33"/>
      <c r="J9" s="40">
        <f>C31*'E Balans VL '!D19/100/3.6*1000000+C31*'E Balans VL '!E19/100/3.6*1000000</f>
        <v>0</v>
      </c>
      <c r="K9" s="33"/>
      <c r="L9" s="33"/>
      <c r="M9" s="33"/>
      <c r="N9" s="33">
        <f>C31*'E Balans VL '!Y19/100/3.6*1000000</f>
        <v>33.267788383383696</v>
      </c>
      <c r="O9" s="33"/>
      <c r="P9" s="33"/>
      <c r="R9" s="32"/>
    </row>
    <row r="10" spans="1:18">
      <c r="A10" s="6" t="s">
        <v>40</v>
      </c>
      <c r="B10" s="37">
        <f t="shared" si="0"/>
        <v>138.74700000000001</v>
      </c>
      <c r="C10" s="33"/>
      <c r="D10" s="37">
        <f>IF( ISERROR(IND_voed_gas_kWh/1000),0,IND_voed_gas_kWh/1000)*0.902</f>
        <v>0</v>
      </c>
      <c r="E10" s="33">
        <f>C32*'E Balans VL '!I20/100/3.6*1000000</f>
        <v>0.24562918662198807</v>
      </c>
      <c r="F10" s="33">
        <f>C32*'E Balans VL '!L20/100/3.6*1000000+C32*'E Balans VL '!N20/100/3.6*1000000</f>
        <v>7.4935677036303785</v>
      </c>
      <c r="G10" s="34"/>
      <c r="H10" s="33"/>
      <c r="I10" s="33"/>
      <c r="J10" s="40">
        <f>C32*'E Balans VL '!D20/100/3.6*1000000+C32*'E Balans VL '!E20/100/3.6*1000000</f>
        <v>0</v>
      </c>
      <c r="K10" s="33"/>
      <c r="L10" s="33"/>
      <c r="M10" s="33"/>
      <c r="N10" s="33">
        <f>C32*'E Balans VL '!Y20/100/3.6*1000000</f>
        <v>8.0622603240428585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20.635999999999999</v>
      </c>
      <c r="C13" s="33"/>
      <c r="D13" s="37">
        <f>IF( ISERROR(IND_papier_gas_kWh/1000),0,IND_papier_gas_kWh/1000)*0.902</f>
        <v>0</v>
      </c>
      <c r="E13" s="33">
        <f>C35*'E Balans VL '!I23/100/3.6*1000000</f>
        <v>3.0362641993313677E-2</v>
      </c>
      <c r="F13" s="33">
        <f>C35*'E Balans VL '!L23/100/3.6*1000000+C35*'E Balans VL '!N23/100/3.6*1000000</f>
        <v>0.22095597750257917</v>
      </c>
      <c r="G13" s="34"/>
      <c r="H13" s="33"/>
      <c r="I13" s="33"/>
      <c r="J13" s="40">
        <f>C35*'E Balans VL '!D23/100/3.6*1000000+C35*'E Balans VL '!E23/100/3.6*1000000</f>
        <v>2.2576941206324364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6.609</v>
      </c>
      <c r="C15" s="33"/>
      <c r="D15" s="37">
        <f>IF( ISERROR(IND_rest_gas_kWh/1000),0,IND_rest_gas_kWh/1000)*0.902</f>
        <v>100.93650600000001</v>
      </c>
      <c r="E15" s="33">
        <f>C37*'E Balans VL '!I15/100/3.6*1000000</f>
        <v>0.31234517589367122</v>
      </c>
      <c r="F15" s="33">
        <f>C37*'E Balans VL '!L15/100/3.6*1000000+C37*'E Balans VL '!N15/100/3.6*1000000</f>
        <v>1.1750108516800746</v>
      </c>
      <c r="G15" s="34"/>
      <c r="H15" s="33"/>
      <c r="I15" s="33"/>
      <c r="J15" s="40">
        <f>C37*'E Balans VL '!D15/100/3.6*1000000+C37*'E Balans VL '!E15/100/3.6*1000000</f>
        <v>5.4598360048040376E-2</v>
      </c>
      <c r="K15" s="33"/>
      <c r="L15" s="33"/>
      <c r="M15" s="33"/>
      <c r="N15" s="33">
        <f>C37*'E Balans VL '!Y15/100/3.6*1000000</f>
        <v>0.2597190574113562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674.88021399999991</v>
      </c>
      <c r="C18" s="21">
        <f>C5+C16</f>
        <v>0</v>
      </c>
      <c r="D18" s="21">
        <f>MAX((D5+D16),0)</f>
        <v>605.49726600000008</v>
      </c>
      <c r="E18" s="21">
        <f>MAX((E5+E16),0)</f>
        <v>127.95738034936208</v>
      </c>
      <c r="F18" s="21">
        <f>MAX((F5+F16),0)</f>
        <v>393.52251073962663</v>
      </c>
      <c r="G18" s="21"/>
      <c r="H18" s="21"/>
      <c r="I18" s="21"/>
      <c r="J18" s="21">
        <f>MAX((J5+J16),0)</f>
        <v>2.3631631211934438</v>
      </c>
      <c r="K18" s="21"/>
      <c r="L18" s="21">
        <f>MAX((L5+L16),0)</f>
        <v>0</v>
      </c>
      <c r="M18" s="21"/>
      <c r="N18" s="21">
        <f>MAX((N5+N16),0)</f>
        <v>42.229194858368977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0.13752688134869262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92.814171115358278</v>
      </c>
      <c r="C22" s="23">
        <f ca="1">C18*C20</f>
        <v>0</v>
      </c>
      <c r="D22" s="23">
        <f>D18*D20</f>
        <v>122.31044773200003</v>
      </c>
      <c r="E22" s="23">
        <f>E18*E20</f>
        <v>29.046325339305195</v>
      </c>
      <c r="F22" s="23">
        <f>F18*F20</f>
        <v>105.07051036748031</v>
      </c>
      <c r="G22" s="23"/>
      <c r="H22" s="23"/>
      <c r="I22" s="23"/>
      <c r="J22" s="23">
        <f>J18*J20</f>
        <v>0.83655974490247909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50.576999999999998</v>
      </c>
      <c r="C30" s="39">
        <f>IF(ISERROR(B30*3.6/1000000/'E Balans VL '!Z18*100),0,B30*3.6/1000000/'E Balans VL '!Z18*100)</f>
        <v>2.9197312922960056E-3</v>
      </c>
      <c r="D30" s="235" t="s">
        <v>692</v>
      </c>
    </row>
    <row r="31" spans="1:18">
      <c r="A31" s="6" t="s">
        <v>32</v>
      </c>
      <c r="B31" s="37">
        <f>IF( ISERROR(IND_ander_ele_kWh/1000),0,IND_ander_ele_kWh/1000)</f>
        <v>458.31121399999995</v>
      </c>
      <c r="C31" s="39">
        <f>IF(ISERROR(B31*3.6/1000000/'E Balans VL '!Z19*100),0,B31*3.6/1000000/'E Balans VL '!Z19*100)</f>
        <v>2.3051568505922083E-2</v>
      </c>
      <c r="D31" s="235" t="s">
        <v>692</v>
      </c>
    </row>
    <row r="32" spans="1:18">
      <c r="A32" s="169" t="s">
        <v>40</v>
      </c>
      <c r="B32" s="37">
        <f>IF( ISERROR(IND_voed_ele_kWh/1000),0,IND_voed_ele_kWh/1000)</f>
        <v>138.74700000000001</v>
      </c>
      <c r="C32" s="39">
        <f>IF(ISERROR(B32*3.6/1000000/'E Balans VL '!Z20*100),0,B32*3.6/1000000/'E Balans VL '!Z20*100)</f>
        <v>4.6210990141071009E-3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20.635999999999999</v>
      </c>
      <c r="C35" s="39">
        <f>IF(ISERROR(B35*3.6/1000000/'E Balans VL '!Z22*100),0,B35*3.6/1000000/'E Balans VL '!Z22*100)</f>
        <v>3.849311008929321E-3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6.609</v>
      </c>
      <c r="C37" s="39">
        <f>IF(ISERROR(B37*3.6/1000000/'E Balans VL '!Z15*100),0,B37*3.6/1000000/'E Balans VL '!Z15*100)</f>
        <v>5.1568273177555262E-5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2348.5459999999998</v>
      </c>
      <c r="C5" s="17">
        <f>'Eigen informatie GS &amp; warmtenet'!B62</f>
        <v>0</v>
      </c>
      <c r="D5" s="30">
        <f>IF(ISERROR(SUM(LB_lb_gas_kWh,LB_rest_gas_kWh)/1000),0,SUM(LB_lb_gas_kWh,LB_rest_gas_kWh)/1000)*0.902</f>
        <v>306.52305200000001</v>
      </c>
      <c r="E5" s="17">
        <f>B17*'E Balans VL '!I25/3.6*1000000/100</f>
        <v>73.29734620507206</v>
      </c>
      <c r="F5" s="17">
        <f>B17*('E Balans VL '!L25/3.6*1000000+'E Balans VL '!N25/3.6*1000000)/100</f>
        <v>8300.0217289076718</v>
      </c>
      <c r="G5" s="18"/>
      <c r="H5" s="17"/>
      <c r="I5" s="17"/>
      <c r="J5" s="17">
        <f>('E Balans VL '!D25+'E Balans VL '!E25)/3.6*1000000*landbouw!B17/100</f>
        <v>647.04071002377157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2348.5459999999998</v>
      </c>
      <c r="C8" s="21">
        <f>C5+C6</f>
        <v>0</v>
      </c>
      <c r="D8" s="21">
        <f>MAX((D5+D6),0)</f>
        <v>306.52305200000001</v>
      </c>
      <c r="E8" s="21">
        <f>MAX((E5+E6),0)</f>
        <v>73.29734620507206</v>
      </c>
      <c r="F8" s="21">
        <f>MAX((F5+F6),0)</f>
        <v>8300.0217289076718</v>
      </c>
      <c r="G8" s="21"/>
      <c r="H8" s="21"/>
      <c r="I8" s="21"/>
      <c r="J8" s="21">
        <f>MAX((J5+J6),0)</f>
        <v>647.04071002377157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0.13752688134869262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322.98820708394663</v>
      </c>
      <c r="C12" s="23">
        <f ca="1">C8*C10</f>
        <v>0</v>
      </c>
      <c r="D12" s="23">
        <f>D8*D10</f>
        <v>61.917656504000007</v>
      </c>
      <c r="E12" s="23">
        <f>E8*E10</f>
        <v>16.63849758855136</v>
      </c>
      <c r="F12" s="23">
        <f>F8*F10</f>
        <v>2216.1058016183483</v>
      </c>
      <c r="G12" s="23"/>
      <c r="H12" s="23"/>
      <c r="I12" s="23"/>
      <c r="J12" s="23">
        <f>J8*J10</f>
        <v>229.05241134841512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0.34912819887246793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105.14332917239786</v>
      </c>
      <c r="C26" s="245">
        <f>B26*'GWP N2O_CH4'!B5</f>
        <v>2208.009912620355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57.790678152961071</v>
      </c>
      <c r="C27" s="245">
        <f>B27*'GWP N2O_CH4'!B5</f>
        <v>1213.6042412121824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3.2322635030050311</v>
      </c>
      <c r="C28" s="245">
        <f>B28*'GWP N2O_CH4'!B4</f>
        <v>1002.0016859315597</v>
      </c>
      <c r="D28" s="50"/>
    </row>
    <row r="29" spans="1:4">
      <c r="A29" s="41" t="s">
        <v>265</v>
      </c>
      <c r="B29" s="245">
        <f>B34*'ha_N2O bodem landbouw'!B4</f>
        <v>20.397837552162596</v>
      </c>
      <c r="C29" s="245">
        <f>B29*'GWP N2O_CH4'!B4</f>
        <v>6323.329641170405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4.4728785203817876E-3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1.6724532324094744E-4</v>
      </c>
      <c r="C5" s="431" t="s">
        <v>204</v>
      </c>
      <c r="D5" s="416">
        <f>SUM(D6:D11)</f>
        <v>3.2870034361540113E-4</v>
      </c>
      <c r="E5" s="416">
        <f>SUM(E6:E11)</f>
        <v>2.7998637099329227E-4</v>
      </c>
      <c r="F5" s="429" t="s">
        <v>204</v>
      </c>
      <c r="G5" s="416">
        <f>SUM(G6:G11)</f>
        <v>0.10648548761653431</v>
      </c>
      <c r="H5" s="416">
        <f>SUM(H6:H11)</f>
        <v>2.9038231692374416E-2</v>
      </c>
      <c r="I5" s="431" t="s">
        <v>204</v>
      </c>
      <c r="J5" s="431" t="s">
        <v>204</v>
      </c>
      <c r="K5" s="431" t="s">
        <v>204</v>
      </c>
      <c r="L5" s="431" t="s">
        <v>204</v>
      </c>
      <c r="M5" s="416">
        <f>SUM(M6:M11)</f>
        <v>8.0606510537961466E-3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6.5431055143953901E-5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1.1045398330801021E-4</v>
      </c>
      <c r="E6" s="882">
        <f>vkm_GW_PW*SUMIFS(TableVerdeelsleutelVkm[LPG],TableVerdeelsleutelVkm[Voertuigtype],"Lichte voertuigen")*SUMIFS(TableECFTransport[EnergieConsumptieFactor (PJ per km)],TableECFTransport[Index],CONCATENATE($A6,"_LPG_LPG"))</f>
        <v>9.6787780399921978E-5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3.0234622812194498E-2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9.8525140262452852E-3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2.3951199798570837E-3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3.8862345115987749E-7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1.4832670371553336E-2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2.061788731239427E-7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8.5499042063331954E-4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1.0125149735046995E-4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2.1824636030739092E-4</v>
      </c>
      <c r="E8" s="419">
        <f>vkm_NGW_PW*SUMIFS(TableVerdeelsleutelVkm[LPG],TableVerdeelsleutelVkm[Voertuigtype],"Lichte voertuigen")*SUMIFS(TableECFTransport[EnergieConsumptieFactor (PJ per km)],TableECFTransport[Index],CONCATENATE($A8,"_LPG_LPG"))</f>
        <v>1.8319859059337027E-4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5.2873328173419401E-2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1.9185399968391789E-2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4.3179947066380505E-3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1.7414729536370223E-7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8.5448662593670781E-3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1.1151886421438546E-7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4.9254594666769199E-4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46.457034233596509</v>
      </c>
      <c r="C14" s="21"/>
      <c r="D14" s="21">
        <f t="shared" ref="D14:M14" si="0">((D5)*10^9/3600)+D12</f>
        <v>91.30565100427809</v>
      </c>
      <c r="E14" s="21">
        <f t="shared" si="0"/>
        <v>77.773991942581176</v>
      </c>
      <c r="F14" s="21"/>
      <c r="G14" s="21">
        <f t="shared" si="0"/>
        <v>29579.302115703973</v>
      </c>
      <c r="H14" s="21">
        <f t="shared" si="0"/>
        <v>8066.1754701040045</v>
      </c>
      <c r="I14" s="21"/>
      <c r="J14" s="21"/>
      <c r="K14" s="21"/>
      <c r="L14" s="21"/>
      <c r="M14" s="21">
        <f t="shared" si="0"/>
        <v>2239.0697371655965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0.13752688134869262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6.3890910348559782</v>
      </c>
      <c r="C18" s="23"/>
      <c r="D18" s="23">
        <f t="shared" ref="D18:M18" si="1">D14*D16</f>
        <v>18.443741502864174</v>
      </c>
      <c r="E18" s="23">
        <f t="shared" si="1"/>
        <v>17.654696170965927</v>
      </c>
      <c r="F18" s="23"/>
      <c r="G18" s="23">
        <f t="shared" si="1"/>
        <v>7897.6736648929609</v>
      </c>
      <c r="H18" s="23">
        <f t="shared" si="1"/>
        <v>2008.477692055897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4.9680303544138533E-5</v>
      </c>
      <c r="C50" s="315">
        <f t="shared" ref="C50:P50" si="2">SUM(C51:C52)</f>
        <v>0</v>
      </c>
      <c r="D50" s="315">
        <f t="shared" si="2"/>
        <v>0</v>
      </c>
      <c r="E50" s="315">
        <f t="shared" si="2"/>
        <v>0</v>
      </c>
      <c r="F50" s="315">
        <f t="shared" si="2"/>
        <v>0</v>
      </c>
      <c r="G50" s="315">
        <f t="shared" si="2"/>
        <v>3.5994128166325586E-3</v>
      </c>
      <c r="H50" s="315">
        <f t="shared" si="2"/>
        <v>0</v>
      </c>
      <c r="I50" s="315">
        <f t="shared" si="2"/>
        <v>0</v>
      </c>
      <c r="J50" s="315">
        <f t="shared" si="2"/>
        <v>0</v>
      </c>
      <c r="K50" s="315">
        <f t="shared" si="2"/>
        <v>0</v>
      </c>
      <c r="L50" s="315">
        <f t="shared" si="2"/>
        <v>0</v>
      </c>
      <c r="M50" s="315">
        <f t="shared" si="2"/>
        <v>2.0359350796387508E-4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4.9680303544138533E-5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3.5994128166325586E-3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2.0359350796387508E-4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13.80008431781626</v>
      </c>
      <c r="C54" s="21">
        <f t="shared" ref="C54:P54" si="3">(C50)*10^9/3600</f>
        <v>0</v>
      </c>
      <c r="D54" s="21">
        <f t="shared" si="3"/>
        <v>0</v>
      </c>
      <c r="E54" s="21">
        <f t="shared" si="3"/>
        <v>0</v>
      </c>
      <c r="F54" s="21">
        <f t="shared" si="3"/>
        <v>0</v>
      </c>
      <c r="G54" s="21">
        <f t="shared" si="3"/>
        <v>999.8368935090441</v>
      </c>
      <c r="H54" s="21">
        <f t="shared" si="3"/>
        <v>0</v>
      </c>
      <c r="I54" s="21">
        <f t="shared" si="3"/>
        <v>0</v>
      </c>
      <c r="J54" s="21">
        <f t="shared" si="3"/>
        <v>0</v>
      </c>
      <c r="K54" s="21">
        <f t="shared" si="3"/>
        <v>0</v>
      </c>
      <c r="L54" s="21">
        <f t="shared" si="3"/>
        <v>0</v>
      </c>
      <c r="M54" s="21">
        <f t="shared" si="3"/>
        <v>56.553752212187518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0.13752688134869262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1.8978825585782706</v>
      </c>
      <c r="C58" s="23">
        <f t="shared" ref="C58:P58" ca="1" si="4">C54*C56</f>
        <v>0</v>
      </c>
      <c r="D58" s="23">
        <f t="shared" si="4"/>
        <v>0</v>
      </c>
      <c r="E58" s="23">
        <f t="shared" si="4"/>
        <v>0</v>
      </c>
      <c r="F58" s="23">
        <f t="shared" si="4"/>
        <v>0</v>
      </c>
      <c r="G58" s="23">
        <f t="shared" si="4"/>
        <v>266.95645056691478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4855.8395522392357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10552.5</v>
      </c>
      <c r="C8" s="541">
        <f>B48</f>
        <v>0</v>
      </c>
      <c r="D8" s="542"/>
      <c r="E8" s="542">
        <f>E48</f>
        <v>0</v>
      </c>
      <c r="F8" s="543"/>
      <c r="G8" s="544"/>
      <c r="H8" s="542">
        <f>I48</f>
        <v>0</v>
      </c>
      <c r="I8" s="542">
        <f>G48+F48</f>
        <v>0</v>
      </c>
      <c r="J8" s="542">
        <f>H48+D48+C48</f>
        <v>12414.705882352942</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15408.339552239235</v>
      </c>
      <c r="C10" s="556">
        <f t="shared" ref="C10:L10" si="0">SUM(C8:C9)</f>
        <v>0</v>
      </c>
      <c r="D10" s="556">
        <f t="shared" si="0"/>
        <v>0</v>
      </c>
      <c r="E10" s="556">
        <f t="shared" si="0"/>
        <v>0</v>
      </c>
      <c r="F10" s="556">
        <f t="shared" si="0"/>
        <v>0</v>
      </c>
      <c r="G10" s="556">
        <f t="shared" si="0"/>
        <v>0</v>
      </c>
      <c r="H10" s="556">
        <f t="shared" si="0"/>
        <v>0</v>
      </c>
      <c r="I10" s="556">
        <f t="shared" si="0"/>
        <v>0</v>
      </c>
      <c r="J10" s="556">
        <f t="shared" si="0"/>
        <v>12414.705882352942</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15075</v>
      </c>
      <c r="C17" s="572">
        <f>B49</f>
        <v>0</v>
      </c>
      <c r="D17" s="573"/>
      <c r="E17" s="573">
        <f>E49</f>
        <v>0</v>
      </c>
      <c r="F17" s="574"/>
      <c r="G17" s="575"/>
      <c r="H17" s="572">
        <f>I49</f>
        <v>0</v>
      </c>
      <c r="I17" s="573">
        <f>G49+F49</f>
        <v>0</v>
      </c>
      <c r="J17" s="573">
        <f>H49+D49+C49</f>
        <v>17735.294117647063</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15075</v>
      </c>
      <c r="C20" s="555">
        <f>SUM(C17:C19)</f>
        <v>0</v>
      </c>
      <c r="D20" s="555">
        <f t="shared" ref="D20:L20" si="1">SUM(D17:D19)</f>
        <v>0</v>
      </c>
      <c r="E20" s="555">
        <f t="shared" si="1"/>
        <v>0</v>
      </c>
      <c r="F20" s="555">
        <f t="shared" si="1"/>
        <v>0</v>
      </c>
      <c r="G20" s="555">
        <f t="shared" si="1"/>
        <v>0</v>
      </c>
      <c r="H20" s="555">
        <f t="shared" si="1"/>
        <v>0</v>
      </c>
      <c r="I20" s="555">
        <f t="shared" si="1"/>
        <v>0</v>
      </c>
      <c r="J20" s="555">
        <f t="shared" si="1"/>
        <v>17735.294117647063</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24130</v>
      </c>
      <c r="C28" s="783">
        <v>3440</v>
      </c>
      <c r="D28" s="633"/>
      <c r="E28" s="632"/>
      <c r="F28" s="632"/>
      <c r="G28" s="632" t="s">
        <v>900</v>
      </c>
      <c r="H28" s="632" t="s">
        <v>901</v>
      </c>
      <c r="I28" s="632"/>
      <c r="J28" s="782"/>
      <c r="K28" s="782"/>
      <c r="L28" s="632" t="s">
        <v>902</v>
      </c>
      <c r="M28" s="632">
        <v>2345</v>
      </c>
      <c r="N28" s="632">
        <v>10552.5</v>
      </c>
      <c r="O28" s="632">
        <v>15075</v>
      </c>
      <c r="P28" s="632">
        <v>0</v>
      </c>
      <c r="Q28" s="632">
        <v>30150.000000000004</v>
      </c>
      <c r="R28" s="632">
        <v>0</v>
      </c>
      <c r="S28" s="632">
        <v>0</v>
      </c>
      <c r="T28" s="632">
        <v>0</v>
      </c>
      <c r="U28" s="632">
        <v>0</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2345</v>
      </c>
      <c r="N29" s="590">
        <f>SUM(N28:N28)</f>
        <v>10552.5</v>
      </c>
      <c r="O29" s="590">
        <f>SUM(O28:O28)</f>
        <v>15075</v>
      </c>
      <c r="P29" s="590">
        <f>SUM(P28:P28)</f>
        <v>0</v>
      </c>
      <c r="Q29" s="590">
        <f>SUM(Q28:Q28)</f>
        <v>30150.000000000004</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2345</v>
      </c>
      <c r="N31" s="590">
        <f ca="1">SUMIF($Z$28:AD28,"tertiair",N28:N28)</f>
        <v>10552.5</v>
      </c>
      <c r="O31" s="590">
        <f ca="1">SUMIF($Z$28:AE28,"tertiair",O28:O28)</f>
        <v>15075</v>
      </c>
      <c r="P31" s="590">
        <f ca="1">SUMIF($Z$28:AF28,"tertiair",P28:P28)</f>
        <v>0</v>
      </c>
      <c r="Q31" s="590">
        <f ca="1">SUMIF($Z$28:AG28,"tertiair",Q28:Q28)</f>
        <v>30150.000000000004</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12414.705882352942</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17735.294117647063</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2021-11-11T12:38:36Z</dcterms:modified>
</cp:coreProperties>
</file>