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FBDC79C-89B8-4D72-945F-70D6DACCC27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17" i="19"/>
  <c r="C19" i="19" s="1"/>
  <c r="D39" i="14" s="1"/>
  <c r="C22" i="59"/>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<sst xmlns="http://schemas.openxmlformats.org/spreadsheetml/2006/main" count="2487" uniqueCount="907">
  <si>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</si>
  <si>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</si>
  <si>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</si>
  <si>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</si>
  <si>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</si>
  <si>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</si>
  <si>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</si>
  <si>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</si>
  <si>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</si>
  <si>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</si>
  <si>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</si>
  <si>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</si>
  <si>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</si>
  <si>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</si>
  <si>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</si>
  <si>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</si>
  <si>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</si>
  <si>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</si>
  <si>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</si>
  <si>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</si>
  <si>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</si>
  <si>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</si>
  <si>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</si>
  <si>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</si>
  <si>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</si>
  <si>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</si>
  <si>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</si>
  <si>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</si>
  <si>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</si>
  <si>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</si>
  <si>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</si>
  <si>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</si>
  <si>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</si>
  <si>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</si>
  <si>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</si>
  <si>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</si>
  <si>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</si>
  <si>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</si>
  <si>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</si>
  <si>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</si>
  <si>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</si>
  <si>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</si>
  <si>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</si>
  <si>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</si>
  <si>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</si>
  <si>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</si>
  <si>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</si>
  <si>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</si>
  <si>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</si>
  <si>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</si>
  <si>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</si>
  <si>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</si>
  <si>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</si>
  <si>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</si>
  <si>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</si>
  <si>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</si>
  <si>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</si>
  <si>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</si>
  <si>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</si>
  <si>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</si>
  <si>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</si>
  <si>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</si>
  <si>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</si>
  <si>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</si>
  <si>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</si>
  <si>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</si>
  <si>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</si>
  <si>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</si>
  <si>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</si>
  <si>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</si>
  <si>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</si>
  <si>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</si>
  <si>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</si>
  <si>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</si>
  <si>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</si>
  <si>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</si>
  <si>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</si>
  <si>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</si>
  <si>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</si>
  <si>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</si>
  <si>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</si>
  <si>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</si>
  <si>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</si>
  <si>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</si>
  <si>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</si>
  <si>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</si>
  <si>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</si>
  <si>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</si>
  <si>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</si>
  <si>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</si>
  <si>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</si>
  <si>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</si>
  <si>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</si>
  <si>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</si>
  <si>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</si>
  <si>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</si>
  <si>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</si>
  <si>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</si>
  <si>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</si>
  <si>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</si>
  <si>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</si>
  <si>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</si>
  <si>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</si>
  <si>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</si>
  <si>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</si>
  <si>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</si>
  <si>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</si>
  <si>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</si>
  <si>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</si>
  <si>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</si>
  <si>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</si>
  <si>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</si>
  <si>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</si>
  <si>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</si>
  <si>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</si>
  <si>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</si>
  <si>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</si>
  <si>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</si>
  <si>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</si>
  <si>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</si>
  <si>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</si>
  <si>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</si>
  <si>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</si>
  <si>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</si>
  <si>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</si>
  <si>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</si>
  <si>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</si>
  <si>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</si>
  <si>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</si>
  <si>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</si>
  <si>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</si>
  <si>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</si>
  <si>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</si>
  <si>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</si>
  <si>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</si>
  <si>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</si>
  <si>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</si>
  <si>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</si>
  <si>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</si>
  <si>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</si>
  <si>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</si>
  <si>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</si>
  <si>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</si>
  <si>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</si>
  <si>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</si>
  <si>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</si>
  <si>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</si>
  <si>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</si>
  <si>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</si>
  <si>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</si>
  <si>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</si>
  <si>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</si>
  <si>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</si>
  <si>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</si>
  <si>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</si>
  <si>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</si>
  <si>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</si>
  <si>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</si>
  <si>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</si>
  <si>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</si>
  <si>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</si>
  <si>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</si>
  <si>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</si>
  <si>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</si>
  <si>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</si>
  <si>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</si>
  <si>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</si>
  <si>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</si>
  <si>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</si>
  <si>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</si>
  <si>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</si>
  <si>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</si>
  <si>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</si>
  <si>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</si>
  <si>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</si>
  <si>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</si>
  <si>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</si>
  <si>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</si>
  <si>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</si>
  <si>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</si>
  <si>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</si>
  <si>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</si>
  <si>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</si>
  <si>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</si>
  <si>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</si>
  <si>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</si>
  <si>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</si>
  <si>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</si>
  <si>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</si>
  <si>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</si>
  <si>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</si>
  <si>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</si>
  <si>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</si>
  <si>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</si>
  <si>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</si>
  <si>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</si>
  <si>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</si>
  <si>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</si>
  <si>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</si>
  <si>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</si>
  <si>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</si>
  <si>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</si>
  <si>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</si>
  <si>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</si>
  <si>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</si>
  <si>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</si>
  <si>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</si>
  <si>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</si>
  <si>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</si>
  <si>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</si>
  <si>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</si>
  <si>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</si>
  <si>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</si>
  <si>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</si>
  <si>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</si>
  <si>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</si>
  <si>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</si>
  <si>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</si>
  <si>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</si>
  <si>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</si>
  <si>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</si>
  <si>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</si>
  <si>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</si>
  <si>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</si>
  <si>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</si>
  <si>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</si>
  <si>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</si>
  <si>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</si>
  <si>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</si>
  <si>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</si>
  <si>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</si>
  <si>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</si>
  <si>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</si>
  <si>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</si>
  <si>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</si>
  <si>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</si>
  <si>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</si>
  <si>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</si>
  <si>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</si>
  <si>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</si>
  <si>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</si>
  <si>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</si>
  <si>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</si>
  <si>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</si>
  <si>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</si>
  <si>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</si>
  <si>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</si>
  <si>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</si>
  <si>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</si>
  <si>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</si>
  <si>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</si>
  <si>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</si>
  <si>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</si>
  <si>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</si>
  <si>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</si>
  <si>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</si>
  <si>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</si>
  <si>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</si>
  <si>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</si>
  <si>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</si>
  <si>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</si>
  <si>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</si>
  <si>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</si>
  <si>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</si>
  <si>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</si>
  <si>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</si>
  <si>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</si>
  <si>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</si>
  <si>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</si>
  <si>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</si>
  <si>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</si>
  <si>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</si>
  <si>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</si>
  <si>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</si>
  <si>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</si>
  <si>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</si>
  <si>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</si>
  <si>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</si>
  <si>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</si>
  <si>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</si>
  <si>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</si>
  <si>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</si>
  <si>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</si>
  <si>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</si>
  <si>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</si>
  <si>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</si>
  <si>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</si>
  <si>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</si>
  <si>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</si>
  <si>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</si>
  <si>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</si>
  <si>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</si>
  <si>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</si>
  <si>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</si>
  <si>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</si>
  <si>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</si>
  <si>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</si>
  <si>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</si>
  <si>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</si>
  <si>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</si>
  <si>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</si>
  <si>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</si>
  <si>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</si>
  <si>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</si>
  <si>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</si>
  <si>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</si>
  <si>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</si>
  <si>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</si>
  <si>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</si>
  <si>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</si>
  <si>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</si>
  <si>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</si>
  <si>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</si>
  <si>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</si>
  <si>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</si>
  <si>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</si>
  <si>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</si>
  <si>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</si>
  <si>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</si>
  <si>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</si>
  <si>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</si>
  <si>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</si>
  <si>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</si>
  <si>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</si>
  <si>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</si>
  <si>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</si>
  <si>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</si>
  <si>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</si>
  <si>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</si>
  <si>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</si>
  <si>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</si>
  <si>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</si>
  <si>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</si>
  <si>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</si>
  <si>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</si>
  <si>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</si>
  <si>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</si>
  <si>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</si>
  <si>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</si>
  <si>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</si>
  <si>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</si>
  <si>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</si>
  <si>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</si>
  <si>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</si>
  <si>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</si>
  <si>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</si>
  <si>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</si>
  <si>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</si>
  <si>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</si>
  <si>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</si>
  <si>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</si>
  <si>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</si>
  <si>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</si>
  <si>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</si>
  <si>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</si>
  <si>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</si>
  <si>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</si>
  <si>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</si>
  <si>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</si>
  <si>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</si>
  <si>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</si>
  <si>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</si>
  <si>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</si>
  <si>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</si>
  <si>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</si>
  <si>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</si>
  <si>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</si>
  <si>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</si>
  <si>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</si>
  <si>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</si>
  <si>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</si>
  <si>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</si>
  <si>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</si>
  <si>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</si>
  <si>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</si>
  <si>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</si>
  <si>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</si>
  <si>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</si>
  <si>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</si>
  <si>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</si>
  <si>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</si>
  <si>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</si>
  <si>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</si>
  <si>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</si>
  <si>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</si>
  <si>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</si>
  <si>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</si>
  <si>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</si>
  <si>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</si>
  <si>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</si>
  <si>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</si>
  <si>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</si>
  <si>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</si>
  <si>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</si>
  <si>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</si>
  <si>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</si>
  <si>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</si>
  <si>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</si>
  <si>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</si>
  <si>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</si>
  <si>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</si>
  <si>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</si>
  <si>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</si>
  <si>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</si>
  <si>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</si>
  <si>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</si>
  <si>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</si>
  <si>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</si>
  <si>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</si>
  <si>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</si>
  <si>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</si>
  <si>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</si>
  <si>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</si>
  <si>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</si>
  <si>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</si>
  <si>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</si>
  <si>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</si>
  <si>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</si>
  <si>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</si>
  <si>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</si>
  <si>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</si>
  <si>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</si>
  <si>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</si>
  <si>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</si>
  <si>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</si>
  <si>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</si>
  <si>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</si>
  <si>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</si>
  <si>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</si>
  <si>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</si>
  <si>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</si>
  <si>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</si>
  <si>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</si>
  <si>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</si>
  <si>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</si>
  <si>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</si>
  <si>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</si>
  <si>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</si>
  <si>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</si>
  <si>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</si>
  <si>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</si>
  <si>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</si>
  <si>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</si>
  <si>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</si>
  <si>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</si>
  <si>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</si>
  <si>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</si>
  <si>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</si>
  <si>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</si>
  <si>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</si>
  <si>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</si>
  <si>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</si>
  <si>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</si>
  <si>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</si>
  <si>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</si>
  <si>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</si>
  <si>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</si>
  <si>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</si>
  <si>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</si>
  <si>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</si>
  <si>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</si>
  <si>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</si>
  <si>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</si>
  <si>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</si>
  <si>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</si>
  <si>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</si>
  <si>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</si>
  <si>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</si>
  <si>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</si>
  <si>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</si>
  <si>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</si>
  <si>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</si>
  <si>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</si>
  <si>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</si>
  <si>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</si>
  <si>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</si>
  <si>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</si>
  <si>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</si>
  <si>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</si>
  <si>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</si>
  <si>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</si>
  <si>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</si>
  <si>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</si>
  <si>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</si>
  <si>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</si>
  <si>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</si>
  <si>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</si>
  <si>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</si>
  <si>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</si>
  <si>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</si>
  <si>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</si>
  <si>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</si>
  <si>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</si>
  <si>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</si>
  <si>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</si>
  <si>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</si>
  <si>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</si>
  <si>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</si>
  <si>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</si>
  <si>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</si>
  <si>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</si>
  <si>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</si>
  <si>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</si>
  <si>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</si>
  <si>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</si>
  <si>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</si>
  <si>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</si>
  <si>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</si>
  <si>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</si>
  <si>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</si>
  <si>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</si>
  <si>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</si>
  <si>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</si>
  <si>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</si>
  <si>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</si>
  <si>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</si>
  <si>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</si>
  <si>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</si>
  <si>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</si>
  <si>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</si>
  <si>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</si>
  <si>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</si>
  <si>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</si>
  <si>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</si>
  <si>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</si>
  <si>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</si>
  <si>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</si>
  <si>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</si>
  <si>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</si>
  <si>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</si>
  <si>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</si>
  <si>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</si>
  <si>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</si>
  <si>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</si>
  <si>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</si>
  <si>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</si>
  <si>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</si>
  <si>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</si>
  <si>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</si>
  <si>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</si>
  <si>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</si>
  <si>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</si>
  <si>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</si>
  <si>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</si>
  <si>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</si>
  <si>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</si>
  <si>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</si>
  <si>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</si>
  <si>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</si>
  <si>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</si>
  <si>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</si>
  <si>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</si>
  <si>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</si>
  <si>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</si>
  <si>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</si>
  <si>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</si>
  <si>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</si>
  <si>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</si>
  <si>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</si>
  <si>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</si>
  <si>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</si>
  <si>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</si>
  <si>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</si>
  <si>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</si>
  <si>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</si>
  <si>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</si>
  <si>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</si>
  <si>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</si>
  <si>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</si>
  <si>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</si>
  <si>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</si>
  <si>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</si>
  <si>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</si>
  <si>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</si>
  <si>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</si>
  <si>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</si>
  <si>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</si>
  <si>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</si>
  <si>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</si>
  <si>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</si>
  <si>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</si>
  <si>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</si>
  <si>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</si>
  <si>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</si>
  <si>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</si>
  <si>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</si>
  <si>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</si>
  <si>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</si>
  <si>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</si>
  <si>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</si>
  <si>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</si>
  <si>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</si>
  <si>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</si>
  <si>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</si>
  <si>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</si>
  <si>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</si>
  <si>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</si>
  <si>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</si>
  <si>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</si>
  <si>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</si>
  <si>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</si>
  <si>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</si>
  <si>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</si>
  <si>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</si>
  <si>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</si>
  <si>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</si>
  <si>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</si>
  <si>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</si>
  <si>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</si>
  <si>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</si>
  <si>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</si>
  <si>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</si>
  <si>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</si>
  <si>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</si>
  <si>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</si>
  <si>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</si>
  <si>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</si>
  <si>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</si>
  <si>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</si>
  <si>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</si>
  <si>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</si>
  <si>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</si>
  <si>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</si>
  <si>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</si>
  <si>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</si>
  <si>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</si>
  <si>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</si>
  <si>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</si>
  <si>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</si>
  <si>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</si>
  <si>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</si>
  <si>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</si>
  <si>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</si>
  <si>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</si>
  <si>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</si>
  <si>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</si>
  <si>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</si>
  <si>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</si>
  <si>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</si>
  <si>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</si>
  <si>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</si>
  <si>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</si>
  <si>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</si>
  <si>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</si>
  <si>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</si>
  <si>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</si>
  <si>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</si>
  <si>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</si>
  <si>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</si>
  <si>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</si>
  <si>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</si>
  <si>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</si>
  <si>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</si>
  <si>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</si>
  <si>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</si>
  <si>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</si>
  <si>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</si>
  <si>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</si>
  <si>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</si>
  <si>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</si>
  <si>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</si>
  <si>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</si>
  <si>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</si>
  <si>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</si>
  <si>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</si>
  <si>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</si>
  <si>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</si>
  <si>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</si>
  <si>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</si>
  <si>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</si>
  <si>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</si>
  <si>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</si>
  <si>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</si>
  <si>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</si>
  <si>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</si>
  <si>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</si>
  <si>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</si>
  <si>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</si>
  <si>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</si>
  <si>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</si>
  <si>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</si>
  <si>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</si>
  <si>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</si>
  <si>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</si>
  <si>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</si>
  <si>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</si>
  <si>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</si>
  <si>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</si>
  <si>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</si>
  <si>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</si>
  <si>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</si>
  <si>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</si>
  <si>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</si>
  <si>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</si>
  <si>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</si>
  <si>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</si>
  <si>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</si>
  <si>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</si>
  <si>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</si>
  <si>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</si>
  <si>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</si>
  <si>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</si>
  <si>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</si>
  <si>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</si>
  <si>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</si>
  <si>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</si>
  <si>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</si>
  <si>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</si>
  <si>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</si>
  <si>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</si>
  <si>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</si>
  <si>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</si>
  <si>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</si>
  <si>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</si>
  <si>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</si>
  <si>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</si>
  <si>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</si>
  <si>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</si>
  <si>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</si>
  <si>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</si>
  <si>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</si>
  <si>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</si>
  <si>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</si>
  <si>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</si>
  <si>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</si>
  <si>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</si>
  <si>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</si>
  <si>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</si>
  <si>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</si>
  <si>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</si>
  <si>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</si>
  <si>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</si>
  <si>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</si>
  <si>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</si>
  <si>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</si>
  <si>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</si>
  <si>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</si>
  <si>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</si>
  <si>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</si>
  <si>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</si>
  <si>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</si>
  <si>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</si>
  <si>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</si>
  <si>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</si>
  <si>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</si>
  <si>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</si>
  <si>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</si>
  <si>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</si>
  <si>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</si>
  <si>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</si>
  <si>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</si>
  <si>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</si>
  <si>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</si>
  <si>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</si>
  <si>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</si>
  <si>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</si>
  <si>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</si>
  <si>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</si>
  <si>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</si>
  <si>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</si>
  <si>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</si>
  <si>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</si>
  <si>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</si>
  <si>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</si>
  <si>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</si>
  <si>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</si>
  <si>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</si>
  <si>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</si>
  <si>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</si>
  <si>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</si>
  <si>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</si>
  <si>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</si>
  <si>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</si>
  <si>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</si>
  <si>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</si>
  <si>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</si>
  <si>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</si>
  <si>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</si>
  <si>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</si>
  <si>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</si>
  <si>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</si>
  <si>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</si>
  <si>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</si>
  <si>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</si>
  <si>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</si>
  <si>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</si>
  <si>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</si>
  <si>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</si>
  <si>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</si>
  <si>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</si>
  <si>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</si>
  <si>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</si>
  <si>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</si>
  <si>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</si>
  <si>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</si>
  <si>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</si>
  <si>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</si>
  <si>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</si>
  <si>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</si>
  <si>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</si>
  <si>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</si>
  <si>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</si>
  <si>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</si>
  <si>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</si>
  <si>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</si>
  <si>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</si>
  <si>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</si>
  <si>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</si>
  <si>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</si>
  <si>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</si>
  <si>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</si>
  <si>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</si>
  <si>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</si>
  <si>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</si>
  <si>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</si>
  <si>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</si>
  <si>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</si>
  <si>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</si>
  <si>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</si>
  <si>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</si>
  <si>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</si>
  <si>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</si>
  <si>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</si>
  <si>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</si>
  <si>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</si>
  <si>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</si>
  <si>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</si>
  <si>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</si>
  <si>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</si>
  <si>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</si>
  <si>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</si>
  <si>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</si>
  <si>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</si>
  <si>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</si>
  <si>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</si>
  <si>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</si>
  <si>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</si>
  <si>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</si>
  <si>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</si>
  <si>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</si>
  <si>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</si>
  <si>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</si>
  <si>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</si>
  <si>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</si>
  <si>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</si>
  <si>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</si>
  <si>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</si>
  <si>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</si>
  <si>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</si>
  <si>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</si>
  <si>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</si>
  <si>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</si>
  <si>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</si>
  <si>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</si>
  <si>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</si>
  <si>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</si>
  <si>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</si>
  <si>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</si>
  <si>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</si>
  <si>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</si>
  <si>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</si>
  <si>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</si>
  <si>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</si>
  <si>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</si>
  <si>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</si>
  <si>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</si>
  <si>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</si>
  <si>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</si>
  <si>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</si>
  <si>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</si>
  <si>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</si>
  <si>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</si>
  <si>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</si>
  <si>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</si>
  <si>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</si>
  <si>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</si>
  <si>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</si>
  <si>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</si>
  <si>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</si>
  <si>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</si>
  <si>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</si>
  <si>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</si>
  <si>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</si>
  <si>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</si>
  <si>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</si>
  <si>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</si>
  <si>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</si>
  <si>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</si>
  <si>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</si>
  <si>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</si>
  <si>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</si>
  <si>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</si>
  <si>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</si>
  <si>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</si>
  <si>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</si>
  <si>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</si>
  <si>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</si>
  <si>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24062</t>
  </si>
  <si>
    <t>LEUVEN</t>
  </si>
  <si>
    <t>referentietaak LNE (2017); Jaarverslag De Lijn</t>
  </si>
  <si>
    <t>interne verbrandingsmotor</t>
  </si>
  <si>
    <t>WKK interne verbrandinsgmotor (gas)</t>
  </si>
  <si>
    <t>IVERLEK</t>
  </si>
  <si>
    <t>brandstofcel</t>
  </si>
  <si>
    <t>biogas - RWZI</t>
  </si>
  <si>
    <t>niet WKK interne verbrandingsmotor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</si>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</sst>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9EC3BE3-C55F-471B-9F58-8C66740B702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923326.16432922857</c:v>
                </c:pt>
                <c:pt idx="1">
                  <c:v>1058075.763161256</c:v>
                </c:pt>
                <c:pt idx="2">
                  <c:v>5268.8429999999998</c:v>
                </c:pt>
                <c:pt idx="3">
                  <c:v>13124.289211748379</c:v>
                </c:pt>
                <c:pt idx="4">
                  <c:v>275045.37282743462</c:v>
                </c:pt>
                <c:pt idx="5">
                  <c:v>575067.67491552373</c:v>
                </c:pt>
                <c:pt idx="6">
                  <c:v>24178.123514617073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923326.16432922857</c:v>
                </c:pt>
                <c:pt idx="1">
                  <c:v>1058075.763161256</c:v>
                </c:pt>
                <c:pt idx="2">
                  <c:v>5268.8429999999998</c:v>
                </c:pt>
                <c:pt idx="3">
                  <c:v>13124.289211748379</c:v>
                </c:pt>
                <c:pt idx="4">
                  <c:v>275045.37282743462</c:v>
                </c:pt>
                <c:pt idx="5">
                  <c:v>575067.67491552373</c:v>
                </c:pt>
                <c:pt idx="6">
                  <c:v>24178.123514617073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193745.32175040161</c:v>
                </c:pt>
                <c:pt idx="1">
                  <c:v>221338.46908504009</c:v>
                </c:pt>
                <c:pt idx="2">
                  <c:v>1140.6360447163138</c:v>
                </c:pt>
                <c:pt idx="3">
                  <c:v>3257.1306758341589</c:v>
                </c:pt>
                <c:pt idx="4">
                  <c:v>58620.977467089266</c:v>
                </c:pt>
                <c:pt idx="5">
                  <c:v>142940.81419766639</c:v>
                </c:pt>
                <c:pt idx="6">
                  <c:v>6098.6690848211229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193745.32175040161</c:v>
                </c:pt>
                <c:pt idx="1">
                  <c:v>221338.46908504009</c:v>
                </c:pt>
                <c:pt idx="2">
                  <c:v>1140.6360447163138</c:v>
                </c:pt>
                <c:pt idx="3">
                  <c:v>3257.1306758341589</c:v>
                </c:pt>
                <c:pt idx="4">
                  <c:v>58620.977467089266</c:v>
                </c:pt>
                <c:pt idx="5">
                  <c:v>142940.81419766639</c:v>
                </c:pt>
                <c:pt idx="6">
                  <c:v>6098.6690848211229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24062</v>
      </c>
      <c r="B6" s="384"/>
      <c r="C6" s="385"/>
    </row>
    <row r="7" spans="1:7" s="382" customFormat="1" ht="15.75" customHeight="1">
      <c r="A7" s="386" t="str">
        <f>txtMunicipality</f>
        <v>LEUVEN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479255.02932499995</v>
      </c>
      <c r="D10" s="679">
        <f ca="1">tertiair!C16</f>
        <v>72.604247104247108</v>
      </c>
      <c r="E10" s="679">
        <f ca="1">tertiair!D16</f>
        <v>507282.84550926997</v>
      </c>
      <c r="F10" s="679">
        <f>tertiair!E16</f>
        <v>5284.030278744257</v>
      </c>
      <c r="G10" s="679">
        <f ca="1">tertiair!F16</f>
        <v>56324.923623266819</v>
      </c>
      <c r="H10" s="679">
        <f>tertiair!G16</f>
        <v>0</v>
      </c>
      <c r="I10" s="679">
        <f>tertiair!H16</f>
        <v>0</v>
      </c>
      <c r="J10" s="679">
        <f>tertiair!I16</f>
        <v>0</v>
      </c>
      <c r="K10" s="679">
        <f>tertiair!J16</f>
        <v>0.45478646774358955</v>
      </c>
      <c r="L10" s="679">
        <f>tertiair!K16</f>
        <v>0</v>
      </c>
      <c r="M10" s="679">
        <f ca="1">tertiair!L16</f>
        <v>0</v>
      </c>
      <c r="N10" s="679">
        <f>tertiair!M16</f>
        <v>0</v>
      </c>
      <c r="O10" s="679">
        <f ca="1">tertiair!N16</f>
        <v>13929.679262533304</v>
      </c>
      <c r="P10" s="679">
        <f>tertiair!O16</f>
        <v>39.178086126729234</v>
      </c>
      <c r="Q10" s="680">
        <f>tertiair!P16</f>
        <v>1155.8610427428903</v>
      </c>
      <c r="R10" s="682">
        <f ca="1">SUM(C10:Q10)</f>
        <v>1063344.6061612559</v>
      </c>
      <c r="S10" s="67"/>
    </row>
    <row r="11" spans="1:19" s="442" customFormat="1">
      <c r="A11" s="800" t="s">
        <v>213</v>
      </c>
      <c r="B11" s="805"/>
      <c r="C11" s="679">
        <f>huishoudens!B8</f>
        <v>140938.84885821966</v>
      </c>
      <c r="D11" s="679">
        <f>huishoudens!C8</f>
        <v>0</v>
      </c>
      <c r="E11" s="679">
        <f>huishoudens!D8</f>
        <v>396189.394975</v>
      </c>
      <c r="F11" s="679">
        <f>huishoudens!E8</f>
        <v>18269.669343239188</v>
      </c>
      <c r="G11" s="679">
        <f>huishoudens!F8</f>
        <v>294531.41974404926</v>
      </c>
      <c r="H11" s="679">
        <f>huishoudens!G8</f>
        <v>0</v>
      </c>
      <c r="I11" s="679">
        <f>huishoudens!H8</f>
        <v>0</v>
      </c>
      <c r="J11" s="679">
        <f>huishoudens!I8</f>
        <v>0</v>
      </c>
      <c r="K11" s="679">
        <f>huishoudens!J8</f>
        <v>1176.6400365299787</v>
      </c>
      <c r="L11" s="679">
        <f>huishoudens!K8</f>
        <v>0</v>
      </c>
      <c r="M11" s="679">
        <f>huishoudens!L8</f>
        <v>0</v>
      </c>
      <c r="N11" s="679">
        <f>huishoudens!M8</f>
        <v>0</v>
      </c>
      <c r="O11" s="679">
        <f>huishoudens!N8</f>
        <v>69203.994632376038</v>
      </c>
      <c r="P11" s="679">
        <f>huishoudens!O8</f>
        <v>1372.8990878158259</v>
      </c>
      <c r="Q11" s="680">
        <f>huishoudens!P8</f>
        <v>1643.2976519988636</v>
      </c>
      <c r="R11" s="682">
        <f>SUM(C11:Q11)</f>
        <v>923326.16432922857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113879.410462</v>
      </c>
      <c r="D13" s="679">
        <f>industrie!C18</f>
        <v>0</v>
      </c>
      <c r="E13" s="679">
        <f>industrie!D18</f>
        <v>108948.490339216</v>
      </c>
      <c r="F13" s="679">
        <f>industrie!E18</f>
        <v>10587.220994441062</v>
      </c>
      <c r="G13" s="679">
        <f>industrie!F18</f>
        <v>35190.401841068182</v>
      </c>
      <c r="H13" s="679">
        <f>industrie!G18</f>
        <v>0</v>
      </c>
      <c r="I13" s="679">
        <f>industrie!H18</f>
        <v>0</v>
      </c>
      <c r="J13" s="679">
        <f>industrie!I18</f>
        <v>0</v>
      </c>
      <c r="K13" s="679">
        <f>industrie!J18</f>
        <v>454.33157168327989</v>
      </c>
      <c r="L13" s="679">
        <f>industrie!K18</f>
        <v>0</v>
      </c>
      <c r="M13" s="679">
        <f>industrie!L18</f>
        <v>0</v>
      </c>
      <c r="N13" s="679">
        <f>industrie!M18</f>
        <v>0</v>
      </c>
      <c r="O13" s="679">
        <f>industrie!N18</f>
        <v>5985.5176190260509</v>
      </c>
      <c r="P13" s="679">
        <f>industrie!O18</f>
        <v>0</v>
      </c>
      <c r="Q13" s="680">
        <f>industrie!P18</f>
        <v>0</v>
      </c>
      <c r="R13" s="682">
        <f>SUM(C13:Q13)</f>
        <v>275045.37282743462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734073.28864521952</v>
      </c>
      <c r="D16" s="715">
        <f t="shared" ref="D16:R16" ca="1" si="0">SUM(D9:D15)</f>
        <v>72.604247104247108</v>
      </c>
      <c r="E16" s="715">
        <f t="shared" ca="1" si="0"/>
        <v>1012420.730823486</v>
      </c>
      <c r="F16" s="715">
        <f t="shared" si="0"/>
        <v>34140.920616424504</v>
      </c>
      <c r="G16" s="715">
        <f t="shared" ca="1" si="0"/>
        <v>386046.74520838424</v>
      </c>
      <c r="H16" s="715">
        <f t="shared" si="0"/>
        <v>0</v>
      </c>
      <c r="I16" s="715">
        <f t="shared" si="0"/>
        <v>0</v>
      </c>
      <c r="J16" s="715">
        <f t="shared" si="0"/>
        <v>0</v>
      </c>
      <c r="K16" s="715">
        <f t="shared" si="0"/>
        <v>1631.4263946810022</v>
      </c>
      <c r="L16" s="715">
        <f t="shared" si="0"/>
        <v>0</v>
      </c>
      <c r="M16" s="715">
        <f t="shared" ca="1" si="0"/>
        <v>0</v>
      </c>
      <c r="N16" s="715">
        <f t="shared" si="0"/>
        <v>0</v>
      </c>
      <c r="O16" s="715">
        <f t="shared" ca="1" si="0"/>
        <v>89119.191513935395</v>
      </c>
      <c r="P16" s="715">
        <f t="shared" si="0"/>
        <v>1412.0771739425552</v>
      </c>
      <c r="Q16" s="715">
        <f t="shared" si="0"/>
        <v>2799.1586947417536</v>
      </c>
      <c r="R16" s="715">
        <f t="shared" ca="1" si="0"/>
        <v>2261716.1433179188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311.77633461291271</v>
      </c>
      <c r="D19" s="679">
        <f>transport!C54</f>
        <v>0</v>
      </c>
      <c r="E19" s="679">
        <f>transport!D54</f>
        <v>0</v>
      </c>
      <c r="F19" s="679">
        <f>transport!E54</f>
        <v>0</v>
      </c>
      <c r="G19" s="679">
        <f>transport!F54</f>
        <v>0</v>
      </c>
      <c r="H19" s="679">
        <f>transport!G54</f>
        <v>22588.665017543801</v>
      </c>
      <c r="I19" s="679">
        <f>transport!H54</f>
        <v>0</v>
      </c>
      <c r="J19" s="679">
        <f>transport!I54</f>
        <v>0</v>
      </c>
      <c r="K19" s="679">
        <f>transport!J54</f>
        <v>0</v>
      </c>
      <c r="L19" s="679">
        <f>transport!K54</f>
        <v>0</v>
      </c>
      <c r="M19" s="679">
        <f>transport!L54</f>
        <v>0</v>
      </c>
      <c r="N19" s="679">
        <f>transport!M54</f>
        <v>1277.6821624603565</v>
      </c>
      <c r="O19" s="679">
        <f>transport!N54</f>
        <v>0</v>
      </c>
      <c r="P19" s="679">
        <f>transport!O54</f>
        <v>0</v>
      </c>
      <c r="Q19" s="680">
        <f>transport!P54</f>
        <v>0</v>
      </c>
      <c r="R19" s="682">
        <f>SUM(C19:Q19)</f>
        <v>24178.123514617073</v>
      </c>
      <c r="S19" s="67"/>
    </row>
    <row r="20" spans="1:19" s="442" customFormat="1">
      <c r="A20" s="800" t="s">
        <v>295</v>
      </c>
      <c r="B20" s="805"/>
      <c r="C20" s="679">
        <f>transport!B14</f>
        <v>731.91280087457608</v>
      </c>
      <c r="D20" s="679">
        <f>transport!C14</f>
        <v>0</v>
      </c>
      <c r="E20" s="679">
        <f>transport!D14</f>
        <v>1156.9915882680937</v>
      </c>
      <c r="F20" s="679">
        <f>transport!E14</f>
        <v>1114.1997395146559</v>
      </c>
      <c r="G20" s="679">
        <f>transport!F14</f>
        <v>0</v>
      </c>
      <c r="H20" s="679">
        <f>transport!G14</f>
        <v>434839.21026872093</v>
      </c>
      <c r="I20" s="679">
        <f>transport!H14</f>
        <v>105195.42089760333</v>
      </c>
      <c r="J20" s="679">
        <f>transport!I14</f>
        <v>0</v>
      </c>
      <c r="K20" s="679">
        <f>transport!J14</f>
        <v>0</v>
      </c>
      <c r="L20" s="679">
        <f>transport!K14</f>
        <v>0</v>
      </c>
      <c r="M20" s="679">
        <f>transport!L14</f>
        <v>0</v>
      </c>
      <c r="N20" s="679">
        <f>transport!M14</f>
        <v>32029.939620542053</v>
      </c>
      <c r="O20" s="679">
        <f>transport!N14</f>
        <v>0</v>
      </c>
      <c r="P20" s="679">
        <f>transport!O14</f>
        <v>0</v>
      </c>
      <c r="Q20" s="680">
        <f>transport!P14</f>
        <v>0</v>
      </c>
      <c r="R20" s="682">
        <f>SUM(C20:Q20)</f>
        <v>575067.67491552373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1043.6891354874888</v>
      </c>
      <c r="D22" s="803">
        <f t="shared" ref="D22:R22" si="1">SUM(D18:D21)</f>
        <v>0</v>
      </c>
      <c r="E22" s="803">
        <f t="shared" si="1"/>
        <v>1156.9915882680937</v>
      </c>
      <c r="F22" s="803">
        <f t="shared" si="1"/>
        <v>1114.1997395146559</v>
      </c>
      <c r="G22" s="803">
        <f t="shared" si="1"/>
        <v>0</v>
      </c>
      <c r="H22" s="803">
        <f t="shared" si="1"/>
        <v>457427.87528626475</v>
      </c>
      <c r="I22" s="803">
        <f t="shared" si="1"/>
        <v>105195.42089760333</v>
      </c>
      <c r="J22" s="803">
        <f t="shared" si="1"/>
        <v>0</v>
      </c>
      <c r="K22" s="803">
        <f t="shared" si="1"/>
        <v>0</v>
      </c>
      <c r="L22" s="803">
        <f t="shared" si="1"/>
        <v>0</v>
      </c>
      <c r="M22" s="803">
        <f t="shared" si="1"/>
        <v>0</v>
      </c>
      <c r="N22" s="803">
        <f t="shared" si="1"/>
        <v>33307.621783002411</v>
      </c>
      <c r="O22" s="803">
        <f t="shared" si="1"/>
        <v>0</v>
      </c>
      <c r="P22" s="803">
        <f t="shared" si="1"/>
        <v>0</v>
      </c>
      <c r="Q22" s="803">
        <f t="shared" si="1"/>
        <v>0</v>
      </c>
      <c r="R22" s="803">
        <f t="shared" si="1"/>
        <v>599245.79843014083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2112.6022510000003</v>
      </c>
      <c r="D24" s="679">
        <f>+landbouw!C8</f>
        <v>0</v>
      </c>
      <c r="E24" s="679">
        <f>+landbouw!D8</f>
        <v>2897.5463874280003</v>
      </c>
      <c r="F24" s="679">
        <f>+landbouw!E8</f>
        <v>65.933619603431893</v>
      </c>
      <c r="G24" s="679">
        <f>+landbouw!F8</f>
        <v>7466.1703827982346</v>
      </c>
      <c r="H24" s="679">
        <f>+landbouw!G8</f>
        <v>0</v>
      </c>
      <c r="I24" s="679">
        <f>+landbouw!H8</f>
        <v>0</v>
      </c>
      <c r="J24" s="679">
        <f>+landbouw!I8</f>
        <v>0</v>
      </c>
      <c r="K24" s="679">
        <f>+landbouw!J8</f>
        <v>582.0365709187123</v>
      </c>
      <c r="L24" s="679">
        <f>+landbouw!K8</f>
        <v>0</v>
      </c>
      <c r="M24" s="679">
        <f>+landbouw!L8</f>
        <v>0</v>
      </c>
      <c r="N24" s="679">
        <f>+landbouw!M8</f>
        <v>0</v>
      </c>
      <c r="O24" s="679">
        <f>+landbouw!N8</f>
        <v>0</v>
      </c>
      <c r="P24" s="679">
        <f>+landbouw!O8</f>
        <v>0</v>
      </c>
      <c r="Q24" s="680">
        <f>+landbouw!P8</f>
        <v>0</v>
      </c>
      <c r="R24" s="682">
        <f>SUM(C24:Q24)</f>
        <v>13124.289211748379</v>
      </c>
      <c r="S24" s="67"/>
    </row>
    <row r="25" spans="1:19" s="442" customFormat="1" ht="15" thickBot="1">
      <c r="A25" s="822" t="s">
        <v>708</v>
      </c>
      <c r="B25" s="941"/>
      <c r="C25" s="942">
        <f>IF(Onbekend_ele_kWh="---",0,Onbekend_ele_kWh)/1000+IF(REST_rest_ele_kWh="---",0,REST_rest_ele_kWh)/1000</f>
        <v>10427.462019999999</v>
      </c>
      <c r="D25" s="942"/>
      <c r="E25" s="942">
        <f>IF(onbekend_gas_kWh="---",0,onbekend_gas_kWh)/1000+IF(REST_rest_gas_kWh="---",0,REST_rest_gas_kWh)/1000</f>
        <v>38569.828229999999</v>
      </c>
      <c r="F25" s="942"/>
      <c r="G25" s="942"/>
      <c r="H25" s="942"/>
      <c r="I25" s="942"/>
      <c r="J25" s="942"/>
      <c r="K25" s="942"/>
      <c r="L25" s="942"/>
      <c r="M25" s="942"/>
      <c r="N25" s="942"/>
      <c r="O25" s="942"/>
      <c r="P25" s="942"/>
      <c r="Q25" s="943"/>
      <c r="R25" s="682">
        <f>SUM(C25:Q25)</f>
        <v>48997.290249999998</v>
      </c>
      <c r="S25" s="67"/>
    </row>
    <row r="26" spans="1:19" s="442" customFormat="1" ht="15.75" thickBot="1">
      <c r="A26" s="687" t="s">
        <v>709</v>
      </c>
      <c r="B26" s="808"/>
      <c r="C26" s="803">
        <f>SUM(C24:C25)</f>
        <v>12540.064270999999</v>
      </c>
      <c r="D26" s="803">
        <f t="shared" ref="D26:R26" si="2">SUM(D24:D25)</f>
        <v>0</v>
      </c>
      <c r="E26" s="803">
        <f t="shared" si="2"/>
        <v>41467.374617428002</v>
      </c>
      <c r="F26" s="803">
        <f t="shared" si="2"/>
        <v>65.933619603431893</v>
      </c>
      <c r="G26" s="803">
        <f t="shared" si="2"/>
        <v>7466.1703827982346</v>
      </c>
      <c r="H26" s="803">
        <f t="shared" si="2"/>
        <v>0</v>
      </c>
      <c r="I26" s="803">
        <f t="shared" si="2"/>
        <v>0</v>
      </c>
      <c r="J26" s="803">
        <f t="shared" si="2"/>
        <v>0</v>
      </c>
      <c r="K26" s="803">
        <f t="shared" si="2"/>
        <v>582.0365709187123</v>
      </c>
      <c r="L26" s="803">
        <f t="shared" si="2"/>
        <v>0</v>
      </c>
      <c r="M26" s="803">
        <f t="shared" si="2"/>
        <v>0</v>
      </c>
      <c r="N26" s="803">
        <f t="shared" si="2"/>
        <v>0</v>
      </c>
      <c r="O26" s="803">
        <f t="shared" si="2"/>
        <v>0</v>
      </c>
      <c r="P26" s="803">
        <f t="shared" si="2"/>
        <v>0</v>
      </c>
      <c r="Q26" s="803">
        <f t="shared" si="2"/>
        <v>0</v>
      </c>
      <c r="R26" s="803">
        <f t="shared" si="2"/>
        <v>62121.579461748377</v>
      </c>
      <c r="S26" s="67"/>
    </row>
    <row r="27" spans="1:19" s="442" customFormat="1" ht="17.25" thickTop="1" thickBot="1">
      <c r="A27" s="688" t="s">
        <v>109</v>
      </c>
      <c r="B27" s="795"/>
      <c r="C27" s="689">
        <f ca="1">C22+C16+C26</f>
        <v>747657.04205170705</v>
      </c>
      <c r="D27" s="689">
        <f t="shared" ref="D27:R27" ca="1" si="3">D22+D16+D26</f>
        <v>72.604247104247108</v>
      </c>
      <c r="E27" s="689">
        <f t="shared" ca="1" si="3"/>
        <v>1055045.0970291821</v>
      </c>
      <c r="F27" s="689">
        <f t="shared" si="3"/>
        <v>35321.053975542593</v>
      </c>
      <c r="G27" s="689">
        <f t="shared" ca="1" si="3"/>
        <v>393512.91559118248</v>
      </c>
      <c r="H27" s="689">
        <f t="shared" si="3"/>
        <v>457427.87528626475</v>
      </c>
      <c r="I27" s="689">
        <f t="shared" si="3"/>
        <v>105195.42089760333</v>
      </c>
      <c r="J27" s="689">
        <f t="shared" si="3"/>
        <v>0</v>
      </c>
      <c r="K27" s="689">
        <f t="shared" si="3"/>
        <v>2213.4629655997146</v>
      </c>
      <c r="L27" s="689">
        <f t="shared" si="3"/>
        <v>0</v>
      </c>
      <c r="M27" s="689">
        <f t="shared" ca="1" si="3"/>
        <v>0</v>
      </c>
      <c r="N27" s="689">
        <f t="shared" si="3"/>
        <v>33307.621783002411</v>
      </c>
      <c r="O27" s="689">
        <f t="shared" ca="1" si="3"/>
        <v>89119.191513935395</v>
      </c>
      <c r="P27" s="689">
        <f t="shared" si="3"/>
        <v>1412.0771739425552</v>
      </c>
      <c r="Q27" s="689">
        <f t="shared" si="3"/>
        <v>2799.1586947417536</v>
      </c>
      <c r="R27" s="689">
        <f t="shared" ca="1" si="3"/>
        <v>2923083.5212098076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103752.48627823393</v>
      </c>
      <c r="D40" s="679">
        <f ca="1">tertiair!C20</f>
        <v>17.093583553182018</v>
      </c>
      <c r="E40" s="679">
        <f ca="1">tertiair!D20</f>
        <v>102471.13479287254</v>
      </c>
      <c r="F40" s="679">
        <f>tertiair!E20</f>
        <v>1199.4748732749463</v>
      </c>
      <c r="G40" s="679">
        <f ca="1">tertiair!F20</f>
        <v>15038.754607412242</v>
      </c>
      <c r="H40" s="679">
        <f>tertiair!G20</f>
        <v>0</v>
      </c>
      <c r="I40" s="679">
        <f>tertiair!H20</f>
        <v>0</v>
      </c>
      <c r="J40" s="679">
        <f>tertiair!I20</f>
        <v>0</v>
      </c>
      <c r="K40" s="679">
        <f>tertiair!J20</f>
        <v>0.16099440958123068</v>
      </c>
      <c r="L40" s="679">
        <f>tertiair!K20</f>
        <v>0</v>
      </c>
      <c r="M40" s="679">
        <f ca="1">tertiair!L20</f>
        <v>0</v>
      </c>
      <c r="N40" s="679">
        <f>tertiair!M20</f>
        <v>0</v>
      </c>
      <c r="O40" s="679">
        <f ca="1">tertiair!N20</f>
        <v>0</v>
      </c>
      <c r="P40" s="679">
        <f>tertiair!O20</f>
        <v>0</v>
      </c>
      <c r="Q40" s="762">
        <f>tertiair!P20</f>
        <v>0</v>
      </c>
      <c r="R40" s="841">
        <f t="shared" ca="1" si="4"/>
        <v>222479.10512975644</v>
      </c>
    </row>
    <row r="41" spans="1:18">
      <c r="A41" s="813" t="s">
        <v>213</v>
      </c>
      <c r="B41" s="820"/>
      <c r="C41" s="679">
        <f ca="1">huishoudens!B12</f>
        <v>30511.429379943569</v>
      </c>
      <c r="D41" s="679">
        <f ca="1">huishoudens!C12</f>
        <v>0</v>
      </c>
      <c r="E41" s="679">
        <f>huishoudens!D12</f>
        <v>80030.257784950008</v>
      </c>
      <c r="F41" s="679">
        <f>huishoudens!E12</f>
        <v>4147.2149409152953</v>
      </c>
      <c r="G41" s="679">
        <f>huishoudens!F12</f>
        <v>78639.88907166115</v>
      </c>
      <c r="H41" s="679">
        <f>huishoudens!G12</f>
        <v>0</v>
      </c>
      <c r="I41" s="679">
        <f>huishoudens!H12</f>
        <v>0</v>
      </c>
      <c r="J41" s="679">
        <f>huishoudens!I12</f>
        <v>0</v>
      </c>
      <c r="K41" s="679">
        <f>huishoudens!J12</f>
        <v>416.53057293161243</v>
      </c>
      <c r="L41" s="679">
        <f>huishoudens!K12</f>
        <v>0</v>
      </c>
      <c r="M41" s="679">
        <f>huishoudens!L12</f>
        <v>0</v>
      </c>
      <c r="N41" s="679">
        <f>huishoudens!M12</f>
        <v>0</v>
      </c>
      <c r="O41" s="679">
        <f>huishoudens!N12</f>
        <v>0</v>
      </c>
      <c r="P41" s="679">
        <f>huishoudens!O12</f>
        <v>0</v>
      </c>
      <c r="Q41" s="762">
        <f>huishoudens!P12</f>
        <v>0</v>
      </c>
      <c r="R41" s="841">
        <f t="shared" ca="1" si="4"/>
        <v>193745.32175040161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24653.412584888425</v>
      </c>
      <c r="D43" s="679">
        <f ca="1">industrie!C22</f>
        <v>0</v>
      </c>
      <c r="E43" s="679">
        <f>industrie!D22</f>
        <v>22007.595048521634</v>
      </c>
      <c r="F43" s="679">
        <f>industrie!E22</f>
        <v>2403.2991657381212</v>
      </c>
      <c r="G43" s="679">
        <f>industrie!F22</f>
        <v>9395.8372915652053</v>
      </c>
      <c r="H43" s="679">
        <f>industrie!G22</f>
        <v>0</v>
      </c>
      <c r="I43" s="679">
        <f>industrie!H22</f>
        <v>0</v>
      </c>
      <c r="J43" s="679">
        <f>industrie!I22</f>
        <v>0</v>
      </c>
      <c r="K43" s="679">
        <f>industrie!J22</f>
        <v>160.83337637588107</v>
      </c>
      <c r="L43" s="679">
        <f>industrie!K22</f>
        <v>0</v>
      </c>
      <c r="M43" s="679">
        <f>industrie!L22</f>
        <v>0</v>
      </c>
      <c r="N43" s="679">
        <f>industrie!M22</f>
        <v>0</v>
      </c>
      <c r="O43" s="679">
        <f>industrie!N22</f>
        <v>0</v>
      </c>
      <c r="P43" s="679">
        <f>industrie!O22</f>
        <v>0</v>
      </c>
      <c r="Q43" s="762">
        <f>industrie!P22</f>
        <v>0</v>
      </c>
      <c r="R43" s="840">
        <f t="shared" ca="1" si="4"/>
        <v>58620.977467089266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158917.32824306595</v>
      </c>
      <c r="D46" s="715">
        <f t="shared" ref="D46:Q46" ca="1" si="5">SUM(D39:D45)</f>
        <v>17.093583553182018</v>
      </c>
      <c r="E46" s="715">
        <f t="shared" ca="1" si="5"/>
        <v>204508.9876263442</v>
      </c>
      <c r="F46" s="715">
        <f t="shared" si="5"/>
        <v>7749.9889799283628</v>
      </c>
      <c r="G46" s="715">
        <f t="shared" ca="1" si="5"/>
        <v>103074.48097063859</v>
      </c>
      <c r="H46" s="715">
        <f t="shared" si="5"/>
        <v>0</v>
      </c>
      <c r="I46" s="715">
        <f t="shared" si="5"/>
        <v>0</v>
      </c>
      <c r="J46" s="715">
        <f t="shared" si="5"/>
        <v>0</v>
      </c>
      <c r="K46" s="715">
        <f t="shared" si="5"/>
        <v>577.52494371707473</v>
      </c>
      <c r="L46" s="715">
        <f t="shared" si="5"/>
        <v>0</v>
      </c>
      <c r="M46" s="715">
        <f t="shared" ca="1" si="5"/>
        <v>0</v>
      </c>
      <c r="N46" s="715">
        <f t="shared" si="5"/>
        <v>0</v>
      </c>
      <c r="O46" s="715">
        <f t="shared" ca="1" si="5"/>
        <v>0</v>
      </c>
      <c r="P46" s="715">
        <f t="shared" si="5"/>
        <v>0</v>
      </c>
      <c r="Q46" s="715">
        <f t="shared" si="5"/>
        <v>0</v>
      </c>
      <c r="R46" s="715">
        <f ca="1">SUM(R39:R45)</f>
        <v>474845.40434724727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67.495525136927156</v>
      </c>
      <c r="D49" s="679">
        <f ca="1">transport!C58</f>
        <v>0</v>
      </c>
      <c r="E49" s="679">
        <f>transport!D58</f>
        <v>0</v>
      </c>
      <c r="F49" s="679">
        <f>transport!E58</f>
        <v>0</v>
      </c>
      <c r="G49" s="679">
        <f>transport!F58</f>
        <v>0</v>
      </c>
      <c r="H49" s="679">
        <f>transport!G58</f>
        <v>6031.1735596841954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6098.6690848211229</v>
      </c>
    </row>
    <row r="50" spans="1:18">
      <c r="A50" s="816" t="s">
        <v>295</v>
      </c>
      <c r="B50" s="826"/>
      <c r="C50" s="685">
        <f ca="1">transport!B18</f>
        <v>158.44961071468924</v>
      </c>
      <c r="D50" s="685">
        <f>transport!C18</f>
        <v>0</v>
      </c>
      <c r="E50" s="685">
        <f>transport!D18</f>
        <v>233.71230083015493</v>
      </c>
      <c r="F50" s="685">
        <f>transport!E18</f>
        <v>252.92334086982689</v>
      </c>
      <c r="G50" s="685">
        <f>transport!F18</f>
        <v>0</v>
      </c>
      <c r="H50" s="685">
        <f>transport!G18</f>
        <v>116102.06914174849</v>
      </c>
      <c r="I50" s="685">
        <f>transport!H18</f>
        <v>26193.659803503229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142940.81419766639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225.94513585161639</v>
      </c>
      <c r="D52" s="715">
        <f t="shared" ref="D52:Q52" ca="1" si="6">SUM(D48:D51)</f>
        <v>0</v>
      </c>
      <c r="E52" s="715">
        <f t="shared" si="6"/>
        <v>233.71230083015493</v>
      </c>
      <c r="F52" s="715">
        <f t="shared" si="6"/>
        <v>252.92334086982689</v>
      </c>
      <c r="G52" s="715">
        <f t="shared" si="6"/>
        <v>0</v>
      </c>
      <c r="H52" s="715">
        <f t="shared" si="6"/>
        <v>122133.24270143268</v>
      </c>
      <c r="I52" s="715">
        <f t="shared" si="6"/>
        <v>26193.659803503229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149039.48328248752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457.35093561137074</v>
      </c>
      <c r="D54" s="685">
        <f ca="1">+landbouw!C12</f>
        <v>0</v>
      </c>
      <c r="E54" s="685">
        <f>+landbouw!D12</f>
        <v>585.30437026045615</v>
      </c>
      <c r="F54" s="685">
        <f>+landbouw!E12</f>
        <v>14.96693164997904</v>
      </c>
      <c r="G54" s="685">
        <f>+landbouw!F12</f>
        <v>1993.4674922071288</v>
      </c>
      <c r="H54" s="685">
        <f>+landbouw!G12</f>
        <v>0</v>
      </c>
      <c r="I54" s="685">
        <f>+landbouw!H12</f>
        <v>0</v>
      </c>
      <c r="J54" s="685">
        <f>+landbouw!I12</f>
        <v>0</v>
      </c>
      <c r="K54" s="685">
        <f>+landbouw!J12</f>
        <v>206.04094610522415</v>
      </c>
      <c r="L54" s="685">
        <f>+landbouw!K12</f>
        <v>0</v>
      </c>
      <c r="M54" s="685">
        <f>+landbouw!L12</f>
        <v>0</v>
      </c>
      <c r="N54" s="685">
        <f>+landbouw!M12</f>
        <v>0</v>
      </c>
      <c r="O54" s="685">
        <f>+landbouw!N12</f>
        <v>0</v>
      </c>
      <c r="P54" s="685">
        <f>+landbouw!O12</f>
        <v>0</v>
      </c>
      <c r="Q54" s="686">
        <f>+landbouw!P12</f>
        <v>0</v>
      </c>
      <c r="R54" s="714">
        <f ca="1">SUM(C54:Q54)</f>
        <v>3257.1306758341589</v>
      </c>
    </row>
    <row r="55" spans="1:18" ht="15" thickBot="1">
      <c r="A55" s="816" t="s">
        <v>708</v>
      </c>
      <c r="B55" s="826"/>
      <c r="C55" s="685">
        <f ca="1">C25*'EF ele_warmte'!B12</f>
        <v>2257.410030043101</v>
      </c>
      <c r="D55" s="685"/>
      <c r="E55" s="685">
        <f>E25*EF_CO2_aardgas</f>
        <v>7791.1053024600005</v>
      </c>
      <c r="F55" s="685"/>
      <c r="G55" s="685"/>
      <c r="H55" s="685"/>
      <c r="I55" s="685"/>
      <c r="J55" s="685"/>
      <c r="K55" s="685"/>
      <c r="L55" s="685"/>
      <c r="M55" s="685"/>
      <c r="N55" s="685"/>
      <c r="O55" s="685"/>
      <c r="P55" s="685"/>
      <c r="Q55" s="686"/>
      <c r="R55" s="714">
        <f ca="1">SUM(C55:Q55)</f>
        <v>10048.515332503102</v>
      </c>
    </row>
    <row r="56" spans="1:18" ht="15.75" thickBot="1">
      <c r="A56" s="814" t="s">
        <v>709</v>
      </c>
      <c r="B56" s="827"/>
      <c r="C56" s="715">
        <f ca="1">SUM(C54:C55)</f>
        <v>2714.7609656544719</v>
      </c>
      <c r="D56" s="715">
        <f t="shared" ref="D56:Q56" ca="1" si="7">SUM(D54:D55)</f>
        <v>0</v>
      </c>
      <c r="E56" s="715">
        <f t="shared" si="7"/>
        <v>8376.409672720456</v>
      </c>
      <c r="F56" s="715">
        <f t="shared" si="7"/>
        <v>14.96693164997904</v>
      </c>
      <c r="G56" s="715">
        <f t="shared" si="7"/>
        <v>1993.4674922071288</v>
      </c>
      <c r="H56" s="715">
        <f t="shared" si="7"/>
        <v>0</v>
      </c>
      <c r="I56" s="715">
        <f t="shared" si="7"/>
        <v>0</v>
      </c>
      <c r="J56" s="715">
        <f t="shared" si="7"/>
        <v>0</v>
      </c>
      <c r="K56" s="715">
        <f t="shared" si="7"/>
        <v>206.04094610522415</v>
      </c>
      <c r="L56" s="715">
        <f t="shared" si="7"/>
        <v>0</v>
      </c>
      <c r="M56" s="715">
        <f t="shared" si="7"/>
        <v>0</v>
      </c>
      <c r="N56" s="715">
        <f t="shared" si="7"/>
        <v>0</v>
      </c>
      <c r="O56" s="715">
        <f t="shared" si="7"/>
        <v>0</v>
      </c>
      <c r="P56" s="715">
        <f t="shared" si="7"/>
        <v>0</v>
      </c>
      <c r="Q56" s="716">
        <f t="shared" si="7"/>
        <v>0</v>
      </c>
      <c r="R56" s="717">
        <f ca="1">SUM(R54:R55)</f>
        <v>13305.646008337262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161858.03434457205</v>
      </c>
      <c r="D61" s="723">
        <f t="shared" ref="D61:Q61" ca="1" si="8">D46+D52+D56</f>
        <v>17.093583553182018</v>
      </c>
      <c r="E61" s="723">
        <f t="shared" ca="1" si="8"/>
        <v>213119.10959989479</v>
      </c>
      <c r="F61" s="723">
        <f t="shared" si="8"/>
        <v>8017.8792524481687</v>
      </c>
      <c r="G61" s="723">
        <f t="shared" ca="1" si="8"/>
        <v>105067.94846284571</v>
      </c>
      <c r="H61" s="723">
        <f t="shared" si="8"/>
        <v>122133.24270143268</v>
      </c>
      <c r="I61" s="723">
        <f t="shared" si="8"/>
        <v>26193.659803503229</v>
      </c>
      <c r="J61" s="723">
        <f t="shared" si="8"/>
        <v>0</v>
      </c>
      <c r="K61" s="723">
        <f t="shared" si="8"/>
        <v>783.56588982229891</v>
      </c>
      <c r="L61" s="723">
        <f t="shared" si="8"/>
        <v>0</v>
      </c>
      <c r="M61" s="723">
        <f t="shared" ca="1" si="8"/>
        <v>0</v>
      </c>
      <c r="N61" s="723">
        <f t="shared" si="8"/>
        <v>0</v>
      </c>
      <c r="O61" s="723">
        <f t="shared" ca="1" si="8"/>
        <v>0</v>
      </c>
      <c r="P61" s="723">
        <f t="shared" si="8"/>
        <v>0</v>
      </c>
      <c r="Q61" s="723">
        <f t="shared" si="8"/>
        <v>0</v>
      </c>
      <c r="R61" s="723">
        <f ca="1">R46+R52+R56</f>
        <v>637190.53363807208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0.2164870057271234</v>
      </c>
      <c r="D63" s="769">
        <f t="shared" ca="1" si="9"/>
        <v>0.23543503630908252</v>
      </c>
      <c r="E63" s="967">
        <f t="shared" ca="1" si="9"/>
        <v>0.20199999999999999</v>
      </c>
      <c r="F63" s="769">
        <f t="shared" si="9"/>
        <v>0.22700000000000001</v>
      </c>
      <c r="G63" s="769">
        <f t="shared" ca="1" si="9"/>
        <v>0.26699999999999996</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13867.06447375449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50.800000000000004</v>
      </c>
      <c r="D76" s="950">
        <f>'lokale energieproductie'!C8</f>
        <v>59.208415071789062</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11.960099844501391</v>
      </c>
      <c r="R76" s="843">
        <v>0</v>
      </c>
    </row>
    <row r="77" spans="1:18" ht="15.75" thickBot="1">
      <c r="A77" s="739" t="s">
        <v>767</v>
      </c>
      <c r="B77" s="736">
        <f>'lokale energieproductie'!B9*IFERROR(SUM(I77:O77)/SUM(D77:O77),0)</f>
        <v>1404</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4011.4285714285716</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15271.06447375449</v>
      </c>
      <c r="C78" s="741">
        <f>SUM(C72:C77)</f>
        <v>50.800000000000004</v>
      </c>
      <c r="D78" s="742">
        <f t="shared" ref="D78:H78" si="10">SUM(D76:D77)</f>
        <v>59.208415071789062</v>
      </c>
      <c r="E78" s="742">
        <f t="shared" si="10"/>
        <v>0</v>
      </c>
      <c r="F78" s="742">
        <f t="shared" si="10"/>
        <v>0</v>
      </c>
      <c r="G78" s="742">
        <f t="shared" si="10"/>
        <v>0</v>
      </c>
      <c r="H78" s="742">
        <f t="shared" si="10"/>
        <v>0</v>
      </c>
      <c r="I78" s="742">
        <f>SUM(I76:I77)</f>
        <v>0</v>
      </c>
      <c r="J78" s="742">
        <f>SUM(J76:J77)</f>
        <v>4011.4285714285716</v>
      </c>
      <c r="K78" s="742">
        <f t="shared" ref="K78:L78" si="11">SUM(K76:K77)</f>
        <v>0</v>
      </c>
      <c r="L78" s="742">
        <f t="shared" si="11"/>
        <v>0</v>
      </c>
      <c r="M78" s="742">
        <f>SUM(M76:M77)</f>
        <v>0</v>
      </c>
      <c r="N78" s="742">
        <f>SUM(N76:N77)</f>
        <v>0</v>
      </c>
      <c r="O78" s="851">
        <f>SUM(O76:O77)</f>
        <v>0</v>
      </c>
      <c r="P78" s="743">
        <v>0</v>
      </c>
      <c r="Q78" s="743">
        <f>SUM(Q76:Q77)</f>
        <v>11.960099844501391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72.604247104247108</v>
      </c>
      <c r="D87" s="765">
        <f>'lokale energieproductie'!C17</f>
        <v>84.62170075832681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17.093583553182018</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72.604247104247108</v>
      </c>
      <c r="D90" s="741">
        <f t="shared" ref="D90:H90" si="12">SUM(D87:D89)</f>
        <v>84.62170075832681</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17.093583553182018</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140938.84885821966</v>
      </c>
      <c r="C4" s="446">
        <f>huishoudens!C8</f>
        <v>0</v>
      </c>
      <c r="D4" s="446">
        <f>huishoudens!D8</f>
        <v>396189.394975</v>
      </c>
      <c r="E4" s="446">
        <f>huishoudens!E8</f>
        <v>18269.669343239188</v>
      </c>
      <c r="F4" s="446">
        <f>huishoudens!F8</f>
        <v>294531.41974404926</v>
      </c>
      <c r="G4" s="446">
        <f>huishoudens!G8</f>
        <v>0</v>
      </c>
      <c r="H4" s="446">
        <f>huishoudens!H8</f>
        <v>0</v>
      </c>
      <c r="I4" s="446">
        <f>huishoudens!I8</f>
        <v>0</v>
      </c>
      <c r="J4" s="446">
        <f>huishoudens!J8</f>
        <v>1176.6400365299787</v>
      </c>
      <c r="K4" s="446">
        <f>huishoudens!K8</f>
        <v>0</v>
      </c>
      <c r="L4" s="446">
        <f>huishoudens!L8</f>
        <v>0</v>
      </c>
      <c r="M4" s="446">
        <f>huishoudens!M8</f>
        <v>0</v>
      </c>
      <c r="N4" s="446">
        <f>huishoudens!N8</f>
        <v>69203.994632376038</v>
      </c>
      <c r="O4" s="446">
        <f>huishoudens!O8</f>
        <v>1372.8990878158259</v>
      </c>
      <c r="P4" s="447">
        <f>huishoudens!P8</f>
        <v>1643.2976519988636</v>
      </c>
      <c r="Q4" s="448">
        <f>SUM(B4:P4)</f>
        <v>923326.16432922857</v>
      </c>
    </row>
    <row r="5" spans="1:17">
      <c r="A5" s="445" t="s">
        <v>149</v>
      </c>
      <c r="B5" s="446">
        <f ca="1">tertiair!B16</f>
        <v>473986.18632499996</v>
      </c>
      <c r="C5" s="446">
        <f ca="1">tertiair!C16</f>
        <v>72.604247104247108</v>
      </c>
      <c r="D5" s="446">
        <f ca="1">tertiair!D16</f>
        <v>507282.84550926997</v>
      </c>
      <c r="E5" s="446">
        <f>tertiair!E16</f>
        <v>5284.030278744257</v>
      </c>
      <c r="F5" s="446">
        <f ca="1">tertiair!F16</f>
        <v>56324.923623266819</v>
      </c>
      <c r="G5" s="446">
        <f>tertiair!G16</f>
        <v>0</v>
      </c>
      <c r="H5" s="446">
        <f>tertiair!H16</f>
        <v>0</v>
      </c>
      <c r="I5" s="446">
        <f>tertiair!I16</f>
        <v>0</v>
      </c>
      <c r="J5" s="446">
        <f>tertiair!J16</f>
        <v>0.45478646774358955</v>
      </c>
      <c r="K5" s="446">
        <f>tertiair!K16</f>
        <v>0</v>
      </c>
      <c r="L5" s="446">
        <f ca="1">tertiair!L16</f>
        <v>0</v>
      </c>
      <c r="M5" s="446">
        <f>tertiair!M16</f>
        <v>0</v>
      </c>
      <c r="N5" s="446">
        <f ca="1">tertiair!N16</f>
        <v>13929.679262533304</v>
      </c>
      <c r="O5" s="446">
        <f>tertiair!O16</f>
        <v>39.178086126729234</v>
      </c>
      <c r="P5" s="447">
        <f>tertiair!P16</f>
        <v>1155.8610427428903</v>
      </c>
      <c r="Q5" s="445">
        <f t="shared" ref="Q5:Q14" ca="1" si="0">SUM(B5:P5)</f>
        <v>1058075.763161256</v>
      </c>
    </row>
    <row r="6" spans="1:17">
      <c r="A6" s="445" t="s">
        <v>187</v>
      </c>
      <c r="B6" s="446">
        <f>'openbare verlichting'!B8</f>
        <v>5268.8429999999998</v>
      </c>
      <c r="C6" s="446"/>
      <c r="D6" s="446"/>
      <c r="E6" s="446"/>
      <c r="F6" s="446"/>
      <c r="G6" s="446"/>
      <c r="H6" s="446"/>
      <c r="I6" s="446"/>
      <c r="J6" s="446"/>
      <c r="K6" s="446"/>
      <c r="L6" s="446"/>
      <c r="M6" s="446"/>
      <c r="N6" s="446"/>
      <c r="O6" s="446"/>
      <c r="P6" s="447"/>
      <c r="Q6" s="445">
        <f t="shared" si="0"/>
        <v>5268.8429999999998</v>
      </c>
    </row>
    <row r="7" spans="1:17">
      <c r="A7" s="445" t="s">
        <v>105</v>
      </c>
      <c r="B7" s="446">
        <f>landbouw!B8</f>
        <v>2112.6022510000003</v>
      </c>
      <c r="C7" s="446">
        <f>landbouw!C8</f>
        <v>0</v>
      </c>
      <c r="D7" s="446">
        <f>landbouw!D8</f>
        <v>2897.5463874280003</v>
      </c>
      <c r="E7" s="446">
        <f>landbouw!E8</f>
        <v>65.933619603431893</v>
      </c>
      <c r="F7" s="446">
        <f>landbouw!F8</f>
        <v>7466.1703827982346</v>
      </c>
      <c r="G7" s="446">
        <f>landbouw!G8</f>
        <v>0</v>
      </c>
      <c r="H7" s="446">
        <f>landbouw!H8</f>
        <v>0</v>
      </c>
      <c r="I7" s="446">
        <f>landbouw!I8</f>
        <v>0</v>
      </c>
      <c r="J7" s="446">
        <f>landbouw!J8</f>
        <v>582.0365709187123</v>
      </c>
      <c r="K7" s="446">
        <f>landbouw!K8</f>
        <v>0</v>
      </c>
      <c r="L7" s="446">
        <f>landbouw!L8</f>
        <v>0</v>
      </c>
      <c r="M7" s="446">
        <f>landbouw!M8</f>
        <v>0</v>
      </c>
      <c r="N7" s="446">
        <f>landbouw!N8</f>
        <v>0</v>
      </c>
      <c r="O7" s="446">
        <f>landbouw!O8</f>
        <v>0</v>
      </c>
      <c r="P7" s="447">
        <f>landbouw!P8</f>
        <v>0</v>
      </c>
      <c r="Q7" s="445">
        <f t="shared" si="0"/>
        <v>13124.289211748379</v>
      </c>
    </row>
    <row r="8" spans="1:17">
      <c r="A8" s="445" t="s">
        <v>612</v>
      </c>
      <c r="B8" s="446">
        <f>industrie!B18</f>
        <v>113879.410462</v>
      </c>
      <c r="C8" s="446">
        <f>industrie!C18</f>
        <v>0</v>
      </c>
      <c r="D8" s="446">
        <f>industrie!D18</f>
        <v>108948.490339216</v>
      </c>
      <c r="E8" s="446">
        <f>industrie!E18</f>
        <v>10587.220994441062</v>
      </c>
      <c r="F8" s="446">
        <f>industrie!F18</f>
        <v>35190.401841068182</v>
      </c>
      <c r="G8" s="446">
        <f>industrie!G18</f>
        <v>0</v>
      </c>
      <c r="H8" s="446">
        <f>industrie!H18</f>
        <v>0</v>
      </c>
      <c r="I8" s="446">
        <f>industrie!I18</f>
        <v>0</v>
      </c>
      <c r="J8" s="446">
        <f>industrie!J18</f>
        <v>454.33157168327989</v>
      </c>
      <c r="K8" s="446">
        <f>industrie!K18</f>
        <v>0</v>
      </c>
      <c r="L8" s="446">
        <f>industrie!L18</f>
        <v>0</v>
      </c>
      <c r="M8" s="446">
        <f>industrie!M18</f>
        <v>0</v>
      </c>
      <c r="N8" s="446">
        <f>industrie!N18</f>
        <v>5985.5176190260509</v>
      </c>
      <c r="O8" s="446">
        <f>industrie!O18</f>
        <v>0</v>
      </c>
      <c r="P8" s="447">
        <f>industrie!P18</f>
        <v>0</v>
      </c>
      <c r="Q8" s="445">
        <f t="shared" si="0"/>
        <v>275045.37282743462</v>
      </c>
    </row>
    <row r="9" spans="1:17" s="451" customFormat="1">
      <c r="A9" s="449" t="s">
        <v>538</v>
      </c>
      <c r="B9" s="450">
        <f>transport!B14</f>
        <v>731.91280087457608</v>
      </c>
      <c r="C9" s="450">
        <f>transport!C14</f>
        <v>0</v>
      </c>
      <c r="D9" s="450">
        <f>transport!D14</f>
        <v>1156.9915882680937</v>
      </c>
      <c r="E9" s="450">
        <f>transport!E14</f>
        <v>1114.1997395146559</v>
      </c>
      <c r="F9" s="450">
        <f>transport!F14</f>
        <v>0</v>
      </c>
      <c r="G9" s="450">
        <f>transport!G14</f>
        <v>434839.21026872093</v>
      </c>
      <c r="H9" s="450">
        <f>transport!H14</f>
        <v>105195.42089760333</v>
      </c>
      <c r="I9" s="450">
        <f>transport!I14</f>
        <v>0</v>
      </c>
      <c r="J9" s="450">
        <f>transport!J14</f>
        <v>0</v>
      </c>
      <c r="K9" s="450">
        <f>transport!K14</f>
        <v>0</v>
      </c>
      <c r="L9" s="450">
        <f>transport!L14</f>
        <v>0</v>
      </c>
      <c r="M9" s="450">
        <f>transport!M14</f>
        <v>32029.939620542053</v>
      </c>
      <c r="N9" s="450">
        <f>transport!N14</f>
        <v>0</v>
      </c>
      <c r="O9" s="450">
        <f>transport!O14</f>
        <v>0</v>
      </c>
      <c r="P9" s="450">
        <f>transport!P14</f>
        <v>0</v>
      </c>
      <c r="Q9" s="449">
        <f>SUM(B9:P9)</f>
        <v>575067.67491552373</v>
      </c>
    </row>
    <row r="10" spans="1:17">
      <c r="A10" s="445" t="s">
        <v>528</v>
      </c>
      <c r="B10" s="446">
        <f>transport!B54</f>
        <v>311.77633461291271</v>
      </c>
      <c r="C10" s="446">
        <f>transport!C54</f>
        <v>0</v>
      </c>
      <c r="D10" s="446">
        <f>transport!D54</f>
        <v>0</v>
      </c>
      <c r="E10" s="446">
        <f>transport!E54</f>
        <v>0</v>
      </c>
      <c r="F10" s="446">
        <f>transport!F54</f>
        <v>0</v>
      </c>
      <c r="G10" s="446">
        <f>transport!G54</f>
        <v>22588.665017543801</v>
      </c>
      <c r="H10" s="446">
        <f>transport!H54</f>
        <v>0</v>
      </c>
      <c r="I10" s="446">
        <f>transport!I54</f>
        <v>0</v>
      </c>
      <c r="J10" s="446">
        <f>transport!J54</f>
        <v>0</v>
      </c>
      <c r="K10" s="446">
        <f>transport!K54</f>
        <v>0</v>
      </c>
      <c r="L10" s="446">
        <f>transport!L54</f>
        <v>0</v>
      </c>
      <c r="M10" s="446">
        <f>transport!M54</f>
        <v>1277.6821624603565</v>
      </c>
      <c r="N10" s="446">
        <f>transport!N54</f>
        <v>0</v>
      </c>
      <c r="O10" s="446">
        <f>transport!O54</f>
        <v>0</v>
      </c>
      <c r="P10" s="447">
        <f>transport!P54</f>
        <v>0</v>
      </c>
      <c r="Q10" s="445">
        <f t="shared" si="0"/>
        <v>24178.123514617073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10427.462019999999</v>
      </c>
      <c r="C14" s="453"/>
      <c r="D14" s="453">
        <f>'SEAP template'!E25</f>
        <v>38569.828229999999</v>
      </c>
      <c r="E14" s="453"/>
      <c r="F14" s="453"/>
      <c r="G14" s="453"/>
      <c r="H14" s="453"/>
      <c r="I14" s="453"/>
      <c r="J14" s="453"/>
      <c r="K14" s="453"/>
      <c r="L14" s="453"/>
      <c r="M14" s="453"/>
      <c r="N14" s="453"/>
      <c r="O14" s="453"/>
      <c r="P14" s="454"/>
      <c r="Q14" s="445">
        <f t="shared" si="0"/>
        <v>48997.290249999998</v>
      </c>
    </row>
    <row r="15" spans="1:17" s="457" customFormat="1">
      <c r="A15" s="455" t="s">
        <v>532</v>
      </c>
      <c r="B15" s="456">
        <f ca="1">SUM(B4:B14)</f>
        <v>747657.04205170693</v>
      </c>
      <c r="C15" s="456">
        <f t="shared" ref="C15:Q15" ca="1" si="1">SUM(C4:C14)</f>
        <v>72.604247104247108</v>
      </c>
      <c r="D15" s="456">
        <f t="shared" ca="1" si="1"/>
        <v>1055045.0970291821</v>
      </c>
      <c r="E15" s="456">
        <f t="shared" si="1"/>
        <v>35321.053975542593</v>
      </c>
      <c r="F15" s="456">
        <f t="shared" ca="1" si="1"/>
        <v>393512.91559118248</v>
      </c>
      <c r="G15" s="456">
        <f t="shared" si="1"/>
        <v>457427.87528626475</v>
      </c>
      <c r="H15" s="456">
        <f t="shared" si="1"/>
        <v>105195.42089760333</v>
      </c>
      <c r="I15" s="456">
        <f t="shared" si="1"/>
        <v>0</v>
      </c>
      <c r="J15" s="456">
        <f t="shared" si="1"/>
        <v>2213.4629655997146</v>
      </c>
      <c r="K15" s="456">
        <f t="shared" si="1"/>
        <v>0</v>
      </c>
      <c r="L15" s="456">
        <f t="shared" ca="1" si="1"/>
        <v>0</v>
      </c>
      <c r="M15" s="456">
        <f t="shared" si="1"/>
        <v>33307.621783002411</v>
      </c>
      <c r="N15" s="456">
        <f t="shared" ca="1" si="1"/>
        <v>89119.191513935395</v>
      </c>
      <c r="O15" s="456">
        <f t="shared" si="1"/>
        <v>1412.0771739425552</v>
      </c>
      <c r="P15" s="456">
        <f t="shared" si="1"/>
        <v>2799.1586947417536</v>
      </c>
      <c r="Q15" s="456">
        <f t="shared" ca="1" si="1"/>
        <v>2923083.5212098081</v>
      </c>
    </row>
    <row r="17" spans="1:17">
      <c r="A17" s="458" t="s">
        <v>533</v>
      </c>
      <c r="B17" s="774">
        <f ca="1">huishoudens!B10</f>
        <v>0.21648700572712334</v>
      </c>
      <c r="C17" s="774">
        <f ca="1">huishoudens!C10</f>
        <v>0.23543503630908252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30511.429379943569</v>
      </c>
      <c r="C22" s="446">
        <f t="shared" ref="C22:C32" ca="1" si="3">C4*$C$17</f>
        <v>0</v>
      </c>
      <c r="D22" s="446">
        <f t="shared" ref="D22:D32" si="4">D4*$D$17</f>
        <v>80030.257784950008</v>
      </c>
      <c r="E22" s="446">
        <f t="shared" ref="E22:E32" si="5">E4*$E$17</f>
        <v>4147.2149409152953</v>
      </c>
      <c r="F22" s="446">
        <f t="shared" ref="F22:F32" si="6">F4*$F$17</f>
        <v>78639.88907166115</v>
      </c>
      <c r="G22" s="446">
        <f t="shared" ref="G22:G32" si="7">G4*$G$17</f>
        <v>0</v>
      </c>
      <c r="H22" s="446">
        <f t="shared" ref="H22:H32" si="8">H4*$H$17</f>
        <v>0</v>
      </c>
      <c r="I22" s="446">
        <f t="shared" ref="I22:I32" si="9">I4*$I$17</f>
        <v>0</v>
      </c>
      <c r="J22" s="446">
        <f t="shared" ref="J22:J32" si="10">J4*$J$17</f>
        <v>416.53057293161243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193745.32175040161</v>
      </c>
    </row>
    <row r="23" spans="1:17">
      <c r="A23" s="445" t="s">
        <v>149</v>
      </c>
      <c r="B23" s="446">
        <f t="shared" ca="1" si="2"/>
        <v>102611.85023351762</v>
      </c>
      <c r="C23" s="446">
        <f t="shared" ca="1" si="3"/>
        <v>17.093583553182018</v>
      </c>
      <c r="D23" s="446">
        <f t="shared" ca="1" si="4"/>
        <v>102471.13479287254</v>
      </c>
      <c r="E23" s="446">
        <f t="shared" si="5"/>
        <v>1199.4748732749463</v>
      </c>
      <c r="F23" s="446">
        <f t="shared" ca="1" si="6"/>
        <v>15038.754607412242</v>
      </c>
      <c r="G23" s="446">
        <f t="shared" si="7"/>
        <v>0</v>
      </c>
      <c r="H23" s="446">
        <f t="shared" si="8"/>
        <v>0</v>
      </c>
      <c r="I23" s="446">
        <f t="shared" si="9"/>
        <v>0</v>
      </c>
      <c r="J23" s="446">
        <f t="shared" si="10"/>
        <v>0.16099440958123068</v>
      </c>
      <c r="K23" s="446">
        <f t="shared" si="11"/>
        <v>0</v>
      </c>
      <c r="L23" s="446">
        <f t="shared" ca="1" si="12"/>
        <v>0</v>
      </c>
      <c r="M23" s="446">
        <f t="shared" si="13"/>
        <v>0</v>
      </c>
      <c r="N23" s="446">
        <f t="shared" ca="1" si="14"/>
        <v>0</v>
      </c>
      <c r="O23" s="446">
        <f t="shared" si="15"/>
        <v>0</v>
      </c>
      <c r="P23" s="447">
        <f t="shared" si="16"/>
        <v>0</v>
      </c>
      <c r="Q23" s="445">
        <f t="shared" ref="Q23:Q31" ca="1" si="17">SUM(B23:P23)</f>
        <v>221338.46908504009</v>
      </c>
    </row>
    <row r="24" spans="1:17">
      <c r="A24" s="445" t="s">
        <v>187</v>
      </c>
      <c r="B24" s="446">
        <f t="shared" ca="1" si="2"/>
        <v>1140.6360447163138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1140.6360447163138</v>
      </c>
    </row>
    <row r="25" spans="1:17">
      <c r="A25" s="445" t="s">
        <v>105</v>
      </c>
      <c r="B25" s="446">
        <f t="shared" ca="1" si="2"/>
        <v>457.35093561137074</v>
      </c>
      <c r="C25" s="446">
        <f t="shared" ca="1" si="3"/>
        <v>0</v>
      </c>
      <c r="D25" s="446">
        <f t="shared" si="4"/>
        <v>585.30437026045615</v>
      </c>
      <c r="E25" s="446">
        <f t="shared" si="5"/>
        <v>14.96693164997904</v>
      </c>
      <c r="F25" s="446">
        <f t="shared" si="6"/>
        <v>1993.4674922071288</v>
      </c>
      <c r="G25" s="446">
        <f t="shared" si="7"/>
        <v>0</v>
      </c>
      <c r="H25" s="446">
        <f t="shared" si="8"/>
        <v>0</v>
      </c>
      <c r="I25" s="446">
        <f t="shared" si="9"/>
        <v>0</v>
      </c>
      <c r="J25" s="446">
        <f t="shared" si="10"/>
        <v>206.04094610522415</v>
      </c>
      <c r="K25" s="446">
        <f t="shared" si="11"/>
        <v>0</v>
      </c>
      <c r="L25" s="446">
        <f t="shared" si="12"/>
        <v>0</v>
      </c>
      <c r="M25" s="446">
        <f t="shared" si="13"/>
        <v>0</v>
      </c>
      <c r="N25" s="446">
        <f t="shared" si="14"/>
        <v>0</v>
      </c>
      <c r="O25" s="446">
        <f t="shared" si="15"/>
        <v>0</v>
      </c>
      <c r="P25" s="447">
        <f t="shared" si="16"/>
        <v>0</v>
      </c>
      <c r="Q25" s="445">
        <f t="shared" ca="1" si="17"/>
        <v>3257.1306758341589</v>
      </c>
    </row>
    <row r="26" spans="1:17">
      <c r="A26" s="445" t="s">
        <v>612</v>
      </c>
      <c r="B26" s="446">
        <f t="shared" ca="1" si="2"/>
        <v>24653.412584888425</v>
      </c>
      <c r="C26" s="446">
        <f t="shared" ca="1" si="3"/>
        <v>0</v>
      </c>
      <c r="D26" s="446">
        <f t="shared" si="4"/>
        <v>22007.595048521634</v>
      </c>
      <c r="E26" s="446">
        <f t="shared" si="5"/>
        <v>2403.2991657381212</v>
      </c>
      <c r="F26" s="446">
        <f t="shared" si="6"/>
        <v>9395.8372915652053</v>
      </c>
      <c r="G26" s="446">
        <f t="shared" si="7"/>
        <v>0</v>
      </c>
      <c r="H26" s="446">
        <f t="shared" si="8"/>
        <v>0</v>
      </c>
      <c r="I26" s="446">
        <f t="shared" si="9"/>
        <v>0</v>
      </c>
      <c r="J26" s="446">
        <f t="shared" si="10"/>
        <v>160.83337637588107</v>
      </c>
      <c r="K26" s="446">
        <f t="shared" si="11"/>
        <v>0</v>
      </c>
      <c r="L26" s="446">
        <f t="shared" si="12"/>
        <v>0</v>
      </c>
      <c r="M26" s="446">
        <f t="shared" si="13"/>
        <v>0</v>
      </c>
      <c r="N26" s="446">
        <f t="shared" si="14"/>
        <v>0</v>
      </c>
      <c r="O26" s="446">
        <f t="shared" si="15"/>
        <v>0</v>
      </c>
      <c r="P26" s="447">
        <f t="shared" si="16"/>
        <v>0</v>
      </c>
      <c r="Q26" s="445">
        <f t="shared" ca="1" si="17"/>
        <v>58620.977467089266</v>
      </c>
    </row>
    <row r="27" spans="1:17" s="451" customFormat="1">
      <c r="A27" s="449" t="s">
        <v>538</v>
      </c>
      <c r="B27" s="768">
        <f t="shared" ca="1" si="2"/>
        <v>158.44961071468924</v>
      </c>
      <c r="C27" s="450">
        <f t="shared" ca="1" si="3"/>
        <v>0</v>
      </c>
      <c r="D27" s="450">
        <f t="shared" si="4"/>
        <v>233.71230083015493</v>
      </c>
      <c r="E27" s="450">
        <f t="shared" si="5"/>
        <v>252.92334086982689</v>
      </c>
      <c r="F27" s="450">
        <f t="shared" si="6"/>
        <v>0</v>
      </c>
      <c r="G27" s="450">
        <f t="shared" si="7"/>
        <v>116102.06914174849</v>
      </c>
      <c r="H27" s="450">
        <f t="shared" si="8"/>
        <v>26193.659803503229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142940.81419766639</v>
      </c>
    </row>
    <row r="28" spans="1:17" ht="16.5" customHeight="1">
      <c r="A28" s="445" t="s">
        <v>528</v>
      </c>
      <c r="B28" s="446">
        <f t="shared" ca="1" si="2"/>
        <v>67.495525136927156</v>
      </c>
      <c r="C28" s="446">
        <f t="shared" ca="1" si="3"/>
        <v>0</v>
      </c>
      <c r="D28" s="446">
        <f t="shared" si="4"/>
        <v>0</v>
      </c>
      <c r="E28" s="446">
        <f t="shared" si="5"/>
        <v>0</v>
      </c>
      <c r="F28" s="446">
        <f t="shared" si="6"/>
        <v>0</v>
      </c>
      <c r="G28" s="446">
        <f t="shared" si="7"/>
        <v>6031.1735596841954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6098.6690848211229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2257.410030043101</v>
      </c>
      <c r="C32" s="446">
        <f t="shared" ca="1" si="3"/>
        <v>0</v>
      </c>
      <c r="D32" s="446">
        <f t="shared" si="4"/>
        <v>7791.1053024600005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10048.515332503102</v>
      </c>
    </row>
    <row r="33" spans="1:17" s="457" customFormat="1">
      <c r="A33" s="455" t="s">
        <v>532</v>
      </c>
      <c r="B33" s="456">
        <f ca="1">SUM(B22:B32)</f>
        <v>161858.03434457202</v>
      </c>
      <c r="C33" s="456">
        <f t="shared" ref="C33:Q33" ca="1" si="19">SUM(C22:C32)</f>
        <v>17.093583553182018</v>
      </c>
      <c r="D33" s="456">
        <f t="shared" ca="1" si="19"/>
        <v>213119.10959989479</v>
      </c>
      <c r="E33" s="456">
        <f t="shared" si="19"/>
        <v>8017.8792524481696</v>
      </c>
      <c r="F33" s="456">
        <f t="shared" ca="1" si="19"/>
        <v>105067.94846284571</v>
      </c>
      <c r="G33" s="456">
        <f t="shared" si="19"/>
        <v>122133.24270143268</v>
      </c>
      <c r="H33" s="456">
        <f t="shared" si="19"/>
        <v>26193.659803503229</v>
      </c>
      <c r="I33" s="456">
        <f t="shared" si="19"/>
        <v>0</v>
      </c>
      <c r="J33" s="456">
        <f t="shared" si="19"/>
        <v>783.56588982229891</v>
      </c>
      <c r="K33" s="456">
        <f t="shared" si="19"/>
        <v>0</v>
      </c>
      <c r="L33" s="456">
        <f t="shared" ca="1" si="19"/>
        <v>0</v>
      </c>
      <c r="M33" s="456">
        <f t="shared" si="19"/>
        <v>0</v>
      </c>
      <c r="N33" s="456">
        <f t="shared" ca="1" si="19"/>
        <v>0</v>
      </c>
      <c r="O33" s="456">
        <f t="shared" si="19"/>
        <v>0</v>
      </c>
      <c r="P33" s="456">
        <f t="shared" si="19"/>
        <v>0</v>
      </c>
      <c r="Q33" s="456">
        <f t="shared" ca="1" si="19"/>
        <v>637190.53363807197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13867.06447375449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50.800000000000004</v>
      </c>
      <c r="D8" s="1019">
        <f>'SEAP template'!D76</f>
        <v>59.208415071789062</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11.960099844501391</v>
      </c>
    </row>
    <row r="9" spans="1:16">
      <c r="A9" s="1025" t="s">
        <v>768</v>
      </c>
      <c r="B9" s="1019">
        <f>'SEAP template'!B77</f>
        <v>1404</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4011.4285714285716</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15271.06447375449</v>
      </c>
      <c r="C10" s="1021">
        <f>SUM(C4:C9)</f>
        <v>50.800000000000004</v>
      </c>
      <c r="D10" s="1021">
        <f t="shared" ref="D10:H10" si="0">SUM(D8:D9)</f>
        <v>59.208415071789062</v>
      </c>
      <c r="E10" s="1021">
        <f t="shared" si="0"/>
        <v>0</v>
      </c>
      <c r="F10" s="1021">
        <f t="shared" si="0"/>
        <v>0</v>
      </c>
      <c r="G10" s="1021">
        <f t="shared" si="0"/>
        <v>0</v>
      </c>
      <c r="H10" s="1021">
        <f t="shared" si="0"/>
        <v>0</v>
      </c>
      <c r="I10" s="1021">
        <f>SUM(I8:I9)</f>
        <v>0</v>
      </c>
      <c r="J10" s="1021">
        <f>SUM(J8:J9)</f>
        <v>4011.4285714285716</v>
      </c>
      <c r="K10" s="1021">
        <f t="shared" ref="K10:L10" si="1">SUM(K8:K9)</f>
        <v>0</v>
      </c>
      <c r="L10" s="1021">
        <f t="shared" si="1"/>
        <v>0</v>
      </c>
      <c r="M10" s="1021">
        <f>SUM(M8:M9)</f>
        <v>0</v>
      </c>
      <c r="N10" s="1021">
        <f>SUM(N8:N9)</f>
        <v>0</v>
      </c>
      <c r="O10" s="1021">
        <f>SUM(O8:O9)</f>
        <v>0</v>
      </c>
      <c r="P10" s="1021">
        <f>SUM(P8:P9)</f>
        <v>11.960099844501391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0.21648700572712334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72.604247104247108</v>
      </c>
      <c r="D17" s="1020">
        <f>'SEAP template'!D87</f>
        <v>84.62170075832681</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17.093583553182018</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72.604247104247108</v>
      </c>
      <c r="D20" s="1021">
        <f t="shared" ref="D20:H20" si="2">SUM(D17:D19)</f>
        <v>84.62170075832681</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17.093583553182018</v>
      </c>
    </row>
    <row r="21" spans="1:16">
      <c r="B21" s="879"/>
    </row>
    <row r="22" spans="1:16">
      <c r="A22" s="458" t="s">
        <v>780</v>
      </c>
      <c r="B22" s="774" t="s">
        <v>778</v>
      </c>
      <c r="C22" s="774">
        <f ca="1">'EF ele_warmte'!B22</f>
        <v>0.23543503630908252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0.21648700572712334</v>
      </c>
      <c r="C17" s="494">
        <f ca="1">'EF ele_warmte'!B22</f>
        <v>0.23543503630908252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0.21648700572712334</v>
      </c>
      <c r="C17" s="494">
        <f ca="1">'EF ele_warmte'!B22</f>
        <v>0.23543503630908252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0.21648700572712334</v>
      </c>
      <c r="C29" s="495">
        <f ca="1">'EF ele_warmte'!B22</f>
        <v>0.23543503630908252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49606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1090.33</v>
      </c>
      <c r="C14" s="326"/>
      <c r="D14" s="326"/>
      <c r="E14" s="326"/>
      <c r="F14" s="326"/>
    </row>
    <row r="15" spans="1:6">
      <c r="A15" s="1296" t="s">
        <v>177</v>
      </c>
      <c r="B15" s="1297">
        <v>3</v>
      </c>
      <c r="C15" s="326"/>
      <c r="D15" s="326"/>
      <c r="E15" s="326"/>
      <c r="F15" s="326"/>
    </row>
    <row r="16" spans="1:6">
      <c r="A16" s="1296" t="s">
        <v>6</v>
      </c>
      <c r="B16" s="1297">
        <v>96</v>
      </c>
      <c r="C16" s="326"/>
      <c r="D16" s="326"/>
      <c r="E16" s="326"/>
      <c r="F16" s="326"/>
    </row>
    <row r="17" spans="1:6">
      <c r="A17" s="1296" t="s">
        <v>7</v>
      </c>
      <c r="B17" s="1297">
        <v>130</v>
      </c>
      <c r="C17" s="326"/>
      <c r="D17" s="326"/>
      <c r="E17" s="326"/>
      <c r="F17" s="326"/>
    </row>
    <row r="18" spans="1:6">
      <c r="A18" s="1296" t="s">
        <v>8</v>
      </c>
      <c r="B18" s="1297">
        <v>147</v>
      </c>
      <c r="C18" s="326"/>
      <c r="D18" s="326"/>
      <c r="E18" s="326"/>
      <c r="F18" s="326"/>
    </row>
    <row r="19" spans="1:6">
      <c r="A19" s="1296" t="s">
        <v>9</v>
      </c>
      <c r="B19" s="1297">
        <v>139</v>
      </c>
      <c r="C19" s="326"/>
      <c r="D19" s="326"/>
      <c r="E19" s="326"/>
      <c r="F19" s="326"/>
    </row>
    <row r="20" spans="1:6">
      <c r="A20" s="1296" t="s">
        <v>10</v>
      </c>
      <c r="B20" s="1297">
        <v>119</v>
      </c>
      <c r="C20" s="326"/>
      <c r="D20" s="326"/>
      <c r="E20" s="326"/>
      <c r="F20" s="326"/>
    </row>
    <row r="21" spans="1:6">
      <c r="A21" s="1296" t="s">
        <v>11</v>
      </c>
      <c r="B21" s="1297">
        <v>0</v>
      </c>
      <c r="C21" s="326"/>
      <c r="D21" s="326"/>
      <c r="E21" s="326"/>
      <c r="F21" s="326"/>
    </row>
    <row r="22" spans="1:6">
      <c r="A22" s="1296" t="s">
        <v>12</v>
      </c>
      <c r="B22" s="1297">
        <v>7</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1</v>
      </c>
      <c r="C25" s="326"/>
      <c r="D25" s="326"/>
      <c r="E25" s="326"/>
      <c r="F25" s="326"/>
    </row>
    <row r="26" spans="1:6">
      <c r="A26" s="1296" t="s">
        <v>16</v>
      </c>
      <c r="B26" s="1297">
        <v>188</v>
      </c>
      <c r="C26" s="326"/>
      <c r="D26" s="326"/>
      <c r="E26" s="326"/>
      <c r="F26" s="326"/>
    </row>
    <row r="27" spans="1:6">
      <c r="A27" s="1296" t="s">
        <v>17</v>
      </c>
      <c r="B27" s="1297">
        <v>9</v>
      </c>
      <c r="C27" s="326"/>
      <c r="D27" s="326"/>
      <c r="E27" s="326"/>
      <c r="F27" s="326"/>
    </row>
    <row r="28" spans="1:6">
      <c r="A28" s="1296" t="s">
        <v>18</v>
      </c>
      <c r="B28" s="1298">
        <v>30</v>
      </c>
      <c r="C28" s="326"/>
      <c r="D28" s="326"/>
      <c r="E28" s="326"/>
      <c r="F28" s="326"/>
    </row>
    <row r="29" spans="1:6">
      <c r="A29" s="1296" t="s">
        <v>689</v>
      </c>
      <c r="B29" s="1298">
        <v>90</v>
      </c>
      <c r="C29" s="326"/>
      <c r="D29" s="326"/>
      <c r="E29" s="326"/>
      <c r="F29" s="326"/>
    </row>
    <row r="30" spans="1:6">
      <c r="A30" s="1291" t="s">
        <v>690</v>
      </c>
      <c r="B30" s="1299">
        <v>20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17441.105</v>
      </c>
    </row>
    <row r="36" spans="1:6">
      <c r="A36" s="1296" t="s">
        <v>24</v>
      </c>
      <c r="B36" s="1296" t="s">
        <v>26</v>
      </c>
      <c r="C36" s="1297">
        <v>15</v>
      </c>
      <c r="D36" s="1297">
        <v>2151422.6430000002</v>
      </c>
      <c r="E36" s="1297">
        <v>23</v>
      </c>
      <c r="F36" s="1297">
        <v>597202.83600000001</v>
      </c>
    </row>
    <row r="37" spans="1:6">
      <c r="A37" s="1296" t="s">
        <v>24</v>
      </c>
      <c r="B37" s="1296" t="s">
        <v>27</v>
      </c>
      <c r="C37" s="1297">
        <v>0</v>
      </c>
      <c r="D37" s="1297">
        <v>0</v>
      </c>
      <c r="E37" s="1297">
        <v>0</v>
      </c>
      <c r="F37" s="1297">
        <v>0</v>
      </c>
    </row>
    <row r="38" spans="1:6">
      <c r="A38" s="1296" t="s">
        <v>24</v>
      </c>
      <c r="B38" s="1296" t="s">
        <v>28</v>
      </c>
      <c r="C38" s="1297">
        <v>2</v>
      </c>
      <c r="D38" s="1297">
        <v>899356.66500000004</v>
      </c>
      <c r="E38" s="1297">
        <v>5</v>
      </c>
      <c r="F38" s="1297">
        <v>373772.18800000002</v>
      </c>
    </row>
    <row r="39" spans="1:6">
      <c r="A39" s="1296" t="s">
        <v>29</v>
      </c>
      <c r="B39" s="1296" t="s">
        <v>30</v>
      </c>
      <c r="C39" s="1297">
        <v>29757</v>
      </c>
      <c r="D39" s="1297">
        <v>439234362.5</v>
      </c>
      <c r="E39" s="1297">
        <v>46540</v>
      </c>
      <c r="F39" s="1297">
        <v>131236947.2</v>
      </c>
    </row>
    <row r="40" spans="1:6">
      <c r="A40" s="1296" t="s">
        <v>29</v>
      </c>
      <c r="B40" s="1296" t="s">
        <v>28</v>
      </c>
      <c r="C40" s="1297">
        <v>0</v>
      </c>
      <c r="D40" s="1297">
        <v>0</v>
      </c>
      <c r="E40" s="1297">
        <v>0</v>
      </c>
      <c r="F40" s="1297">
        <v>0</v>
      </c>
    </row>
    <row r="41" spans="1:6">
      <c r="A41" s="1296" t="s">
        <v>31</v>
      </c>
      <c r="B41" s="1296" t="s">
        <v>32</v>
      </c>
      <c r="C41" s="1297">
        <v>238</v>
      </c>
      <c r="D41" s="1297">
        <v>28493590.989999998</v>
      </c>
      <c r="E41" s="1297">
        <v>537</v>
      </c>
      <c r="F41" s="1297">
        <v>29349865.780000001</v>
      </c>
    </row>
    <row r="42" spans="1:6">
      <c r="A42" s="1296" t="s">
        <v>31</v>
      </c>
      <c r="B42" s="1296" t="s">
        <v>33</v>
      </c>
      <c r="C42" s="1297">
        <v>0</v>
      </c>
      <c r="D42" s="1297">
        <v>0</v>
      </c>
      <c r="E42" s="1297">
        <v>3</v>
      </c>
      <c r="F42" s="1297">
        <v>29467.9</v>
      </c>
    </row>
    <row r="43" spans="1:6">
      <c r="A43" s="1296" t="s">
        <v>31</v>
      </c>
      <c r="B43" s="1296" t="s">
        <v>34</v>
      </c>
      <c r="C43" s="1297">
        <v>0</v>
      </c>
      <c r="D43" s="1297">
        <v>0</v>
      </c>
      <c r="E43" s="1297">
        <v>0</v>
      </c>
      <c r="F43" s="1297">
        <v>0</v>
      </c>
    </row>
    <row r="44" spans="1:6">
      <c r="A44" s="1296" t="s">
        <v>31</v>
      </c>
      <c r="B44" s="1296" t="s">
        <v>35</v>
      </c>
      <c r="C44" s="1297">
        <v>4</v>
      </c>
      <c r="D44" s="1297">
        <v>103027.77499999999</v>
      </c>
      <c r="E44" s="1297">
        <v>36</v>
      </c>
      <c r="F44" s="1297">
        <v>1885089.325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24</v>
      </c>
      <c r="D47" s="1297">
        <v>1713540.453</v>
      </c>
      <c r="E47" s="1297">
        <v>36</v>
      </c>
      <c r="F47" s="1297">
        <v>327658.07299999997</v>
      </c>
    </row>
    <row r="48" spans="1:6">
      <c r="A48" s="1296" t="s">
        <v>31</v>
      </c>
      <c r="B48" s="1296" t="s">
        <v>28</v>
      </c>
      <c r="C48" s="1297">
        <v>94</v>
      </c>
      <c r="D48" s="1297">
        <v>84467248.019999996</v>
      </c>
      <c r="E48" s="1297">
        <v>117</v>
      </c>
      <c r="F48" s="1297">
        <v>50426962.950000003</v>
      </c>
    </row>
    <row r="49" spans="1:6">
      <c r="A49" s="1296" t="s">
        <v>31</v>
      </c>
      <c r="B49" s="1296" t="s">
        <v>39</v>
      </c>
      <c r="C49" s="1297">
        <v>8</v>
      </c>
      <c r="D49" s="1297">
        <v>226394.976</v>
      </c>
      <c r="E49" s="1297">
        <v>16</v>
      </c>
      <c r="F49" s="1297">
        <v>126061.374</v>
      </c>
    </row>
    <row r="50" spans="1:6">
      <c r="A50" s="1296" t="s">
        <v>31</v>
      </c>
      <c r="B50" s="1296" t="s">
        <v>40</v>
      </c>
      <c r="C50" s="1297">
        <v>39</v>
      </c>
      <c r="D50" s="1297">
        <v>5781663.7939999998</v>
      </c>
      <c r="E50" s="1297">
        <v>66</v>
      </c>
      <c r="F50" s="1297">
        <v>31734305.059999999</v>
      </c>
    </row>
    <row r="51" spans="1:6">
      <c r="A51" s="1296" t="s">
        <v>41</v>
      </c>
      <c r="B51" s="1296" t="s">
        <v>42</v>
      </c>
      <c r="C51" s="1297">
        <v>62</v>
      </c>
      <c r="D51" s="1297">
        <v>2506173.878</v>
      </c>
      <c r="E51" s="1297">
        <v>113</v>
      </c>
      <c r="F51" s="1297">
        <v>1046239.133</v>
      </c>
    </row>
    <row r="52" spans="1:6">
      <c r="A52" s="1296" t="s">
        <v>41</v>
      </c>
      <c r="B52" s="1296" t="s">
        <v>28</v>
      </c>
      <c r="C52" s="1297">
        <v>18</v>
      </c>
      <c r="D52" s="1297">
        <v>706183.53599999996</v>
      </c>
      <c r="E52" s="1297">
        <v>23</v>
      </c>
      <c r="F52" s="1297">
        <v>1066363.118</v>
      </c>
    </row>
    <row r="53" spans="1:6">
      <c r="A53" s="1296" t="s">
        <v>43</v>
      </c>
      <c r="B53" s="1296" t="s">
        <v>44</v>
      </c>
      <c r="C53" s="1297">
        <v>1475</v>
      </c>
      <c r="D53" s="1297">
        <v>38569828.229999997</v>
      </c>
      <c r="E53" s="1297">
        <v>2931</v>
      </c>
      <c r="F53" s="1297">
        <v>10427462.02</v>
      </c>
    </row>
    <row r="54" spans="1:6">
      <c r="A54" s="1296" t="s">
        <v>45</v>
      </c>
      <c r="B54" s="1296" t="s">
        <v>46</v>
      </c>
      <c r="C54" s="1297">
        <v>0</v>
      </c>
      <c r="D54" s="1297">
        <v>0</v>
      </c>
      <c r="E54" s="1297">
        <v>1</v>
      </c>
      <c r="F54" s="1297">
        <v>5268843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294</v>
      </c>
      <c r="D57" s="1297">
        <v>24935696.210000001</v>
      </c>
      <c r="E57" s="1297">
        <v>506</v>
      </c>
      <c r="F57" s="1297">
        <v>23410473.77</v>
      </c>
    </row>
    <row r="58" spans="1:6">
      <c r="A58" s="1296" t="s">
        <v>48</v>
      </c>
      <c r="B58" s="1296" t="s">
        <v>50</v>
      </c>
      <c r="C58" s="1297">
        <v>339</v>
      </c>
      <c r="D58" s="1297">
        <v>25150246.949999999</v>
      </c>
      <c r="E58" s="1297">
        <v>489</v>
      </c>
      <c r="F58" s="1297">
        <v>8824260.3049999997</v>
      </c>
    </row>
    <row r="59" spans="1:6">
      <c r="A59" s="1296" t="s">
        <v>48</v>
      </c>
      <c r="B59" s="1296" t="s">
        <v>51</v>
      </c>
      <c r="C59" s="1297">
        <v>574</v>
      </c>
      <c r="D59" s="1297">
        <v>28742225.710000001</v>
      </c>
      <c r="E59" s="1297">
        <v>1160</v>
      </c>
      <c r="F59" s="1297">
        <v>41685797.990000002</v>
      </c>
    </row>
    <row r="60" spans="1:6">
      <c r="A60" s="1296" t="s">
        <v>48</v>
      </c>
      <c r="B60" s="1296" t="s">
        <v>52</v>
      </c>
      <c r="C60" s="1297">
        <v>668</v>
      </c>
      <c r="D60" s="1297">
        <v>225324217.80000001</v>
      </c>
      <c r="E60" s="1297">
        <v>793</v>
      </c>
      <c r="F60" s="1297">
        <v>262270431.59999999</v>
      </c>
    </row>
    <row r="61" spans="1:6">
      <c r="A61" s="1296" t="s">
        <v>48</v>
      </c>
      <c r="B61" s="1296" t="s">
        <v>53</v>
      </c>
      <c r="C61" s="1297">
        <v>1893</v>
      </c>
      <c r="D61" s="1297">
        <v>150984240.90000001</v>
      </c>
      <c r="E61" s="1297">
        <v>4081</v>
      </c>
      <c r="F61" s="1297">
        <v>103317151.59999999</v>
      </c>
    </row>
    <row r="62" spans="1:6">
      <c r="A62" s="1296" t="s">
        <v>48</v>
      </c>
      <c r="B62" s="1296" t="s">
        <v>54</v>
      </c>
      <c r="C62" s="1297">
        <v>105</v>
      </c>
      <c r="D62" s="1297">
        <v>14756409.58</v>
      </c>
      <c r="E62" s="1297">
        <v>121</v>
      </c>
      <c r="F62" s="1297">
        <v>3088196.68</v>
      </c>
    </row>
    <row r="63" spans="1:6">
      <c r="A63" s="1296" t="s">
        <v>48</v>
      </c>
      <c r="B63" s="1296" t="s">
        <v>28</v>
      </c>
      <c r="C63" s="1297">
        <v>398</v>
      </c>
      <c r="D63" s="1297">
        <v>92664252.900000006</v>
      </c>
      <c r="E63" s="1297">
        <v>407</v>
      </c>
      <c r="F63" s="1297">
        <v>29935074.379999999</v>
      </c>
    </row>
    <row r="64" spans="1:6">
      <c r="A64" s="1296" t="s">
        <v>55</v>
      </c>
      <c r="B64" s="1296" t="s">
        <v>56</v>
      </c>
      <c r="C64" s="1297">
        <v>0</v>
      </c>
      <c r="D64" s="1297">
        <v>0</v>
      </c>
      <c r="E64" s="1297">
        <v>0</v>
      </c>
      <c r="F64" s="1297">
        <v>0</v>
      </c>
    </row>
    <row r="65" spans="1:6">
      <c r="A65" s="1296" t="s">
        <v>55</v>
      </c>
      <c r="B65" s="1296" t="s">
        <v>28</v>
      </c>
      <c r="C65" s="1297">
        <v>14</v>
      </c>
      <c r="D65" s="1297">
        <v>3884823.0070000002</v>
      </c>
      <c r="E65" s="1297">
        <v>9</v>
      </c>
      <c r="F65" s="1297">
        <v>87600.633000000002</v>
      </c>
    </row>
    <row r="66" spans="1:6">
      <c r="A66" s="1296" t="s">
        <v>55</v>
      </c>
      <c r="B66" s="1296" t="s">
        <v>57</v>
      </c>
      <c r="C66" s="1297">
        <v>0</v>
      </c>
      <c r="D66" s="1297">
        <v>0</v>
      </c>
      <c r="E66" s="1297">
        <v>64</v>
      </c>
      <c r="F66" s="1297">
        <v>3433207.932</v>
      </c>
    </row>
    <row r="67" spans="1:6">
      <c r="A67" s="1296" t="s">
        <v>55</v>
      </c>
      <c r="B67" s="1296" t="s">
        <v>58</v>
      </c>
      <c r="C67" s="1297">
        <v>0</v>
      </c>
      <c r="D67" s="1297">
        <v>0</v>
      </c>
      <c r="E67" s="1297">
        <v>0</v>
      </c>
      <c r="F67" s="1297">
        <v>0</v>
      </c>
    </row>
    <row r="68" spans="1:6">
      <c r="A68" s="1291" t="s">
        <v>55</v>
      </c>
      <c r="B68" s="1291" t="s">
        <v>59</v>
      </c>
      <c r="C68" s="1299">
        <v>10</v>
      </c>
      <c r="D68" s="1299">
        <v>587794.00100000005</v>
      </c>
      <c r="E68" s="1299">
        <v>26</v>
      </c>
      <c r="F68" s="1299">
        <v>1864224.804</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180798950</v>
      </c>
      <c r="E73" s="444"/>
      <c r="F73" s="326"/>
    </row>
    <row r="74" spans="1:6">
      <c r="A74" s="1296" t="s">
        <v>63</v>
      </c>
      <c r="B74" s="1296" t="s">
        <v>633</v>
      </c>
      <c r="C74" s="1309" t="s">
        <v>635</v>
      </c>
      <c r="D74" s="1297">
        <v>6398115.5</v>
      </c>
      <c r="E74" s="444"/>
      <c r="F74" s="326"/>
    </row>
    <row r="75" spans="1:6">
      <c r="A75" s="1296" t="s">
        <v>64</v>
      </c>
      <c r="B75" s="1296" t="s">
        <v>632</v>
      </c>
      <c r="C75" s="1309" t="s">
        <v>636</v>
      </c>
      <c r="D75" s="1297">
        <v>114287333</v>
      </c>
      <c r="E75" s="444"/>
      <c r="F75" s="326"/>
    </row>
    <row r="76" spans="1:6">
      <c r="A76" s="1296" t="s">
        <v>64</v>
      </c>
      <c r="B76" s="1296" t="s">
        <v>633</v>
      </c>
      <c r="C76" s="1309" t="s">
        <v>637</v>
      </c>
      <c r="D76" s="1297">
        <v>696510.5</v>
      </c>
      <c r="E76" s="444"/>
      <c r="F76" s="326"/>
    </row>
    <row r="77" spans="1:6">
      <c r="A77" s="1296" t="s">
        <v>65</v>
      </c>
      <c r="B77" s="1296" t="s">
        <v>632</v>
      </c>
      <c r="C77" s="1309" t="s">
        <v>638</v>
      </c>
      <c r="D77" s="1297">
        <v>383796837</v>
      </c>
      <c r="E77" s="444"/>
      <c r="F77" s="326"/>
    </row>
    <row r="78" spans="1:6">
      <c r="A78" s="1291" t="s">
        <v>65</v>
      </c>
      <c r="B78" s="1291" t="s">
        <v>633</v>
      </c>
      <c r="C78" s="1291" t="s">
        <v>639</v>
      </c>
      <c r="D78" s="1299">
        <v>36312031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6625297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9701.9016582196746</v>
      </c>
      <c r="C91" s="326"/>
      <c r="D91" s="326"/>
      <c r="E91" s="326"/>
      <c r="F91" s="326"/>
    </row>
    <row r="92" spans="1:6">
      <c r="A92" s="1291" t="s">
        <v>68</v>
      </c>
      <c r="B92" s="1292">
        <v>4165.1628155348153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21126</v>
      </c>
      <c r="C97" s="326"/>
      <c r="D97" s="326"/>
      <c r="E97" s="326"/>
      <c r="F97" s="326"/>
    </row>
    <row r="98" spans="1:6">
      <c r="A98" s="1296" t="s">
        <v>71</v>
      </c>
      <c r="B98" s="1297">
        <v>27</v>
      </c>
      <c r="C98" s="326"/>
      <c r="D98" s="326"/>
      <c r="E98" s="326"/>
      <c r="F98" s="326"/>
    </row>
    <row r="99" spans="1:6">
      <c r="A99" s="1296" t="s">
        <v>72</v>
      </c>
      <c r="B99" s="1297">
        <v>177</v>
      </c>
      <c r="C99" s="326"/>
      <c r="D99" s="326"/>
      <c r="E99" s="326"/>
      <c r="F99" s="326"/>
    </row>
    <row r="100" spans="1:6">
      <c r="A100" s="1296" t="s">
        <v>73</v>
      </c>
      <c r="B100" s="1297">
        <v>3087</v>
      </c>
      <c r="C100" s="326"/>
      <c r="D100" s="326"/>
      <c r="E100" s="326"/>
      <c r="F100" s="326"/>
    </row>
    <row r="101" spans="1:6">
      <c r="A101" s="1296" t="s">
        <v>74</v>
      </c>
      <c r="B101" s="1297">
        <v>75</v>
      </c>
      <c r="C101" s="326"/>
      <c r="D101" s="326"/>
      <c r="E101" s="326"/>
      <c r="F101" s="326"/>
    </row>
    <row r="102" spans="1:6">
      <c r="A102" s="1296" t="s">
        <v>75</v>
      </c>
      <c r="B102" s="1297">
        <v>1071</v>
      </c>
      <c r="C102" s="326"/>
      <c r="D102" s="326"/>
      <c r="E102" s="326"/>
      <c r="F102" s="326"/>
    </row>
    <row r="103" spans="1:6">
      <c r="A103" s="1296" t="s">
        <v>76</v>
      </c>
      <c r="B103" s="1297">
        <v>267</v>
      </c>
      <c r="C103" s="326"/>
      <c r="D103" s="326"/>
      <c r="E103" s="326"/>
      <c r="F103" s="326"/>
    </row>
    <row r="104" spans="1:6">
      <c r="A104" s="1296" t="s">
        <v>77</v>
      </c>
      <c r="B104" s="1297">
        <v>12359</v>
      </c>
      <c r="C104" s="326"/>
      <c r="D104" s="326"/>
      <c r="E104" s="326"/>
      <c r="F104" s="326"/>
    </row>
    <row r="105" spans="1:6">
      <c r="A105" s="1291" t="s">
        <v>78</v>
      </c>
      <c r="B105" s="1299">
        <v>69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3</v>
      </c>
      <c r="C121" s="1297">
        <v>0</v>
      </c>
      <c r="D121" s="326"/>
      <c r="E121" s="326"/>
      <c r="F121" s="326"/>
    </row>
    <row r="122" spans="1:6">
      <c r="A122" s="1296" t="s">
        <v>86</v>
      </c>
      <c r="B122" s="1297">
        <v>1</v>
      </c>
      <c r="C122" s="1297">
        <v>0</v>
      </c>
      <c r="D122" s="326"/>
      <c r="E122" s="326"/>
      <c r="F122" s="326"/>
    </row>
    <row r="123" spans="1:6">
      <c r="A123" s="1296" t="s">
        <v>87</v>
      </c>
      <c r="B123" s="1297">
        <v>111</v>
      </c>
      <c r="C123" s="1297">
        <v>166</v>
      </c>
      <c r="D123" s="326"/>
      <c r="E123" s="326"/>
      <c r="F123" s="326"/>
    </row>
    <row r="124" spans="1:6">
      <c r="A124" s="1296" t="s">
        <v>88</v>
      </c>
      <c r="B124" s="1297">
        <v>3</v>
      </c>
      <c r="C124" s="1297">
        <v>4</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522</v>
      </c>
      <c r="C129" s="326"/>
      <c r="D129" s="326"/>
      <c r="E129" s="326"/>
      <c r="F129" s="326"/>
    </row>
    <row r="130" spans="1:6">
      <c r="A130" s="1296" t="s">
        <v>283</v>
      </c>
      <c r="B130" s="1297">
        <v>8</v>
      </c>
      <c r="C130" s="326"/>
      <c r="D130" s="326"/>
      <c r="E130" s="326"/>
      <c r="F130" s="326"/>
    </row>
    <row r="131" spans="1:6">
      <c r="A131" s="1296" t="s">
        <v>284</v>
      </c>
      <c r="B131" s="1297">
        <v>18</v>
      </c>
      <c r="C131" s="326"/>
      <c r="D131" s="326"/>
      <c r="E131" s="326"/>
      <c r="F131" s="326"/>
    </row>
    <row r="132" spans="1:6">
      <c r="A132" s="1291" t="s">
        <v>285</v>
      </c>
      <c r="B132" s="1292">
        <v>42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747657.04205170705</v>
      </c>
      <c r="C3" s="43" t="s">
        <v>163</v>
      </c>
      <c r="D3" s="43"/>
      <c r="E3" s="154"/>
      <c r="F3" s="43"/>
      <c r="G3" s="43"/>
      <c r="H3" s="43"/>
      <c r="I3" s="43"/>
      <c r="J3" s="43"/>
      <c r="K3" s="96"/>
    </row>
    <row r="4" spans="1:11">
      <c r="A4" s="352" t="s">
        <v>164</v>
      </c>
      <c r="B4" s="49">
        <f>IF(ISERROR('SEAP template'!B78+'SEAP template'!C78),0,'SEAP template'!B78+'SEAP template'!C78)</f>
        <v>15321.864473754489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11.960099844501391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0.21648700572712334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17.093583553182018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72.604247104247108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0.23543503630908252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5268.8429999999998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5268.8429999999998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0.21648700572712334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1140.6360447163138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131236.9472</v>
      </c>
      <c r="C5" s="17">
        <f>IF(ISERROR('Eigen informatie GS &amp; warmtenet'!B59),0,'Eigen informatie GS &amp; warmtenet'!B59)</f>
        <v>0</v>
      </c>
      <c r="D5" s="30">
        <f>(SUM(HH_hh_gas_kWh,HH_rest_gas_kWh)/1000)*0.902</f>
        <v>396189.394975</v>
      </c>
      <c r="E5" s="17">
        <f>B32*B41</f>
        <v>18269.669343239188</v>
      </c>
      <c r="F5" s="17">
        <f>B36*B45</f>
        <v>294531.41974404926</v>
      </c>
      <c r="G5" s="18"/>
      <c r="H5" s="17"/>
      <c r="I5" s="17"/>
      <c r="J5" s="17">
        <f>B35*B44+C35*C44</f>
        <v>1176.6400365299787</v>
      </c>
      <c r="K5" s="17"/>
      <c r="L5" s="17"/>
      <c r="M5" s="17"/>
      <c r="N5" s="17">
        <f>B34*B43+C34*C43</f>
        <v>69203.994632376038</v>
      </c>
      <c r="O5" s="17">
        <f>B52*B53*B54</f>
        <v>1372.8990878158259</v>
      </c>
      <c r="P5" s="17">
        <f>B60*B61*B62/1000-B60*B61*B62/1000/B63</f>
        <v>1643.2976519988636</v>
      </c>
    </row>
    <row r="6" spans="1:16">
      <c r="A6" s="16" t="s">
        <v>598</v>
      </c>
      <c r="B6" s="776">
        <f>kWh_PV_kleiner_dan_10kW</f>
        <v>9701.9016582196746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140938.84885821966</v>
      </c>
      <c r="C8" s="21">
        <f>C5</f>
        <v>0</v>
      </c>
      <c r="D8" s="21">
        <f>D5</f>
        <v>396189.394975</v>
      </c>
      <c r="E8" s="21">
        <f>E5</f>
        <v>18269.669343239188</v>
      </c>
      <c r="F8" s="21">
        <f>F5</f>
        <v>294531.41974404926</v>
      </c>
      <c r="G8" s="21"/>
      <c r="H8" s="21"/>
      <c r="I8" s="21"/>
      <c r="J8" s="21">
        <f>J5</f>
        <v>1176.6400365299787</v>
      </c>
      <c r="K8" s="21"/>
      <c r="L8" s="21">
        <f>L5</f>
        <v>0</v>
      </c>
      <c r="M8" s="21">
        <f>M5</f>
        <v>0</v>
      </c>
      <c r="N8" s="21">
        <f>N5</f>
        <v>69203.994632376038</v>
      </c>
      <c r="O8" s="21">
        <f>O5</f>
        <v>1372.8990878158259</v>
      </c>
      <c r="P8" s="21">
        <f>P5</f>
        <v>1643.2976519988636</v>
      </c>
    </row>
    <row r="9" spans="1:16">
      <c r="B9" s="19"/>
      <c r="C9" s="19"/>
      <c r="D9" s="256"/>
      <c r="E9" s="19"/>
      <c r="F9" s="19"/>
      <c r="G9" s="19"/>
      <c r="H9" s="19"/>
      <c r="I9" s="19"/>
      <c r="J9" s="19"/>
      <c r="K9" s="19"/>
      <c r="L9" s="19"/>
      <c r="M9" s="19"/>
      <c r="N9" s="19"/>
      <c r="O9" s="19"/>
      <c r="P9" s="19"/>
    </row>
    <row r="10" spans="1:16">
      <c r="A10" s="24" t="s">
        <v>207</v>
      </c>
      <c r="B10" s="25">
        <f ca="1">'EF ele_warmte'!B12</f>
        <v>0.21648700572712334</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30511.429379943569</v>
      </c>
      <c r="C12" s="23">
        <f ca="1">C10*C8</f>
        <v>0</v>
      </c>
      <c r="D12" s="23">
        <f>D8*D10</f>
        <v>80030.257784950008</v>
      </c>
      <c r="E12" s="23">
        <f>E10*E8</f>
        <v>4147.2149409152953</v>
      </c>
      <c r="F12" s="23">
        <f>F10*F8</f>
        <v>78639.88907166115</v>
      </c>
      <c r="G12" s="23"/>
      <c r="H12" s="23"/>
      <c r="I12" s="23"/>
      <c r="J12" s="23">
        <f>J10*J8</f>
        <v>416.53057293161243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49606</v>
      </c>
      <c r="C26" s="36"/>
      <c r="D26" s="226"/>
    </row>
    <row r="27" spans="1:7" s="15" customFormat="1">
      <c r="A27" s="228" t="s">
        <v>800</v>
      </c>
      <c r="B27" s="37">
        <f>SUM(HH_hh_gas_aantal,HH_rest_gas_aantal)</f>
        <v>29757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28269.15</v>
      </c>
      <c r="C31" s="166" t="s">
        <v>104</v>
      </c>
      <c r="D31" s="231"/>
      <c r="G31" s="15"/>
    </row>
    <row r="32" spans="1:7">
      <c r="A32" s="169" t="s">
        <v>72</v>
      </c>
      <c r="B32" s="166">
        <f>IF((B21*($B$26-($B$27-0.05*$B$27)-$B$60))&lt;0,0,B21*($B$26-($B$27-0.05*$B$27)-$B$60))</f>
        <v>336.25020225642675</v>
      </c>
      <c r="C32" s="166" t="s">
        <v>104</v>
      </c>
      <c r="D32" s="231"/>
      <c r="G32" s="15"/>
    </row>
    <row r="33" spans="1:7">
      <c r="A33" s="169" t="s">
        <v>73</v>
      </c>
      <c r="B33" s="166">
        <f>IF((B22*($B$26-($B$27-0.05*$B$27)-$B$60))&lt;0,0,B22*($B$26-($B$27-0.05*$B$27)-$B$60))</f>
        <v>5460.0373338093996</v>
      </c>
      <c r="C33" s="166" t="s">
        <v>104</v>
      </c>
      <c r="D33" s="231"/>
      <c r="G33" s="15"/>
    </row>
    <row r="34" spans="1:7">
      <c r="A34" s="169" t="s">
        <v>74</v>
      </c>
      <c r="B34" s="166">
        <f>IF((B24*($B$26-($B$27-0.05*$B$27)-$B$60))&lt;0,0,B24*($B$26-($B$27-0.05*$B$27)-$B$60))</f>
        <v>1046.7622256448437</v>
      </c>
      <c r="C34" s="166">
        <f>B26*C24</f>
        <v>10164.564050043431</v>
      </c>
      <c r="D34" s="231"/>
      <c r="G34" s="15"/>
    </row>
    <row r="35" spans="1:7">
      <c r="A35" s="169" t="s">
        <v>76</v>
      </c>
      <c r="B35" s="166">
        <f>IF((B19*($B$26-($B$27-0.05*$B$27)-$B$60))&lt;0,0,B19*($B$26-($B$27-0.05*$B$27)-$B$60))</f>
        <v>146.16716127844444</v>
      </c>
      <c r="C35" s="166">
        <f>B35/2</f>
        <v>73.08358063922222</v>
      </c>
      <c r="D35" s="232"/>
      <c r="G35" s="15"/>
    </row>
    <row r="36" spans="1:7">
      <c r="A36" s="169" t="s">
        <v>77</v>
      </c>
      <c r="B36" s="166">
        <f>IF((B18*($B$26-($B$27-0.05*$B$27)-$B$60))&lt;0,0,B18*($B$26-($B$27-0.05*$B$27)-$B$60))</f>
        <v>14191.63307701088</v>
      </c>
      <c r="C36" s="166" t="s">
        <v>104</v>
      </c>
      <c r="D36" s="232"/>
      <c r="G36" s="15"/>
    </row>
    <row r="37" spans="1:7">
      <c r="A37" s="169" t="s">
        <v>78</v>
      </c>
      <c r="B37" s="166">
        <f>B60</f>
        <v>156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692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156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472531.38632499997</v>
      </c>
      <c r="C5" s="17">
        <f>IF(ISERROR('Eigen informatie GS &amp; warmtenet'!B60),0,'Eigen informatie GS &amp; warmtenet'!B60)</f>
        <v>0</v>
      </c>
      <c r="D5" s="30">
        <f>SUM(D6:D12)</f>
        <v>507426.67562510009</v>
      </c>
      <c r="E5" s="17">
        <f>SUM(E6:E12)</f>
        <v>5284.030278744257</v>
      </c>
      <c r="F5" s="17">
        <f>SUM(F6:F12)</f>
        <v>56324.923623266819</v>
      </c>
      <c r="G5" s="18"/>
      <c r="H5" s="17"/>
      <c r="I5" s="17"/>
      <c r="J5" s="17">
        <f>SUM(J6:J12)</f>
        <v>0.45478646774358955</v>
      </c>
      <c r="K5" s="17"/>
      <c r="L5" s="17"/>
      <c r="M5" s="17"/>
      <c r="N5" s="17">
        <f>SUM(N6:N12)</f>
        <v>17941.107833961876</v>
      </c>
      <c r="O5" s="17">
        <f>B38*B39*B40</f>
        <v>39.178086126729234</v>
      </c>
      <c r="P5" s="17">
        <f>B46*B47*B48/1000-B46*B47*B48/1000/B49</f>
        <v>1155.8610427428903</v>
      </c>
      <c r="R5" s="32"/>
    </row>
    <row r="6" spans="1:18">
      <c r="A6" s="32" t="s">
        <v>53</v>
      </c>
      <c r="B6" s="37">
        <f>B26</f>
        <v>103317.1516</v>
      </c>
      <c r="C6" s="33"/>
      <c r="D6" s="37">
        <f>IF(ISERROR(TER_kantoor_gas_kWh/1000),0,TER_kantoor_gas_kWh/1000)*0.902</f>
        <v>136187.78529180001</v>
      </c>
      <c r="E6" s="33">
        <f>$C$26*'E Balans VL '!I12/100/3.6*1000000</f>
        <v>831.35999283664444</v>
      </c>
      <c r="F6" s="33">
        <f>$C$26*('E Balans VL '!L12+'E Balans VL '!N12)/100/3.6*1000000</f>
        <v>12631.608644738242</v>
      </c>
      <c r="G6" s="34"/>
      <c r="H6" s="33"/>
      <c r="I6" s="33"/>
      <c r="J6" s="33">
        <f>$C$26*('E Balans VL '!D12+'E Balans VL '!E12)/100/3.6*1000000</f>
        <v>0</v>
      </c>
      <c r="K6" s="33"/>
      <c r="L6" s="33"/>
      <c r="M6" s="33"/>
      <c r="N6" s="33">
        <f>$C$26*'E Balans VL '!Y12/100/3.6*1000000</f>
        <v>55.52788116596124</v>
      </c>
      <c r="O6" s="33"/>
      <c r="P6" s="33"/>
      <c r="R6" s="32"/>
    </row>
    <row r="7" spans="1:18">
      <c r="A7" s="32" t="s">
        <v>52</v>
      </c>
      <c r="B7" s="37">
        <f t="shared" ref="B7:B12" si="0">B27</f>
        <v>262270.43160000001</v>
      </c>
      <c r="C7" s="33"/>
      <c r="D7" s="37">
        <f>IF(ISERROR(TER_horeca_gas_kWh/1000),0,TER_horeca_gas_kWh/1000)*0.902</f>
        <v>203242.44445560002</v>
      </c>
      <c r="E7" s="33">
        <f>$C$27*'E Balans VL '!I9/100/3.6*1000000</f>
        <v>2816.1404117975185</v>
      </c>
      <c r="F7" s="33">
        <f>$C$27*('E Balans VL '!L9+'E Balans VL '!N9)/100/3.6*1000000</f>
        <v>31544.773206378413</v>
      </c>
      <c r="G7" s="34"/>
      <c r="H7" s="33"/>
      <c r="I7" s="33"/>
      <c r="J7" s="33">
        <f>$C$27*('E Balans VL '!D9+'E Balans VL '!E9)/100/3.6*1000000</f>
        <v>0</v>
      </c>
      <c r="K7" s="33"/>
      <c r="L7" s="33"/>
      <c r="M7" s="33"/>
      <c r="N7" s="33">
        <f>$C$27*'E Balans VL '!Y9/100/3.6*1000000</f>
        <v>39.319653301354641</v>
      </c>
      <c r="O7" s="33"/>
      <c r="P7" s="33"/>
      <c r="R7" s="32"/>
    </row>
    <row r="8" spans="1:18">
      <c r="A8" s="6" t="s">
        <v>51</v>
      </c>
      <c r="B8" s="37">
        <f t="shared" si="0"/>
        <v>41685.797989999999</v>
      </c>
      <c r="C8" s="33"/>
      <c r="D8" s="37">
        <f>IF(ISERROR(TER_handel_gas_kWh/1000),0,TER_handel_gas_kWh/1000)*0.902</f>
        <v>25925.487590420002</v>
      </c>
      <c r="E8" s="33">
        <f>$C$28*'E Balans VL '!I13/100/3.6*1000000</f>
        <v>1118.7191982190673</v>
      </c>
      <c r="F8" s="33">
        <f>$C$28*('E Balans VL '!L13+'E Balans VL '!N13)/100/3.6*1000000</f>
        <v>3978.1099176680304</v>
      </c>
      <c r="G8" s="34"/>
      <c r="H8" s="33"/>
      <c r="I8" s="33"/>
      <c r="J8" s="33">
        <f>$C$28*('E Balans VL '!D13+'E Balans VL '!E13)/100/3.6*1000000</f>
        <v>0</v>
      </c>
      <c r="K8" s="33"/>
      <c r="L8" s="33"/>
      <c r="M8" s="33"/>
      <c r="N8" s="33">
        <f>$C$28*'E Balans VL '!Y13/100/3.6*1000000</f>
        <v>16.524724306828215</v>
      </c>
      <c r="O8" s="33"/>
      <c r="P8" s="33"/>
      <c r="R8" s="32"/>
    </row>
    <row r="9" spans="1:18">
      <c r="A9" s="32" t="s">
        <v>50</v>
      </c>
      <c r="B9" s="37">
        <f t="shared" si="0"/>
        <v>8824.2603049999998</v>
      </c>
      <c r="C9" s="33"/>
      <c r="D9" s="37">
        <f>IF(ISERROR(TER_gezond_gas_kWh/1000),0,TER_gezond_gas_kWh/1000)*0.902</f>
        <v>22685.522748900003</v>
      </c>
      <c r="E9" s="33">
        <f>$C$29*'E Balans VL '!I10/100/3.6*1000000</f>
        <v>16.539537115495076</v>
      </c>
      <c r="F9" s="33">
        <f>$C$29*('E Balans VL '!L10+'E Balans VL '!N10)/100/3.6*1000000</f>
        <v>725.43471224232212</v>
      </c>
      <c r="G9" s="34"/>
      <c r="H9" s="33"/>
      <c r="I9" s="33"/>
      <c r="J9" s="33">
        <f>$C$29*('E Balans VL '!D10+'E Balans VL '!E10)/100/3.6*1000000</f>
        <v>0</v>
      </c>
      <c r="K9" s="33"/>
      <c r="L9" s="33"/>
      <c r="M9" s="33"/>
      <c r="N9" s="33">
        <f>$C$29*'E Balans VL '!Y10/100/3.6*1000000</f>
        <v>68.659329017100049</v>
      </c>
      <c r="O9" s="33"/>
      <c r="P9" s="33"/>
      <c r="R9" s="32"/>
    </row>
    <row r="10" spans="1:18">
      <c r="A10" s="32" t="s">
        <v>49</v>
      </c>
      <c r="B10" s="37">
        <f t="shared" si="0"/>
        <v>23410.473770000001</v>
      </c>
      <c r="C10" s="33"/>
      <c r="D10" s="37">
        <f>IF(ISERROR(TER_ander_gas_kWh/1000),0,TER_ander_gas_kWh/1000)*0.902</f>
        <v>22491.997981420001</v>
      </c>
      <c r="E10" s="33">
        <f>$C$30*'E Balans VL '!I14/100/3.6*1000000</f>
        <v>36.087482531120436</v>
      </c>
      <c r="F10" s="33">
        <f>$C$30*('E Balans VL '!L14+'E Balans VL '!N14)/100/3.6*1000000</f>
        <v>3634.4825156091024</v>
      </c>
      <c r="G10" s="34"/>
      <c r="H10" s="33"/>
      <c r="I10" s="33"/>
      <c r="J10" s="33">
        <f>$C$30*('E Balans VL '!D14+'E Balans VL '!E14)/100/3.6*1000000</f>
        <v>0.39741748151196366</v>
      </c>
      <c r="K10" s="33"/>
      <c r="L10" s="33"/>
      <c r="M10" s="33"/>
      <c r="N10" s="33">
        <f>$C$30*'E Balans VL '!Y14/100/3.6*1000000</f>
        <v>15487.619146179704</v>
      </c>
      <c r="O10" s="33"/>
      <c r="P10" s="33"/>
      <c r="R10" s="32"/>
    </row>
    <row r="11" spans="1:18">
      <c r="A11" s="32" t="s">
        <v>54</v>
      </c>
      <c r="B11" s="37">
        <f t="shared" si="0"/>
        <v>3088.19668</v>
      </c>
      <c r="C11" s="33"/>
      <c r="D11" s="37">
        <f>IF(ISERROR(TER_onderwijs_gas_kWh/1000),0,TER_onderwijs_gas_kWh/1000)*0.902</f>
        <v>13310.281441159999</v>
      </c>
      <c r="E11" s="33">
        <f>$C$31*'E Balans VL '!I11/100/3.6*1000000</f>
        <v>78.770107897601676</v>
      </c>
      <c r="F11" s="33">
        <f>$C$31*('E Balans VL '!L11+'E Balans VL '!N11)/100/3.6*1000000</f>
        <v>371.38471798407039</v>
      </c>
      <c r="G11" s="34"/>
      <c r="H11" s="33"/>
      <c r="I11" s="33"/>
      <c r="J11" s="33">
        <f>$C$31*('E Balans VL '!D11+'E Balans VL '!E11)/100/3.6*1000000</f>
        <v>0</v>
      </c>
      <c r="K11" s="33"/>
      <c r="L11" s="33"/>
      <c r="M11" s="33"/>
      <c r="N11" s="33">
        <f>$C$31*'E Balans VL '!Y11/100/3.6*1000000</f>
        <v>6.8680740636717186</v>
      </c>
      <c r="O11" s="33"/>
      <c r="P11" s="33"/>
      <c r="R11" s="32"/>
    </row>
    <row r="12" spans="1:18">
      <c r="A12" s="32" t="s">
        <v>248</v>
      </c>
      <c r="B12" s="37">
        <f t="shared" si="0"/>
        <v>29935.074379999998</v>
      </c>
      <c r="C12" s="33"/>
      <c r="D12" s="37">
        <f>IF(ISERROR(TER_rest_gas_kWh/1000),0,TER_rest_gas_kWh/1000)*0.902</f>
        <v>83583.156115800011</v>
      </c>
      <c r="E12" s="33">
        <f>$C$32*'E Balans VL '!I8/100/3.6*1000000</f>
        <v>386.41354834681005</v>
      </c>
      <c r="F12" s="33">
        <f>$C$32*('E Balans VL '!L8+'E Balans VL '!N8)/100/3.6*1000000</f>
        <v>3439.1299086466438</v>
      </c>
      <c r="G12" s="34"/>
      <c r="H12" s="33"/>
      <c r="I12" s="33"/>
      <c r="J12" s="33">
        <f>$C$32*('E Balans VL '!D8+'E Balans VL '!E8)/100/3.6*1000000</f>
        <v>5.736898623162591E-2</v>
      </c>
      <c r="K12" s="33"/>
      <c r="L12" s="33"/>
      <c r="M12" s="33"/>
      <c r="N12" s="33">
        <f>$C$32*'E Balans VL '!Y8/100/3.6*1000000</f>
        <v>2266.5890259272574</v>
      </c>
      <c r="O12" s="33"/>
      <c r="P12" s="33"/>
      <c r="R12" s="32"/>
    </row>
    <row r="13" spans="1:18">
      <c r="A13" s="16" t="s">
        <v>465</v>
      </c>
      <c r="B13" s="245">
        <f ca="1">'lokale energieproductie'!N39+'lokale energieproductie'!N32</f>
        <v>1454.8</v>
      </c>
      <c r="C13" s="245">
        <f ca="1">'lokale energieproductie'!O39+'lokale energieproductie'!O32</f>
        <v>72.604247104247108</v>
      </c>
      <c r="D13" s="304">
        <f ca="1">('lokale energieproductie'!P32+'lokale energieproductie'!P39)*(-1)</f>
        <v>-143.83011583011586</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-4011.4285714285716</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473986.18632499996</v>
      </c>
      <c r="C16" s="21">
        <f t="shared" ca="1" si="1"/>
        <v>72.604247104247108</v>
      </c>
      <c r="D16" s="21">
        <f t="shared" ca="1" si="1"/>
        <v>507282.84550926997</v>
      </c>
      <c r="E16" s="21">
        <f t="shared" si="1"/>
        <v>5284.030278744257</v>
      </c>
      <c r="F16" s="21">
        <f t="shared" ca="1" si="1"/>
        <v>56324.923623266819</v>
      </c>
      <c r="G16" s="21">
        <f t="shared" si="1"/>
        <v>0</v>
      </c>
      <c r="H16" s="21">
        <f t="shared" si="1"/>
        <v>0</v>
      </c>
      <c r="I16" s="21">
        <f t="shared" si="1"/>
        <v>0</v>
      </c>
      <c r="J16" s="21">
        <f t="shared" si="1"/>
        <v>0.45478646774358955</v>
      </c>
      <c r="K16" s="21">
        <f t="shared" si="1"/>
        <v>0</v>
      </c>
      <c r="L16" s="21">
        <f t="shared" ca="1" si="1"/>
        <v>0</v>
      </c>
      <c r="M16" s="21">
        <f t="shared" si="1"/>
        <v>0</v>
      </c>
      <c r="N16" s="21">
        <f t="shared" ca="1" si="1"/>
        <v>13929.679262533304</v>
      </c>
      <c r="O16" s="21">
        <f>O5</f>
        <v>39.178086126729234</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0.21648700572712334</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102611.85023351762</v>
      </c>
      <c r="C20" s="23">
        <f t="shared" ref="C20:P20" ca="1" si="2">C16*C18</f>
        <v>17.093583553182018</v>
      </c>
      <c r="D20" s="23">
        <f t="shared" ca="1" si="2"/>
        <v>102471.13479287254</v>
      </c>
      <c r="E20" s="23">
        <f t="shared" si="2"/>
        <v>1199.4748732749463</v>
      </c>
      <c r="F20" s="23">
        <f t="shared" ca="1" si="2"/>
        <v>15038.754607412242</v>
      </c>
      <c r="G20" s="23">
        <f t="shared" si="2"/>
        <v>0</v>
      </c>
      <c r="H20" s="23">
        <f t="shared" si="2"/>
        <v>0</v>
      </c>
      <c r="I20" s="23">
        <f t="shared" si="2"/>
        <v>0</v>
      </c>
      <c r="J20" s="23">
        <f t="shared" si="2"/>
        <v>0.16099440958123068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103317.1516</v>
      </c>
      <c r="C26" s="39">
        <f>IF(ISERROR(B26*3.6/1000000/'E Balans VL '!Z12*100),0,B26*3.6/1000000/'E Balans VL '!Z12*100)</f>
        <v>2.1917788468548625</v>
      </c>
      <c r="D26" s="235" t="s">
        <v>692</v>
      </c>
      <c r="F26" s="6"/>
    </row>
    <row r="27" spans="1:18">
      <c r="A27" s="229" t="s">
        <v>52</v>
      </c>
      <c r="B27" s="33">
        <f>IF(ISERROR(TER_horeca_ele_kWh/1000),0,TER_horeca_ele_kWh/1000)</f>
        <v>262270.43160000001</v>
      </c>
      <c r="C27" s="39">
        <f>IF(ISERROR(B27*3.6/1000000/'E Balans VL '!Z9*100),0,B27*3.6/1000000/'E Balans VL '!Z9*100)</f>
        <v>19.751286823818191</v>
      </c>
      <c r="D27" s="235" t="s">
        <v>692</v>
      </c>
      <c r="F27" s="6"/>
    </row>
    <row r="28" spans="1:18">
      <c r="A28" s="169" t="s">
        <v>51</v>
      </c>
      <c r="B28" s="33">
        <f>IF(ISERROR(TER_handel_ele_kWh/1000),0,TER_handel_ele_kWh/1000)</f>
        <v>41685.797989999999</v>
      </c>
      <c r="C28" s="39">
        <f>IF(ISERROR(B28*3.6/1000000/'E Balans VL '!Z13*100),0,B28*3.6/1000000/'E Balans VL '!Z13*100)</f>
        <v>1.209991011343265</v>
      </c>
      <c r="D28" s="235" t="s">
        <v>692</v>
      </c>
      <c r="F28" s="6"/>
    </row>
    <row r="29" spans="1:18">
      <c r="A29" s="229" t="s">
        <v>50</v>
      </c>
      <c r="B29" s="33">
        <f>IF(ISERROR(TER_gezond_ele_kWh/1000),0,TER_gezond_ele_kWh/1000)</f>
        <v>8824.2603049999998</v>
      </c>
      <c r="C29" s="39">
        <f>IF(ISERROR(B29*3.6/1000000/'E Balans VL '!Z10*100),0,B29*3.6/1000000/'E Balans VL '!Z10*100)</f>
        <v>0.88993717511827064</v>
      </c>
      <c r="D29" s="235" t="s">
        <v>692</v>
      </c>
      <c r="F29" s="6"/>
    </row>
    <row r="30" spans="1:18">
      <c r="A30" s="229" t="s">
        <v>49</v>
      </c>
      <c r="B30" s="33">
        <f>IF(ISERROR(TER_ander_ele_kWh/1000),0,TER_ander_ele_kWh/1000)</f>
        <v>23410.473770000001</v>
      </c>
      <c r="C30" s="39">
        <f>IF(ISERROR(B30*3.6/1000000/'E Balans VL '!Z14*100),0,B30*3.6/1000000/'E Balans VL '!Z14*100)</f>
        <v>1.6987492494351968</v>
      </c>
      <c r="D30" s="235" t="s">
        <v>692</v>
      </c>
      <c r="F30" s="6"/>
    </row>
    <row r="31" spans="1:18">
      <c r="A31" s="229" t="s">
        <v>54</v>
      </c>
      <c r="B31" s="33">
        <f>IF(ISERROR(TER_onderwijs_ele_kWh/1000),0,TER_onderwijs_ele_kWh/1000)</f>
        <v>3088.19668</v>
      </c>
      <c r="C31" s="39">
        <f>IF(ISERROR(B31*3.6/1000000/'E Balans VL '!Z11*100),0,B31*3.6/1000000/'E Balans VL '!Z11*100)</f>
        <v>0.88026181102452195</v>
      </c>
      <c r="D31" s="235" t="s">
        <v>692</v>
      </c>
    </row>
    <row r="32" spans="1:18">
      <c r="A32" s="229" t="s">
        <v>248</v>
      </c>
      <c r="B32" s="33">
        <f>IF(ISERROR(TER_rest_ele_kWh/1000),0,TER_rest_ele_kWh/1000)</f>
        <v>29935.074379999998</v>
      </c>
      <c r="C32" s="39">
        <f>IF(ISERROR(B32*3.6/1000000/'E Balans VL '!Z8*100),0,B32*3.6/1000000/'E Balans VL '!Z8*100)</f>
        <v>0.24522203183178015</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8</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113879.410462</v>
      </c>
      <c r="C5" s="17">
        <f>IF(ISERROR('Eigen informatie GS &amp; warmtenet'!B61),0,'Eigen informatie GS &amp; warmtenet'!B61)</f>
        <v>0</v>
      </c>
      <c r="D5" s="30">
        <f>SUM(D6:D15)</f>
        <v>108948.490339216</v>
      </c>
      <c r="E5" s="17">
        <f>SUM(E6:E15)</f>
        <v>10587.220994441062</v>
      </c>
      <c r="F5" s="17">
        <f>SUM(F6:F15)</f>
        <v>35190.401841068182</v>
      </c>
      <c r="G5" s="18"/>
      <c r="H5" s="17"/>
      <c r="I5" s="17"/>
      <c r="J5" s="17">
        <f>SUM(J6:J15)</f>
        <v>454.33157168327989</v>
      </c>
      <c r="K5" s="17"/>
      <c r="L5" s="17"/>
      <c r="M5" s="17"/>
      <c r="N5" s="17">
        <f>SUM(N6:N15)</f>
        <v>5985.5176190260509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1885.0893249999999</v>
      </c>
      <c r="C8" s="33"/>
      <c r="D8" s="37">
        <f>IF( ISERROR(IND_metaal_Gas_kWH/1000),0,IND_metaal_Gas_kWH/1000)*0.902</f>
        <v>92.931053049999989</v>
      </c>
      <c r="E8" s="33">
        <f>C30*'E Balans VL '!I18/100/3.6*1000000</f>
        <v>13.599596400532299</v>
      </c>
      <c r="F8" s="33">
        <f>C30*'E Balans VL '!L18/100/3.6*1000000+C30*'E Balans VL '!N18/100/3.6*1000000</f>
        <v>178.29469153269517</v>
      </c>
      <c r="G8" s="34"/>
      <c r="H8" s="33"/>
      <c r="I8" s="33"/>
      <c r="J8" s="40">
        <f>C30*'E Balans VL '!D18/100/3.6*1000000+C30*'E Balans VL '!E18/100/3.6*1000000</f>
        <v>1.8960337977125361</v>
      </c>
      <c r="K8" s="33"/>
      <c r="L8" s="33"/>
      <c r="M8" s="33"/>
      <c r="N8" s="33">
        <f>C30*'E Balans VL '!Y18/100/3.6*1000000</f>
        <v>23.832516521960319</v>
      </c>
      <c r="O8" s="33"/>
      <c r="P8" s="33"/>
      <c r="R8" s="32"/>
    </row>
    <row r="9" spans="1:18">
      <c r="A9" s="6" t="s">
        <v>32</v>
      </c>
      <c r="B9" s="37">
        <f t="shared" si="0"/>
        <v>29349.86578</v>
      </c>
      <c r="C9" s="33"/>
      <c r="D9" s="37">
        <f>IF( ISERROR(IND_andere_gas_kWh/1000),0,IND_andere_gas_kWh/1000)*0.902</f>
        <v>25701.219072979999</v>
      </c>
      <c r="E9" s="33">
        <f>C31*'E Balans VL '!I19/100/3.6*1000000</f>
        <v>8133.2402645113507</v>
      </c>
      <c r="F9" s="33">
        <f>C31*'E Balans VL '!L19/100/3.6*1000000+C31*'E Balans VL '!N19/100/3.6*1000000</f>
        <v>24325.232184012766</v>
      </c>
      <c r="G9" s="34"/>
      <c r="H9" s="33"/>
      <c r="I9" s="33"/>
      <c r="J9" s="40">
        <f>C31*'E Balans VL '!D19/100/3.6*1000000+C31*'E Balans VL '!E19/100/3.6*1000000</f>
        <v>0</v>
      </c>
      <c r="K9" s="33"/>
      <c r="L9" s="33"/>
      <c r="M9" s="33"/>
      <c r="N9" s="33">
        <f>C31*'E Balans VL '!Y19/100/3.6*1000000</f>
        <v>2130.4412679061229</v>
      </c>
      <c r="O9" s="33"/>
      <c r="P9" s="33"/>
      <c r="R9" s="32"/>
    </row>
    <row r="10" spans="1:18">
      <c r="A10" s="6" t="s">
        <v>40</v>
      </c>
      <c r="B10" s="37">
        <f t="shared" si="0"/>
        <v>31734.305059999999</v>
      </c>
      <c r="C10" s="33"/>
      <c r="D10" s="37">
        <f>IF( ISERROR(IND_voed_gas_kWh/1000),0,IND_voed_gas_kWh/1000)*0.902</f>
        <v>5215.0607421880004</v>
      </c>
      <c r="E10" s="33">
        <f>C32*'E Balans VL '!I20/100/3.6*1000000</f>
        <v>56.180469054479296</v>
      </c>
      <c r="F10" s="33">
        <f>C32*'E Balans VL '!L20/100/3.6*1000000+C32*'E Balans VL '!N20/100/3.6*1000000</f>
        <v>1713.9337318628154</v>
      </c>
      <c r="G10" s="34"/>
      <c r="H10" s="33"/>
      <c r="I10" s="33"/>
      <c r="J10" s="40">
        <f>C32*'E Balans VL '!D20/100/3.6*1000000+C32*'E Balans VL '!E20/100/3.6*1000000</f>
        <v>0</v>
      </c>
      <c r="K10" s="33"/>
      <c r="L10" s="33"/>
      <c r="M10" s="33"/>
      <c r="N10" s="33">
        <f>C32*'E Balans VL '!Y20/100/3.6*1000000</f>
        <v>1844.0054818937379</v>
      </c>
      <c r="O10" s="33"/>
      <c r="P10" s="33"/>
      <c r="R10" s="32"/>
    </row>
    <row r="11" spans="1:18">
      <c r="A11" s="6" t="s">
        <v>39</v>
      </c>
      <c r="B11" s="37">
        <f t="shared" si="0"/>
        <v>126.061374</v>
      </c>
      <c r="C11" s="33"/>
      <c r="D11" s="37">
        <f>IF( ISERROR(IND_textiel_gas_kWh/1000),0,IND_textiel_gas_kWh/1000)*0.902</f>
        <v>204.208268352</v>
      </c>
      <c r="E11" s="33">
        <f>C33*'E Balans VL '!I21/100/3.6*1000000</f>
        <v>0.44437942788654466</v>
      </c>
      <c r="F11" s="33">
        <f>C33*'E Balans VL '!L21/100/3.6*1000000+C33*'E Balans VL '!N21/100/3.6*1000000</f>
        <v>3.700089834205242</v>
      </c>
      <c r="G11" s="34"/>
      <c r="H11" s="33"/>
      <c r="I11" s="33"/>
      <c r="J11" s="40">
        <f>C33*'E Balans VL '!D21/100/3.6*1000000+C33*'E Balans VL '!E21/100/3.6*1000000</f>
        <v>0</v>
      </c>
      <c r="K11" s="33"/>
      <c r="L11" s="33"/>
      <c r="M11" s="33"/>
      <c r="N11" s="33">
        <f>C33*'E Balans VL '!Y21/100/3.6*1000000</f>
        <v>5.5542460932236972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327.658073</v>
      </c>
      <c r="C13" s="33"/>
      <c r="D13" s="37">
        <f>IF( ISERROR(IND_papier_gas_kWh/1000),0,IND_papier_gas_kWh/1000)*0.902</f>
        <v>1545.6134886060001</v>
      </c>
      <c r="E13" s="33">
        <f>C35*'E Balans VL '!I23/100/3.6*1000000</f>
        <v>0.48209753666980215</v>
      </c>
      <c r="F13" s="33">
        <f>C35*'E Balans VL '!L23/100/3.6*1000000+C35*'E Balans VL '!N23/100/3.6*1000000</f>
        <v>3.5083354238382651</v>
      </c>
      <c r="G13" s="34"/>
      <c r="H13" s="33"/>
      <c r="I13" s="33"/>
      <c r="J13" s="40">
        <f>C35*'E Balans VL '!D23/100/3.6*1000000+C35*'E Balans VL '!E23/100/3.6*1000000</f>
        <v>35.847630596523238</v>
      </c>
      <c r="K13" s="33"/>
      <c r="L13" s="33"/>
      <c r="M13" s="33"/>
      <c r="N13" s="33">
        <f>C35*'E Balans VL '!Y23/100/3.6*1000000</f>
        <v>0</v>
      </c>
      <c r="O13" s="33"/>
      <c r="P13" s="33"/>
      <c r="R13" s="32"/>
    </row>
    <row r="14" spans="1:18">
      <c r="A14" s="6" t="s">
        <v>33</v>
      </c>
      <c r="B14" s="37">
        <f t="shared" si="0"/>
        <v>29.4679</v>
      </c>
      <c r="C14" s="33"/>
      <c r="D14" s="37">
        <f>IF( ISERROR(IND_chemie_gas_kWh/1000),0,IND_chemie_gas_kWh/1000)*0.902</f>
        <v>0</v>
      </c>
      <c r="E14" s="33">
        <f>C36*'E Balans VL '!I24/100/3.6*1000000</f>
        <v>6.6650454403552509E-2</v>
      </c>
      <c r="F14" s="33">
        <f>C36*'E Balans VL '!L24/100/3.6*1000000+C36*'E Balans VL '!N24/100/3.6*1000000</f>
        <v>0.34792664682392482</v>
      </c>
      <c r="G14" s="34"/>
      <c r="H14" s="33"/>
      <c r="I14" s="33"/>
      <c r="J14" s="40">
        <f>C36*'E Balans VL '!D24/100/3.6*1000000+C36*'E Balans VL '!E24/100/3.6*1000000</f>
        <v>0</v>
      </c>
      <c r="K14" s="33"/>
      <c r="L14" s="33"/>
      <c r="M14" s="33"/>
      <c r="N14" s="33">
        <f>C36*'E Balans VL '!Y24/100/3.6*1000000</f>
        <v>1.6186276404312059E-2</v>
      </c>
      <c r="O14" s="33"/>
      <c r="P14" s="33"/>
      <c r="R14" s="32"/>
    </row>
    <row r="15" spans="1:18">
      <c r="A15" s="6" t="s">
        <v>258</v>
      </c>
      <c r="B15" s="37">
        <f t="shared" si="0"/>
        <v>50426.962950000001</v>
      </c>
      <c r="C15" s="33"/>
      <c r="D15" s="37">
        <f>IF( ISERROR(IND_rest_gas_kWh/1000),0,IND_rest_gas_kWh/1000)*0.902</f>
        <v>76189.457714040007</v>
      </c>
      <c r="E15" s="33">
        <f>C37*'E Balans VL '!I15/100/3.6*1000000</f>
        <v>2383.20753705574</v>
      </c>
      <c r="F15" s="33">
        <f>C37*'E Balans VL '!L15/100/3.6*1000000+C37*'E Balans VL '!N15/100/3.6*1000000</f>
        <v>8965.3848817550406</v>
      </c>
      <c r="G15" s="34"/>
      <c r="H15" s="33"/>
      <c r="I15" s="33"/>
      <c r="J15" s="40">
        <f>C37*'E Balans VL '!D15/100/3.6*1000000+C37*'E Balans VL '!E15/100/3.6*1000000</f>
        <v>416.5879072890441</v>
      </c>
      <c r="K15" s="33"/>
      <c r="L15" s="33"/>
      <c r="M15" s="33"/>
      <c r="N15" s="33">
        <f>C37*'E Balans VL '!Y15/100/3.6*1000000</f>
        <v>1981.6679203346014</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113879.410462</v>
      </c>
      <c r="C18" s="21">
        <f>C5+C16</f>
        <v>0</v>
      </c>
      <c r="D18" s="21">
        <f>MAX((D5+D16),0)</f>
        <v>108948.490339216</v>
      </c>
      <c r="E18" s="21">
        <f>MAX((E5+E16),0)</f>
        <v>10587.220994441062</v>
      </c>
      <c r="F18" s="21">
        <f>MAX((F5+F16),0)</f>
        <v>35190.401841068182</v>
      </c>
      <c r="G18" s="21"/>
      <c r="H18" s="21"/>
      <c r="I18" s="21"/>
      <c r="J18" s="21">
        <f>MAX((J5+J16),0)</f>
        <v>454.33157168327989</v>
      </c>
      <c r="K18" s="21"/>
      <c r="L18" s="21">
        <f>MAX((L5+L16),0)</f>
        <v>0</v>
      </c>
      <c r="M18" s="21"/>
      <c r="N18" s="21">
        <f>MAX((N5+N16),0)</f>
        <v>5985.5176190260509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0.21648700572712334</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24653.412584888425</v>
      </c>
      <c r="C22" s="23">
        <f ca="1">C18*C20</f>
        <v>0</v>
      </c>
      <c r="D22" s="23">
        <f>D18*D20</f>
        <v>22007.595048521634</v>
      </c>
      <c r="E22" s="23">
        <f>E18*E20</f>
        <v>2403.2991657381212</v>
      </c>
      <c r="F22" s="23">
        <f>F18*F20</f>
        <v>9395.8372915652053</v>
      </c>
      <c r="G22" s="23"/>
      <c r="H22" s="23"/>
      <c r="I22" s="23"/>
      <c r="J22" s="23">
        <f>J18*J20</f>
        <v>160.83337637588107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1885.0893249999999</v>
      </c>
      <c r="C30" s="39">
        <f>IF(ISERROR(B30*3.6/1000000/'E Balans VL '!Z18*100),0,B30*3.6/1000000/'E Balans VL '!Z18*100)</f>
        <v>0.10882326533751814</v>
      </c>
      <c r="D30" s="235" t="s">
        <v>692</v>
      </c>
    </row>
    <row r="31" spans="1:18">
      <c r="A31" s="6" t="s">
        <v>32</v>
      </c>
      <c r="B31" s="37">
        <f>IF( ISERROR(IND_ander_ele_kWh/1000),0,IND_ander_ele_kWh/1000)</f>
        <v>29349.86578</v>
      </c>
      <c r="C31" s="39">
        <f>IF(ISERROR(B31*3.6/1000000/'E Balans VL '!Z19*100),0,B31*3.6/1000000/'E Balans VL '!Z19*100)</f>
        <v>1.4762031148277517</v>
      </c>
      <c r="D31" s="235" t="s">
        <v>692</v>
      </c>
    </row>
    <row r="32" spans="1:18">
      <c r="A32" s="169" t="s">
        <v>40</v>
      </c>
      <c r="B32" s="37">
        <f>IF( ISERROR(IND_voed_ele_kWh/1000),0,IND_voed_ele_kWh/1000)</f>
        <v>31734.305059999999</v>
      </c>
      <c r="C32" s="39">
        <f>IF(ISERROR(B32*3.6/1000000/'E Balans VL '!Z20*100),0,B32*3.6/1000000/'E Balans VL '!Z20*100)</f>
        <v>1.056940804674263</v>
      </c>
      <c r="D32" s="235" t="s">
        <v>692</v>
      </c>
    </row>
    <row r="33" spans="1:5">
      <c r="A33" s="169" t="s">
        <v>39</v>
      </c>
      <c r="B33" s="37">
        <f>IF( ISERROR(IND_textiel_ele_kWh/1000),0,IND_textiel_ele_kWh/1000)</f>
        <v>126.061374</v>
      </c>
      <c r="C33" s="39">
        <f>IF(ISERROR(B33*3.6/1000000/'E Balans VL '!Z21*100),0,B33*3.6/1000000/'E Balans VL '!Z21*100)</f>
        <v>1.9654572644105528E-2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327.658073</v>
      </c>
      <c r="C35" s="39">
        <f>IF(ISERROR(B35*3.6/1000000/'E Balans VL '!Z22*100),0,B35*3.6/1000000/'E Balans VL '!Z22*100)</f>
        <v>6.1119297710964679E-2</v>
      </c>
      <c r="D35" s="235" t="s">
        <v>692</v>
      </c>
    </row>
    <row r="36" spans="1:5">
      <c r="A36" s="169" t="s">
        <v>33</v>
      </c>
      <c r="B36" s="37">
        <f>IF( ISERROR(IND_chemie_ele_kWh/1000),0,IND_chemie_ele_kWh/1000)</f>
        <v>29.4679</v>
      </c>
      <c r="C36" s="39">
        <f>IF(ISERROR(B36*3.6/1000000/'E Balans VL '!Z24*100),0,B36*3.6/1000000/'E Balans VL '!Z24*100)</f>
        <v>7.7725216827428814E-4</v>
      </c>
      <c r="D36" s="235" t="s">
        <v>692</v>
      </c>
    </row>
    <row r="37" spans="1:5">
      <c r="A37" s="169" t="s">
        <v>258</v>
      </c>
      <c r="B37" s="37">
        <f>IF( ISERROR(IND_rest_ele_kWh/1000),0,IND_rest_ele_kWh/1000)</f>
        <v>50426.962950000001</v>
      </c>
      <c r="C37" s="39">
        <f>IF(ISERROR(B37*3.6/1000000/'E Balans VL '!Z15*100),0,B37*3.6/1000000/'E Balans VL '!Z15*100)</f>
        <v>0.39346821015585681</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2112.6022510000003</v>
      </c>
      <c r="C5" s="17">
        <f>'Eigen informatie GS &amp; warmtenet'!B62</f>
        <v>0</v>
      </c>
      <c r="D5" s="30">
        <f>IF(ISERROR(SUM(LB_lb_gas_kWh,LB_rest_gas_kWh)/1000),0,SUM(LB_lb_gas_kWh,LB_rest_gas_kWh)/1000)*0.902</f>
        <v>2897.5463874280003</v>
      </c>
      <c r="E5" s="17">
        <f>B17*'E Balans VL '!I25/3.6*1000000/100</f>
        <v>65.933619603431893</v>
      </c>
      <c r="F5" s="17">
        <f>B17*('E Balans VL '!L25/3.6*1000000+'E Balans VL '!N25/3.6*1000000)/100</f>
        <v>7466.1703827982346</v>
      </c>
      <c r="G5" s="18"/>
      <c r="H5" s="17"/>
      <c r="I5" s="17"/>
      <c r="J5" s="17">
        <f>('E Balans VL '!D25+'E Balans VL '!E25)/3.6*1000000*landbouw!B17/100</f>
        <v>582.0365709187123</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2112.6022510000003</v>
      </c>
      <c r="C8" s="21">
        <f>C5+C6</f>
        <v>0</v>
      </c>
      <c r="D8" s="21">
        <f>MAX((D5+D6),0)</f>
        <v>2897.5463874280003</v>
      </c>
      <c r="E8" s="21">
        <f>MAX((E5+E6),0)</f>
        <v>65.933619603431893</v>
      </c>
      <c r="F8" s="21">
        <f>MAX((F5+F6),0)</f>
        <v>7466.1703827982346</v>
      </c>
      <c r="G8" s="21"/>
      <c r="H8" s="21"/>
      <c r="I8" s="21"/>
      <c r="J8" s="21">
        <f>MAX((J5+J6),0)</f>
        <v>582.0365709187123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0.21648700572712334</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457.35093561137074</v>
      </c>
      <c r="C12" s="23">
        <f ca="1">C8*C10</f>
        <v>0</v>
      </c>
      <c r="D12" s="23">
        <f>D8*D10</f>
        <v>585.30437026045615</v>
      </c>
      <c r="E12" s="23">
        <f>E8*E10</f>
        <v>14.96693164997904</v>
      </c>
      <c r="F12" s="23">
        <f>F8*F10</f>
        <v>1993.4674922071288</v>
      </c>
      <c r="G12" s="23"/>
      <c r="H12" s="23"/>
      <c r="I12" s="23"/>
      <c r="J12" s="23">
        <f>J8*J10</f>
        <v>206.04094610522415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0.3140534691786116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41.176247367769548</v>
      </c>
      <c r="C26" s="245">
        <f>B26*'GWP N2O_CH4'!B5</f>
        <v>864.70119472316048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4.8962299338375335</v>
      </c>
      <c r="C27" s="245">
        <f>B27*'GWP N2O_CH4'!B5</f>
        <v>102.82082861058821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0.5820568368527782</v>
      </c>
      <c r="C28" s="245">
        <f>B28*'GWP N2O_CH4'!B4</f>
        <v>180.43761942436123</v>
      </c>
      <c r="D28" s="50"/>
    </row>
    <row r="29" spans="1:4">
      <c r="A29" s="41" t="s">
        <v>265</v>
      </c>
      <c r="B29" s="245">
        <f>B34*'ha_N2O bodem landbouw'!B4</f>
        <v>7.3617540203469103</v>
      </c>
      <c r="C29" s="245">
        <f>B29*'GWP N2O_CH4'!B4</f>
        <v>2282.1437463075422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1.6143001112612001E-3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2.6348860831484737E-3</v>
      </c>
      <c r="C5" s="431" t="s">
        <v>204</v>
      </c>
      <c r="D5" s="416">
        <f>SUM(D6:D11)</f>
        <v>4.1651697177651371E-3</v>
      </c>
      <c r="E5" s="416">
        <f>SUM(E6:E11)</f>
        <v>4.0111190622527607E-3</v>
      </c>
      <c r="F5" s="429" t="s">
        <v>204</v>
      </c>
      <c r="G5" s="416">
        <f>SUM(G6:G11)</f>
        <v>1.5654211569673953</v>
      </c>
      <c r="H5" s="416">
        <f>SUM(H6:H11)</f>
        <v>0.37870351523137202</v>
      </c>
      <c r="I5" s="431" t="s">
        <v>204</v>
      </c>
      <c r="J5" s="431" t="s">
        <v>204</v>
      </c>
      <c r="K5" s="431" t="s">
        <v>204</v>
      </c>
      <c r="L5" s="431" t="s">
        <v>204</v>
      </c>
      <c r="M5" s="416">
        <f>SUM(M6:M11)</f>
        <v>0.11530778263395139</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5.8657274987272841E-4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9.9019183751253921E-4</v>
      </c>
      <c r="E6" s="882">
        <f>vkm_GW_PW*SUMIFS(TableVerdeelsleutelVkm[LPG],TableVerdeelsleutelVkm[Voertuigtype],"Lichte voertuigen")*SUMIFS(TableECFTransport[EnergieConsumptieFactor (PJ per km)],TableECFTransport[Index],CONCATENATE($A6,"_LPG_LPG"))</f>
        <v>8.6767780801263843E-4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0.27104569543155871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8.8325279682859387E-2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2.1471640794557829E-2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1.5906783490246925E-6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6.071174435776263E-2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8.4391270914230579E-7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3.499569433254386E-3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4.9360739743901493E-4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1.0639646892231245E-3</v>
      </c>
      <c r="E8" s="419">
        <f>vkm_NGW_PW*SUMIFS(TableVerdeelsleutelVkm[LPG],TableVerdeelsleutelVkm[Voertuigtype],"Lichte voertuigen")*SUMIFS(TableECFTransport[EnergieConsumptieFactor (PJ per km)],TableECFTransport[Index],CONCATENATE($A8,"_LPG_LPG"))</f>
        <v>8.9310461458444197E-4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0.25776078968277466</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9.3530027654257455E-2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2.1050494906968979E-2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1.7316414063146611E-7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8.4966259138499357E-3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1.1088928051136563E-7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4.8976526105727993E-4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1.5439143161022253E-3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2.1110131910294736E-3</v>
      </c>
      <c r="E10" s="419">
        <f>vkm_SW_PW*SUMIFS(TableVerdeelsleutelVkm[LPG],TableVerdeelsleutelVkm[Voertuigtype],"Lichte voertuigen")*SUMIFS(TableECFTransport[EnergieConsumptieFactor (PJ per km)],TableECFTransport[Index],CONCATENATE($A10,"_LPG_LPG"))</f>
        <v>2.2503366396556799E-3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0.64060258961111016</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0.19684232332483342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4.9958542886821722E-2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9.0277772448486519E-6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0.32680371197033908</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4.9297674321288619E-6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1.8837769351291191E-2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731.91280087457608</v>
      </c>
      <c r="C14" s="21"/>
      <c r="D14" s="21">
        <f t="shared" ref="D14:M14" si="0">((D5)*10^9/3600)+D12</f>
        <v>1156.9915882680937</v>
      </c>
      <c r="E14" s="21">
        <f t="shared" si="0"/>
        <v>1114.1997395146559</v>
      </c>
      <c r="F14" s="21"/>
      <c r="G14" s="21">
        <f t="shared" si="0"/>
        <v>434839.21026872093</v>
      </c>
      <c r="H14" s="21">
        <f t="shared" si="0"/>
        <v>105195.42089760333</v>
      </c>
      <c r="I14" s="21"/>
      <c r="J14" s="21"/>
      <c r="K14" s="21"/>
      <c r="L14" s="21"/>
      <c r="M14" s="21">
        <f t="shared" si="0"/>
        <v>32029.939620542053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0.21648700572712334</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158.44961071468924</v>
      </c>
      <c r="C18" s="23"/>
      <c r="D18" s="23">
        <f t="shared" ref="D18:M18" si="1">D14*D16</f>
        <v>233.71230083015493</v>
      </c>
      <c r="E18" s="23">
        <f t="shared" si="1"/>
        <v>252.92334086982689</v>
      </c>
      <c r="F18" s="23"/>
      <c r="G18" s="23">
        <f t="shared" si="1"/>
        <v>116102.06914174849</v>
      </c>
      <c r="H18" s="23">
        <f t="shared" si="1"/>
        <v>26193.659803503229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1.1223948046064857E-3</v>
      </c>
      <c r="C50" s="315">
        <f t="shared" ref="C50:P50" si="2">SUM(C51:C52)</f>
        <v>0</v>
      </c>
      <c r="D50" s="315">
        <f t="shared" si="2"/>
        <v>0</v>
      </c>
      <c r="E50" s="315">
        <f t="shared" si="2"/>
        <v>0</v>
      </c>
      <c r="F50" s="315">
        <f t="shared" si="2"/>
        <v>0</v>
      </c>
      <c r="G50" s="315">
        <f t="shared" si="2"/>
        <v>8.1319194063157671E-2</v>
      </c>
      <c r="H50" s="315">
        <f t="shared" si="2"/>
        <v>0</v>
      </c>
      <c r="I50" s="315">
        <f t="shared" si="2"/>
        <v>0</v>
      </c>
      <c r="J50" s="315">
        <f t="shared" si="2"/>
        <v>0</v>
      </c>
      <c r="K50" s="315">
        <f t="shared" si="2"/>
        <v>0</v>
      </c>
      <c r="L50" s="315">
        <f t="shared" si="2"/>
        <v>0</v>
      </c>
      <c r="M50" s="315">
        <f t="shared" si="2"/>
        <v>4.5996557848572836E-3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1.1223948046064857E-3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8.1319194063157671E-2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4.5996557848572836E-3</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311.77633461291271</v>
      </c>
      <c r="C54" s="21">
        <f t="shared" ref="C54:P54" si="3">(C50)*10^9/3600</f>
        <v>0</v>
      </c>
      <c r="D54" s="21">
        <f t="shared" si="3"/>
        <v>0</v>
      </c>
      <c r="E54" s="21">
        <f t="shared" si="3"/>
        <v>0</v>
      </c>
      <c r="F54" s="21">
        <f t="shared" si="3"/>
        <v>0</v>
      </c>
      <c r="G54" s="21">
        <f t="shared" si="3"/>
        <v>22588.665017543801</v>
      </c>
      <c r="H54" s="21">
        <f t="shared" si="3"/>
        <v>0</v>
      </c>
      <c r="I54" s="21">
        <f t="shared" si="3"/>
        <v>0</v>
      </c>
      <c r="J54" s="21">
        <f t="shared" si="3"/>
        <v>0</v>
      </c>
      <c r="K54" s="21">
        <f t="shared" si="3"/>
        <v>0</v>
      </c>
      <c r="L54" s="21">
        <f t="shared" si="3"/>
        <v>0</v>
      </c>
      <c r="M54" s="21">
        <f t="shared" si="3"/>
        <v>1277.6821624603565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0.21648700572712334</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67.495525136927156</v>
      </c>
      <c r="C58" s="23">
        <f t="shared" ref="C58:P58" ca="1" si="4">C54*C56</f>
        <v>0</v>
      </c>
      <c r="D58" s="23">
        <f t="shared" si="4"/>
        <v>0</v>
      </c>
      <c r="E58" s="23">
        <f t="shared" si="4"/>
        <v>0</v>
      </c>
      <c r="F58" s="23">
        <f t="shared" si="4"/>
        <v>0</v>
      </c>
      <c r="G58" s="23">
        <f t="shared" si="4"/>
        <v>6031.1735596841954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13867.06447375449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50.800000000000004</v>
      </c>
      <c r="C8" s="541">
        <f>B49</f>
        <v>59.208415071789062</v>
      </c>
      <c r="D8" s="542"/>
      <c r="E8" s="542">
        <f>E49</f>
        <v>0</v>
      </c>
      <c r="F8" s="543"/>
      <c r="G8" s="544"/>
      <c r="H8" s="542">
        <f>I49</f>
        <v>0</v>
      </c>
      <c r="I8" s="542">
        <f>G49+F49</f>
        <v>0</v>
      </c>
      <c r="J8" s="542">
        <f>H49+D49+C49</f>
        <v>0</v>
      </c>
      <c r="K8" s="542"/>
      <c r="L8" s="542"/>
      <c r="M8" s="542"/>
      <c r="N8" s="545"/>
      <c r="O8" s="546">
        <f>C8*$C$12+D8*$D$12+E8*$E$12+F8*$F$12+G8*$G$12+H8*$H$12+I8*$I$12+J8*$J$12</f>
        <v>11.960099844501391</v>
      </c>
      <c r="P8" s="1269"/>
      <c r="Q8" s="1270"/>
      <c r="S8" s="536"/>
      <c r="T8" s="1266"/>
      <c r="U8" s="1266"/>
    </row>
    <row r="9" spans="1:21" s="527" customFormat="1" ht="17.45" customHeight="1" thickBot="1">
      <c r="A9" s="547" t="s">
        <v>236</v>
      </c>
      <c r="B9" s="548">
        <f>N37+'Eigen informatie GS &amp; warmtenet'!B12</f>
        <v>1404</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15321.864473754489</v>
      </c>
      <c r="C10" s="556">
        <f t="shared" ref="C10:L10" si="0">SUM(C8:C9)</f>
        <v>59.208415071789062</v>
      </c>
      <c r="D10" s="556">
        <f t="shared" si="0"/>
        <v>0</v>
      </c>
      <c r="E10" s="556">
        <f t="shared" si="0"/>
        <v>0</v>
      </c>
      <c r="F10" s="556">
        <f t="shared" si="0"/>
        <v>0</v>
      </c>
      <c r="G10" s="556">
        <f t="shared" si="0"/>
        <v>0</v>
      </c>
      <c r="H10" s="556">
        <f t="shared" si="0"/>
        <v>0</v>
      </c>
      <c r="I10" s="556">
        <f t="shared" si="0"/>
        <v>0</v>
      </c>
      <c r="J10" s="556">
        <f t="shared" si="0"/>
        <v>4011.4285714285716</v>
      </c>
      <c r="K10" s="556">
        <f t="shared" si="0"/>
        <v>0</v>
      </c>
      <c r="L10" s="556">
        <f t="shared" si="0"/>
        <v>0</v>
      </c>
      <c r="M10" s="963"/>
      <c r="N10" s="963"/>
      <c r="O10" s="557">
        <f>SUM(O4:O9)</f>
        <v>11.960099844501391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72.604247104247108</v>
      </c>
      <c r="C17" s="572">
        <f>B50</f>
        <v>84.62170075832681</v>
      </c>
      <c r="D17" s="573"/>
      <c r="E17" s="573">
        <f>E50</f>
        <v>0</v>
      </c>
      <c r="F17" s="574"/>
      <c r="G17" s="575"/>
      <c r="H17" s="572">
        <f>I50</f>
        <v>0</v>
      </c>
      <c r="I17" s="573">
        <f>G50+F50</f>
        <v>0</v>
      </c>
      <c r="J17" s="573">
        <f>H50+D50+C50</f>
        <v>0</v>
      </c>
      <c r="K17" s="573"/>
      <c r="L17" s="573"/>
      <c r="M17" s="573"/>
      <c r="N17" s="964"/>
      <c r="O17" s="576">
        <f>C17*$C$22+E17*$E$22+H17*$H$22+I17*$I$22+J17*$J$22+D17*$D$22+F17*$F$22+G17*$G$22+K17*$K$22+L17*$L$22</f>
        <v>17.093583553182018</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72.604247104247108</v>
      </c>
      <c r="C20" s="555">
        <f>SUM(C17:C19)</f>
        <v>84.62170075832681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17.093583553182018</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24062</v>
      </c>
      <c r="C28" s="783">
        <v>3001</v>
      </c>
      <c r="D28" s="633"/>
      <c r="E28" s="632"/>
      <c r="F28" s="632"/>
      <c r="G28" s="632" t="s">
        <v>900</v>
      </c>
      <c r="H28" s="632" t="s">
        <v>901</v>
      </c>
      <c r="I28" s="632"/>
      <c r="J28" s="782"/>
      <c r="K28" s="782"/>
      <c r="L28" s="632" t="s">
        <v>902</v>
      </c>
      <c r="M28" s="632">
        <v>9.4</v>
      </c>
      <c r="N28" s="632">
        <v>42.300000000000004</v>
      </c>
      <c r="O28" s="632">
        <v>60.428571428571438</v>
      </c>
      <c r="P28" s="632">
        <v>120.85714285714288</v>
      </c>
      <c r="Q28" s="632">
        <v>0</v>
      </c>
      <c r="R28" s="632">
        <v>0</v>
      </c>
      <c r="S28" s="632">
        <v>0</v>
      </c>
      <c r="T28" s="632">
        <v>0</v>
      </c>
      <c r="U28" s="632">
        <v>0</v>
      </c>
      <c r="V28" s="632">
        <v>0</v>
      </c>
      <c r="W28" s="632">
        <v>0</v>
      </c>
      <c r="X28" s="632">
        <v>1500</v>
      </c>
      <c r="Y28" s="632" t="s">
        <v>50</v>
      </c>
      <c r="Z28" s="634" t="s">
        <v>149</v>
      </c>
    </row>
    <row r="29" spans="1:26" s="586" customFormat="1" ht="51" hidden="1">
      <c r="A29" s="585"/>
      <c r="B29" s="783">
        <v>24062</v>
      </c>
      <c r="C29" s="783">
        <v>3000</v>
      </c>
      <c r="D29" s="633"/>
      <c r="E29" s="632"/>
      <c r="F29" s="632"/>
      <c r="G29" s="632" t="s">
        <v>903</v>
      </c>
      <c r="H29" s="632" t="s">
        <v>903</v>
      </c>
      <c r="I29" s="632"/>
      <c r="J29" s="782"/>
      <c r="K29" s="782"/>
      <c r="L29" s="632" t="s">
        <v>902</v>
      </c>
      <c r="M29" s="632">
        <v>1.7</v>
      </c>
      <c r="N29" s="632">
        <v>8.5</v>
      </c>
      <c r="O29" s="632">
        <v>12.175675675675675</v>
      </c>
      <c r="P29" s="632">
        <v>22.972972972972972</v>
      </c>
      <c r="Q29" s="632">
        <v>0</v>
      </c>
      <c r="R29" s="632">
        <v>0</v>
      </c>
      <c r="S29" s="632">
        <v>0</v>
      </c>
      <c r="T29" s="632">
        <v>0</v>
      </c>
      <c r="U29" s="632">
        <v>0</v>
      </c>
      <c r="V29" s="632">
        <v>0</v>
      </c>
      <c r="W29" s="632">
        <v>0</v>
      </c>
      <c r="X29" s="632">
        <v>1500</v>
      </c>
      <c r="Y29" s="632" t="s">
        <v>50</v>
      </c>
      <c r="Z29" s="634" t="s">
        <v>149</v>
      </c>
    </row>
    <row r="30" spans="1:26" s="566" customFormat="1" hidden="1">
      <c r="A30" s="588" t="s">
        <v>268</v>
      </c>
      <c r="B30" s="589"/>
      <c r="C30" s="589"/>
      <c r="D30" s="589"/>
      <c r="E30" s="589"/>
      <c r="F30" s="589"/>
      <c r="G30" s="589"/>
      <c r="H30" s="589"/>
      <c r="I30" s="589"/>
      <c r="J30" s="589"/>
      <c r="K30" s="589"/>
      <c r="L30" s="590"/>
      <c r="M30" s="590">
        <f>SUM(M28:M29)</f>
        <v>11.1</v>
      </c>
      <c r="N30" s="590">
        <f>SUM(N28:N29)</f>
        <v>50.800000000000004</v>
      </c>
      <c r="O30" s="590">
        <f>SUM(O28:O29)</f>
        <v>72.604247104247108</v>
      </c>
      <c r="P30" s="590">
        <f>SUM(P28:P29)</f>
        <v>143.83011583011586</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11.1</v>
      </c>
      <c r="N32" s="590">
        <f ca="1">SUMIF($Z$28:AD29,"tertiair",N28:N29)</f>
        <v>50.800000000000004</v>
      </c>
      <c r="O32" s="590">
        <f ca="1">SUMIF($Z$28:AE29,"tertiair",O28:O29)</f>
        <v>72.604247104247108</v>
      </c>
      <c r="P32" s="590">
        <f ca="1">SUMIF($Z$28:AF29,"tertiair",P28:P29)</f>
        <v>143.83011583011586</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63.75" hidden="1">
      <c r="A36" s="587"/>
      <c r="B36" s="783">
        <v>24062</v>
      </c>
      <c r="C36" s="783">
        <v>3010</v>
      </c>
      <c r="D36" s="635"/>
      <c r="E36" s="635"/>
      <c r="F36" s="635"/>
      <c r="G36" s="635" t="s">
        <v>904</v>
      </c>
      <c r="H36" s="635" t="s">
        <v>905</v>
      </c>
      <c r="I36" s="635"/>
      <c r="J36" s="782"/>
      <c r="K36" s="782"/>
      <c r="L36" s="635" t="s">
        <v>906</v>
      </c>
      <c r="M36" s="635">
        <v>312</v>
      </c>
      <c r="N36" s="635">
        <v>1404</v>
      </c>
      <c r="O36" s="635">
        <v>0</v>
      </c>
      <c r="P36" s="635">
        <v>0</v>
      </c>
      <c r="Q36" s="635">
        <v>4011.4285714285716</v>
      </c>
      <c r="R36" s="635">
        <v>0</v>
      </c>
      <c r="S36" s="635">
        <v>0</v>
      </c>
      <c r="T36" s="635">
        <v>0</v>
      </c>
      <c r="U36" s="635">
        <v>0</v>
      </c>
      <c r="V36" s="635">
        <v>0</v>
      </c>
      <c r="W36" s="635">
        <v>0</v>
      </c>
      <c r="X36" s="635">
        <v>1600</v>
      </c>
      <c r="Y36" s="635" t="s">
        <v>49</v>
      </c>
      <c r="Z36" s="636" t="s">
        <v>149</v>
      </c>
    </row>
    <row r="37" spans="1:27" s="566" customFormat="1" hidden="1">
      <c r="A37" s="588" t="s">
        <v>268</v>
      </c>
      <c r="B37" s="589"/>
      <c r="C37" s="589"/>
      <c r="D37" s="589"/>
      <c r="E37" s="589"/>
      <c r="F37" s="589"/>
      <c r="G37" s="589"/>
      <c r="H37" s="589"/>
      <c r="I37" s="589"/>
      <c r="J37" s="589"/>
      <c r="K37" s="589"/>
      <c r="L37" s="590"/>
      <c r="M37" s="590">
        <f>SUM(M36:M36)</f>
        <v>312</v>
      </c>
      <c r="N37" s="590">
        <f>SUM(N36:N36)</f>
        <v>1404</v>
      </c>
      <c r="O37" s="590">
        <f>SUM(O36:O36)</f>
        <v>0</v>
      </c>
      <c r="P37" s="590">
        <f>SUM(P36:P36)</f>
        <v>0</v>
      </c>
      <c r="Q37" s="590">
        <f>SUM(Q36:Q36)</f>
        <v>4011.4285714285716</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312</v>
      </c>
      <c r="N39" s="590">
        <f>SUMIF($Z$36:$Z$37,"tertiair",N36:N37)</f>
        <v>1404</v>
      </c>
      <c r="O39" s="590">
        <f>SUMIF($Z$36:$Z$37,"tertiair",O36:O37)</f>
        <v>0</v>
      </c>
      <c r="P39" s="590">
        <f>SUMIF($Z$36:$Z$37,"tertiair",P36:P37)</f>
        <v>0</v>
      </c>
      <c r="Q39" s="590">
        <f>SUMIF($Z$36:$Z$37,"tertiair",Q36:Q37)</f>
        <v>4011.4285714285716</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0.58834480018271873</v>
      </c>
      <c r="C46" s="615">
        <f>IF(ISERROR(N30/(O30+N30)),0,N30/(N30+O30))</f>
        <v>0.41165519981728133</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59.208415071789062</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84.62170075832681</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2021-11-11T12:38:22Z</dcterms:modified>
</cp:coreProperties>
</file>